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7718FB7-D2A0-49FB-BCD6-E79D34732322}" xr6:coauthVersionLast="45" xr6:coauthVersionMax="45" xr10:uidLastSave="{00000000-0000-0000-0000-000000000000}"/>
  <bookViews>
    <workbookView xWindow="-108" yWindow="-108" windowWidth="23256" windowHeight="12576" tabRatio="817" firstSheet="3" activeTab="10"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4" r:id="rId29"/>
    <sheet name="28.ANEXO III-4" sheetId="65" r:id="rId30"/>
    <sheet name="29.ANEXO III-5" sheetId="66" r:id="rId31"/>
    <sheet name="Contraportada" sheetId="59" r:id="rId32"/>
  </sheets>
  <definedNames>
    <definedName name="_xlnm._FilterDatabase" localSheetId="7" hidden="1">'6. FP RER'!$T$53:$V$54</definedName>
    <definedName name="_xlnm._FilterDatabase" localSheetId="8" hidden="1">'7. Generacion empresa'!$L$4:$N$61</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generación'!$A$1:$J$46</definedName>
    <definedName name="_xlnm.Print_Area" localSheetId="21">'20. ANEXOI-3'!$A$1:$G$56</definedName>
    <definedName name="_xlnm.Print_Area" localSheetId="22">'21. ANEXOII-1'!$A$1:$F$79</definedName>
    <definedName name="_xlnm.Print_Area" localSheetId="24">'23. ANEXOII-3'!$A$1:$F$62</definedName>
    <definedName name="_xlnm.Print_Area" localSheetId="26">'25.ANEXO III -1'!$A$1:$F$15</definedName>
    <definedName name="_xlnm.Print_Area" localSheetId="27">'26.ANEXO III-2'!$A$1:$F$14</definedName>
    <definedName name="_xlnm.Print_Area" localSheetId="28">'27.ANEXO III-3'!$A$1:$F$13</definedName>
    <definedName name="_xlnm.Print_Area" localSheetId="29">'28.ANEXO III-4'!$A$1:$F$12</definedName>
    <definedName name="_xlnm.Print_Area" localSheetId="30">'29.ANEXO III-5'!$A$1:$F$7</definedName>
    <definedName name="_xlnm.Print_Area" localSheetId="6">'5. RER'!$A$1:$K$61</definedName>
    <definedName name="_xlnm.Print_Area" localSheetId="7">'6. FP RER'!$A$1:$K$64</definedName>
    <definedName name="_xlnm.Print_Area" localSheetId="8">'7. Generacion empresa'!$A$1:$J$66</definedName>
    <definedName name="_xlnm.Print_Area" localSheetId="9">'8. Max Potencia'!$A$1:$K$62</definedName>
    <definedName name="_xlnm.Print_Area" localSheetId="10">'9. Pot. Empresa'!$A$1:$J$67</definedName>
    <definedName name="_xlnm.Print_Area" localSheetId="1">Índice!$A$1:$L$45</definedName>
    <definedName name="_xlnm.Print_Area" localSheetId="0">'Portada '!$A$1:$L$71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F72" i="45"/>
  <c r="I7" i="22" l="1"/>
  <c r="I8" i="22"/>
  <c r="I9" i="22"/>
  <c r="I10" i="22"/>
  <c r="I11" i="22" l="1"/>
  <c r="E49" i="46"/>
  <c r="G42" i="38"/>
  <c r="D28" i="6" l="1"/>
  <c r="D27" i="6"/>
  <c r="I10" i="6" l="1"/>
  <c r="H10" i="6"/>
  <c r="E20" i="21" l="1"/>
  <c r="F20" i="21"/>
  <c r="C11" i="22" l="1"/>
  <c r="D11" i="22"/>
  <c r="E11" i="22"/>
  <c r="F11" i="22"/>
  <c r="G11" i="22"/>
  <c r="H11" i="22"/>
  <c r="B11" i="22"/>
  <c r="J11" i="22"/>
  <c r="E31" i="6" l="1"/>
  <c r="G20" i="21" l="1"/>
  <c r="B16" i="7" l="1"/>
  <c r="C16" i="7"/>
  <c r="D16" i="7"/>
  <c r="E16" i="7"/>
  <c r="F10" i="46" l="1"/>
  <c r="F9" i="46"/>
  <c r="E5" i="36"/>
  <c r="E4" i="36"/>
  <c r="F42" i="38"/>
  <c r="C66" i="13" l="1"/>
  <c r="C65" i="11"/>
  <c r="B65" i="11"/>
  <c r="B66" i="13"/>
  <c r="D64" i="11"/>
  <c r="G12" i="7" l="1"/>
  <c r="D12" i="7"/>
  <c r="F46" i="46" l="1"/>
  <c r="D6" i="11"/>
  <c r="E2" i="46" l="1"/>
  <c r="D2" i="46"/>
  <c r="C2" i="46"/>
  <c r="E2" i="45"/>
  <c r="D2" i="45"/>
  <c r="C2" i="45"/>
  <c r="D58" i="11" l="1"/>
  <c r="D34" i="11"/>
  <c r="C47" i="46" l="1"/>
  <c r="C49" i="46" s="1"/>
  <c r="D47" i="46"/>
  <c r="D49" i="46" s="1"/>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D63" i="11" l="1"/>
  <c r="J16" i="7" l="1"/>
  <c r="H16" i="7"/>
  <c r="G16" i="7"/>
  <c r="D20" i="21" l="1"/>
  <c r="H20" i="21" l="1"/>
  <c r="F44" i="46"/>
  <c r="F43" i="46"/>
  <c r="F42" i="46"/>
  <c r="F41" i="46"/>
  <c r="F40" i="46"/>
  <c r="F39" i="46"/>
  <c r="F38" i="46"/>
  <c r="F37" i="46"/>
  <c r="F36" i="46"/>
  <c r="F35" i="46"/>
  <c r="F34" i="46"/>
  <c r="F33" i="46"/>
  <c r="F32" i="46"/>
  <c r="F26" i="46"/>
  <c r="F25" i="46"/>
  <c r="F24" i="46"/>
  <c r="F23" i="46"/>
  <c r="F22" i="46"/>
  <c r="F21" i="46"/>
  <c r="F20" i="46"/>
  <c r="F19" i="46"/>
  <c r="F18" i="46"/>
  <c r="F17" i="46"/>
  <c r="F16" i="46"/>
  <c r="F15" i="46"/>
  <c r="F14" i="46"/>
  <c r="F13" i="46"/>
  <c r="F12" i="46"/>
  <c r="F11" i="46"/>
  <c r="F8" i="46"/>
  <c r="F7" i="46"/>
  <c r="F6" i="46"/>
  <c r="F5" i="46"/>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F49" i="46" l="1"/>
  <c r="E4" i="45" l="1"/>
  <c r="E4" i="46" s="1"/>
  <c r="B14" i="12" l="1"/>
  <c r="F14" i="8"/>
  <c r="A64" i="10" l="1"/>
  <c r="A43" i="10"/>
  <c r="N14" i="18" l="1"/>
  <c r="J11" i="9" l="1"/>
  <c r="H11" i="9"/>
  <c r="G11" i="9"/>
  <c r="D6" i="16" l="1"/>
  <c r="C28" i="14" l="1"/>
  <c r="A36" i="22" l="1"/>
  <c r="F6" i="36" l="1"/>
  <c r="A66" i="11" l="1"/>
  <c r="F22" i="8" l="1"/>
  <c r="B19" i="8"/>
  <c r="C19" i="8"/>
  <c r="D19" i="8"/>
  <c r="E19" i="8"/>
  <c r="E12" i="9" s="1"/>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5"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2" i="22" l="1"/>
  <c r="B58" i="18"/>
  <c r="B40" i="18"/>
  <c r="B21" i="18"/>
  <c r="A58" i="12"/>
  <c r="F67" i="13"/>
  <c r="B18" i="12" l="1"/>
  <c r="B20" i="12" s="1"/>
  <c r="C18" i="12"/>
  <c r="D18" i="12"/>
  <c r="D20" i="12" s="1"/>
  <c r="E18" i="12"/>
  <c r="E20" i="12" s="1"/>
  <c r="G18" i="12"/>
  <c r="G20" i="12" s="1"/>
  <c r="H18" i="12"/>
  <c r="H20" i="12" s="1"/>
  <c r="J18" i="12"/>
  <c r="J20" i="12" s="1"/>
  <c r="F28" i="6" l="1"/>
  <c r="F30" i="6"/>
  <c r="F11" i="14" l="1"/>
  <c r="F29" i="6" l="1"/>
  <c r="F27" i="6"/>
  <c r="A58" i="7" l="1"/>
  <c r="E26" i="6"/>
  <c r="E66" i="11" l="1"/>
  <c r="C45" i="10"/>
  <c r="D3" i="36" l="1"/>
  <c r="C3" i="36"/>
  <c r="F2" i="37"/>
  <c r="F3" i="23"/>
  <c r="C2" i="23"/>
  <c r="C1" i="37" s="1"/>
  <c r="C1" i="38" s="1"/>
  <c r="E15" i="22"/>
  <c r="A15" i="22"/>
  <c r="A12" i="22"/>
  <c r="A21" i="21"/>
  <c r="F6" i="21"/>
  <c r="E6" i="21"/>
  <c r="D6" i="21"/>
  <c r="B47" i="18"/>
  <c r="B28" i="18"/>
  <c r="B10" i="18"/>
  <c r="C31" i="16"/>
  <c r="E6" i="16"/>
  <c r="A67" i="13"/>
  <c r="B3" i="13"/>
  <c r="B5" i="11"/>
  <c r="C5" i="11" s="1"/>
  <c r="B4" i="11"/>
  <c r="G6" i="7"/>
  <c r="G4" i="8" s="1"/>
  <c r="G4" i="9" s="1"/>
  <c r="D7" i="7"/>
  <c r="E7" i="7" s="1"/>
  <c r="A46" i="6"/>
  <c r="B32"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6" i="6"/>
  <c r="D31" i="6"/>
  <c r="C5" i="9" l="1"/>
  <c r="F39" i="9"/>
  <c r="F31"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H19" i="8"/>
  <c r="J19" i="8"/>
  <c r="I12" i="7"/>
  <c r="E5" i="8"/>
  <c r="I19" i="8" l="1"/>
  <c r="E5" i="9"/>
  <c r="I20" i="12"/>
  <c r="K20" i="12"/>
  <c r="F40" i="9"/>
  <c r="M39" i="9" s="1"/>
  <c r="F20" i="12"/>
  <c r="K19" i="8"/>
  <c r="J12" i="9"/>
  <c r="G12" i="9"/>
  <c r="K12" i="7"/>
  <c r="I11" i="9"/>
  <c r="H12" i="9"/>
  <c r="F11" i="9"/>
  <c r="K11" i="9"/>
  <c r="D65" i="11"/>
</calcChain>
</file>

<file path=xl/sharedStrings.xml><?xml version="1.0" encoding="utf-8"?>
<sst xmlns="http://schemas.openxmlformats.org/spreadsheetml/2006/main" count="1663" uniqueCount="765">
  <si>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</si>
  <si>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</si>
  <si>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</si>
  <si>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</si>
  <si>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</si>
  <si>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</si>
  <si>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</si>
  <si>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</si>
  <si>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</si>
  <si>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</si>
  <si>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</si>
  <si>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</si>
  <si>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</si>
  <si>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</si>
  <si>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</si>
  <si>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</si>
  <si>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</si>
  <si>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</si>
  <si>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</si>
  <si>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</si>
  <si>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</si>
  <si>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</si>
  <si>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</si>
  <si>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</si>
  <si>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</si>
  <si>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</si>
  <si>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</si>
  <si>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</si>
  <si>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</si>
  <si>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</si>
  <si>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</si>
  <si>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</si>
  <si>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</si>
  <si>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</si>
  <si>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</si>
  <si>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</si>
  <si>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</si>
  <si>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</si>
  <si>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</si>
  <si>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</si>
  <si>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</si>
  <si>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</si>
  <si>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</si>
  <si>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</si>
  <si>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</si>
  <si>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</si>
  <si>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</si>
  <si>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</si>
  <si>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</si>
  <si>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</si>
  <si>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</si>
  <si>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</si>
  <si>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</si>
  <si>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</si>
  <si>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</si>
  <si>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</si>
  <si>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</si>
  <si>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</si>
  <si>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</si>
  <si>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</si>
  <si>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</si>
  <si>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</si>
  <si>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</si>
  <si>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</si>
  <si>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</si>
  <si>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</si>
  <si>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</si>
  <si>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</si>
  <si>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</si>
  <si>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</si>
  <si>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</si>
  <si>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</si>
  <si>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</si>
  <si>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</si>
  <si>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</si>
  <si>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</si>
  <si>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</si>
  <si>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</si>
  <si>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</si>
  <si>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</si>
  <si>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</si>
  <si>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</si>
  <si>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</si>
  <si>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</si>
  <si>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</si>
  <si>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</si>
  <si>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</si>
  <si>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</si>
  <si>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</si>
  <si>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</si>
  <si>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</si>
  <si>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</si>
  <si>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</si>
  <si>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</si>
  <si>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</si>
  <si>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</si>
  <si>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</si>
  <si>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</si>
  <si>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</si>
  <si>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</si>
  <si>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</si>
  <si>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</si>
  <si>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</si>
  <si>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</si>
  <si>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</si>
  <si>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</si>
  <si>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</si>
  <si>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</si>
  <si>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</si>
  <si>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</si>
  <si>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</si>
  <si>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</si>
  <si>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</si>
  <si>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</si>
  <si>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</si>
  <si>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</si>
  <si>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</si>
  <si>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</si>
  <si>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</si>
  <si>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</si>
  <si>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</si>
  <si>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</si>
  <si>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</si>
  <si>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</si>
  <si>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</si>
  <si>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</si>
  <si>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</si>
  <si>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</si>
  <si>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</si>
  <si>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</si>
  <si>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</si>
  <si>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</si>
  <si>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</si>
  <si>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</si>
  <si>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</si>
  <si>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</si>
  <si>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</si>
  <si>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</si>
  <si>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</si>
  <si>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</si>
  <si>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</si>
  <si>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</si>
  <si>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</si>
  <si>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</si>
  <si>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</si>
  <si>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</si>
  <si>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</si>
  <si>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</si>
  <si>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</si>
  <si>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</si>
  <si>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</si>
  <si>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</si>
  <si>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</si>
  <si>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</si>
  <si>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</si>
  <si>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</si>
  <si>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</si>
  <si>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</si>
  <si>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</si>
  <si>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</si>
  <si>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</si>
  <si>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</si>
  <si>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</si>
  <si>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</si>
  <si>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</si>
  <si>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</si>
  <si>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</si>
  <si>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</si>
  <si>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</si>
  <si>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</si>
  <si>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</si>
  <si>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</si>
  <si>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</si>
  <si>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</si>
  <si>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</si>
  <si>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</si>
  <si>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</si>
  <si>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</si>
  <si>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</si>
  <si>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</si>
  <si>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</si>
  <si>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</si>
  <si>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</si>
  <si>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</si>
  <si>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</si>
  <si>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</si>
  <si>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</si>
  <si>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</si>
  <si>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</si>
  <si>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</si>
  <si>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</si>
  <si>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</si>
  <si>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</si>
  <si>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</si>
  <si>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</si>
  <si>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</si>
  <si>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</si>
  <si>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</si>
  <si>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</si>
  <si>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</si>
  <si>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</si>
  <si>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</si>
  <si>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</si>
  <si>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</si>
  <si>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</si>
  <si>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</si>
  <si>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</si>
  <si>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</si>
  <si>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</si>
  <si>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</si>
  <si>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</si>
  <si>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</si>
  <si>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</si>
  <si>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</si>
  <si>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</si>
  <si>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</si>
  <si>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</si>
  <si>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</si>
  <si>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</si>
  <si>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</si>
  <si>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</si>
  <si>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</si>
  <si>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</si>
  <si>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</si>
  <si>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</si>
  <si>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</si>
  <si>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</si>
  <si>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</si>
  <si>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</si>
  <si>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</si>
  <si>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</si>
  <si>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</si>
  <si>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</si>
  <si>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</si>
  <si>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</si>
  <si>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</si>
  <si>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</si>
  <si>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</si>
  <si>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</si>
  <si>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</si>
  <si>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</si>
  <si>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</si>
  <si>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</si>
  <si>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</si>
  <si>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</si>
  <si>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</si>
  <si>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</si>
  <si>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</si>
  <si>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</si>
  <si>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</si>
  <si>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</si>
  <si>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</si>
  <si>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</si>
  <si>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</si>
  <si>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</si>
  <si>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</si>
  <si>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</si>
  <si>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</si>
  <si>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</si>
  <si>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</si>
  <si>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</si>
  <si>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</si>
  <si>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</si>
  <si>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</si>
  <si>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</si>
  <si>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</si>
  <si>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</si>
  <si>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</si>
  <si>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</si>
  <si>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</si>
  <si>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</si>
  <si>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</si>
  <si>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</si>
  <si>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</si>
  <si>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</si>
  <si>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</si>
  <si>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</si>
  <si>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</si>
  <si>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</si>
  <si>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</si>
  <si>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</si>
  <si>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</si>
  <si>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</si>
  <si>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</si>
  <si>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</si>
  <si>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</si>
  <si>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</si>
  <si>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</si>
  <si>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</si>
  <si>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</si>
  <si>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</si>
  <si>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</si>
  <si>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</si>
  <si>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</si>
  <si>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</si>
  <si>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</si>
  <si>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</si>
  <si>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</si>
  <si>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</si>
  <si>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</si>
  <si>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</si>
  <si>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</si>
  <si>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</si>
  <si>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</si>
  <si>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</si>
  <si>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</si>
  <si>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</si>
  <si>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</si>
  <si>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</si>
  <si>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</si>
  <si>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</si>
  <si>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</si>
  <si>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</si>
  <si>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</si>
  <si>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</si>
  <si>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</si>
  <si>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</si>
  <si>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</si>
  <si>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</si>
  <si>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</si>
  <si>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</si>
  <si>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</si>
  <si>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</si>
  <si>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</si>
  <si>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</si>
  <si>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</si>
  <si>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</si>
  <si>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</si>
  <si>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</si>
  <si>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</si>
  <si>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</si>
  <si>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</si>
  <si>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</si>
  <si>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</si>
  <si>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</si>
  <si>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</si>
  <si>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</si>
  <si>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</si>
  <si>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</si>
  <si>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</si>
  <si>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</si>
  <si>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</si>
  <si>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</si>
  <si>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</si>
  <si>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</si>
  <si>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</si>
  <si>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</si>
  <si>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</si>
  <si>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</si>
  <si>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</si>
  <si>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</si>
  <si>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</si>
  <si>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</si>
  <si>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</si>
  <si>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</si>
  <si>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</si>
  <si>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</si>
  <si>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</si>
  <si>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</si>
  <si>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</si>
  <si>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</si>
  <si>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</si>
  <si>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</si>
  <si>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</si>
  <si>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</si>
  <si>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</si>
  <si>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</si>
  <si>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</si>
  <si>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</si>
  <si>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</si>
  <si>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</si>
  <si>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</si>
  <si>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</si>
  <si>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</si>
  <si>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</si>
  <si>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</si>
  <si>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</si>
  <si>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</si>
  <si>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</si>
  <si>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</si>
  <si>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</si>
  <si>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</si>
  <si>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</si>
  <si>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</si>
  <si>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</si>
  <si>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</si>
  <si>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</si>
  <si>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</si>
  <si>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</si>
  <si>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</si>
  <si>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</si>
  <si>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</si>
  <si>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</si>
  <si>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</si>
  <si>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</si>
  <si>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</si>
  <si>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</si>
  <si>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</si>
  <si>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</si>
  <si>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</si>
  <si>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</si>
  <si>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</si>
  <si>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</si>
  <si>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</si>
  <si>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</si>
  <si>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</si>
  <si>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</si>
  <si>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</si>
  <si>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</si>
  <si>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</si>
  <si>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</si>
  <si>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</si>
  <si>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</si>
  <si>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</si>
  <si>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</si>
  <si>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</si>
  <si>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</si>
  <si>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</si>
  <si>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</si>
  <si>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</si>
  <si>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</si>
  <si>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</si>
  <si>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</si>
  <si>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</si>
  <si>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</si>
  <si>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</si>
  <si>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</si>
  <si>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</si>
  <si>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</si>
  <si>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</si>
  <si>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</si>
  <si>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</si>
  <si>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</si>
  <si>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</si>
  <si>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</si>
  <si>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</si>
  <si>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</si>
  <si>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</si>
  <si>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</si>
  <si>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</si>
  <si>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</si>
  <si>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</si>
  <si>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</si>
  <si>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</si>
  <si>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</si>
  <si>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</si>
  <si>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</si>
  <si>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</si>
  <si>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</si>
  <si>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</si>
  <si>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</si>
  <si>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</si>
  <si>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</si>
  <si>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ELECTRICA SANTA ROSA / ATRIA</t>
  </si>
  <si>
    <t>TOTAL (CONSIDERANDO LA IMPORTACIÓN)</t>
  </si>
  <si>
    <t>EMGE JUNÍN / SANTA CRUZ</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</si>
  <si>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</si>
  <si>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</si>
  <si>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</si>
  <si>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</si>
  <si>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</si>
  <si>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</si>
  <si>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</si>
  <si>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</si>
  <si>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</si>
  <si>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</si>
  <si>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</si>
  <si>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</si>
  <si>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2. MODIFICACIÓN DE LA OFERTA DE GENERACIÓN ELÉCTRICA DEL SEIN EN EL 2020</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</si>
  <si>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</si>
  <si>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</si>
  <si>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</si>
  <si>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</si>
  <si>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</si>
  <si>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</si>
  <si>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</si>
  <si>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</si>
  <si>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</si>
  <si>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</si>
  <si>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</si>
  <si>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</si>
  <si>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</si>
  <si>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</si>
  <si>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19:15</t>
  </si>
  <si>
    <t>19:00</t>
  </si>
  <si>
    <t>12:30</t>
  </si>
  <si>
    <t>INVERSION DE ENERGÍA RENOVABLES</t>
  </si>
  <si>
    <t>12:00</t>
  </si>
  <si>
    <t>14:45</t>
  </si>
  <si>
    <t>18:45</t>
  </si>
  <si>
    <t>00:15</t>
  </si>
  <si>
    <t>Empresa</t>
  </si>
  <si>
    <t>Recurso Energético</t>
  </si>
  <si>
    <t>Tipo de Tecnologia</t>
  </si>
  <si>
    <t>Central</t>
  </si>
  <si>
    <t>Unidad</t>
  </si>
  <si>
    <t>Tensión  
(kV)</t>
  </si>
  <si>
    <t>Potencia Instalada (MW)</t>
  </si>
  <si>
    <t xml:space="preserve">Potencia Efectiva  (MW) </t>
  </si>
  <si>
    <t>Operación Comercial</t>
  </si>
  <si>
    <t>Central Solar</t>
  </si>
  <si>
    <t>Central Hidroeléctrica</t>
  </si>
  <si>
    <t>Turbina de Vapor</t>
  </si>
  <si>
    <t>Central Eólica</t>
  </si>
  <si>
    <t>Central a Biogás</t>
  </si>
  <si>
    <t>MCI</t>
  </si>
  <si>
    <t>G1 ; G2</t>
  </si>
  <si>
    <t>13.07.2020</t>
  </si>
  <si>
    <t>PERUANA DE INVERSIONES EN ENERGÍAS RENOVABLES</t>
  </si>
  <si>
    <t>16.07.2020</t>
  </si>
  <si>
    <t>Pelton</t>
  </si>
  <si>
    <t>11:30</t>
  </si>
  <si>
    <t>20:00</t>
  </si>
  <si>
    <t>11:45</t>
  </si>
  <si>
    <t>(1) Inicio de operación comercial de la C.T. Callao propiedad de PETRAMÁS S.A. a las 00:00 horas del 13.07.2020</t>
  </si>
  <si>
    <t>C.T. CALLAO  (1)</t>
  </si>
  <si>
    <t>C.H. MANTA I  (2)</t>
  </si>
  <si>
    <t>C.T. CALLAO</t>
  </si>
  <si>
    <t>RED DE ENERGIA DEL PERU S.A.</t>
  </si>
  <si>
    <t>CONCESIONARIA LINEA DE TRANSMISION CCNCM S.A.C.</t>
  </si>
  <si>
    <t>TRANSFORMADOR 3D</t>
  </si>
  <si>
    <t>20:45</t>
  </si>
  <si>
    <t>14:30</t>
  </si>
  <si>
    <t>L-2205  L-2206</t>
  </si>
  <si>
    <t>POMACOCHA - SAN JUAN</t>
  </si>
  <si>
    <t>T62-161  T6-261</t>
  </si>
  <si>
    <t>C.H. MANTA I</t>
  </si>
  <si>
    <t>ELECTRO SUR ESTE</t>
  </si>
  <si>
    <t>L. SAN GABÁN II - MAZUCO - LINEA L-1014</t>
  </si>
  <si>
    <t>HIDRANDINA</t>
  </si>
  <si>
    <t>ELECTRO PUNO</t>
  </si>
  <si>
    <t>L. AZÁNGARO - PUTINA - LINEA L-6024</t>
  </si>
  <si>
    <t>L. CAJAMARCA NORTE - CACLIC - LINEA L-2192</t>
  </si>
  <si>
    <t>MINERA ARUNTANI</t>
  </si>
  <si>
    <t>L. PUNO - TUCARI - LINEA L-6007</t>
  </si>
  <si>
    <t>L. INDEPENDENCIA - PARACAS - LINEA L-6606</t>
  </si>
  <si>
    <t>TRANSMANTARO</t>
  </si>
  <si>
    <t>CONELSUR LT SAC</t>
  </si>
  <si>
    <t>L. AZÁNGARO - ANTAUTA - LINEA L-6021</t>
  </si>
  <si>
    <t>ATN S.A.</t>
  </si>
  <si>
    <t>L. KIMAN AYLLU - SIHUAS - LINEA L-1132</t>
  </si>
  <si>
    <t>L-6627  L-6628</t>
  </si>
  <si>
    <t>MARCONA - SAN NICOLÁS</t>
  </si>
  <si>
    <t>T-30  T3-261  T4-261</t>
  </si>
  <si>
    <t>INDEPENDENCIA</t>
  </si>
  <si>
    <t>20:30</t>
  </si>
  <si>
    <t>13:00</t>
  </si>
  <si>
    <t>21:00</t>
  </si>
  <si>
    <t>21:30</t>
  </si>
  <si>
    <t>15:30</t>
  </si>
  <si>
    <t>20:15</t>
  </si>
  <si>
    <t>C.T. Callao</t>
  </si>
  <si>
    <t>C.H. Manta I</t>
  </si>
  <si>
    <t>Nota: Los valores de potencia efectiva de C.T. Callao y C.H. Manta I corresponden a lo presentado en su ficha técnica para su operación comercial.</t>
  </si>
  <si>
    <t>(2) Inicio de operación comercial de la C.H. Manta I propiedad de PERUANA DE INVERSIÓN EN ENERGÍAS RENOVABLES S.A. a las 00:00 horas del 16.07.2020</t>
  </si>
  <si>
    <t>noviembre</t>
  </si>
  <si>
    <t>1.1. Producción de energía eléctrica en noviembre 2020 en comparación al mismo mes del año anterior</t>
  </si>
  <si>
    <t xml:space="preserve">ENEL DISTRIBUCION PERU </t>
  </si>
  <si>
    <t>L. HUACHO - HUALMAY - LINEA L-685</t>
  </si>
  <si>
    <t>Desconectó la línea en 60 kV L-685 (Huacho - Hualmay) por falla cuya causa no fue informada por Enel Distribución, titular de la línea.Como consecuencia se interrumpió el suministro de las SS.EE. Hualmay y Medio Mundo con un total de 19.288 MW. A las 00:19 h, se recuperaron los suministros interrumpidos mediante la conexión de la línea en 60 kV L-6932 (Supe - Medio Mundo). La línea L-685 quedó fuera de servicio para inspección.</t>
  </si>
  <si>
    <t xml:space="preserve">ELECTRO DUNAS </t>
  </si>
  <si>
    <t>L. EL CARMEN - PEDREGAL - LINEA L-6619_Proyecto</t>
  </si>
  <si>
    <t>Desconectaron las líneas L-6618 / L-6619 (Pueblo Nuevo - Pedregal - Tambo de Mora - El Carmen) de 60 kV, por falla monofásica en la fase “T” a 18.95 km y 16.92 km visto desde la S.E. El Carmen respectivamente, debido a causas no informadas por Electro Dunas, titular de las líneas. Como consecuencia se interrumpió la carga de las SS.EE. Tambo de Mora y Pedregal en total 3.27 MW. A las 6:34 h y 6:40 h se conectaron las líneas L-6618 y L-6619 respectivamente y se procedió a recuperar los suministros interrumpidos.</t>
  </si>
  <si>
    <t>L. HUALLANCA - LA PAMPA - LINEA L-6682</t>
  </si>
  <si>
    <t>Desconectó la línea L-6682 (Huallanca – La Pampa) de 66 kV por falla en la fase “T”, debido a bucle abierto en la estructura T-39, según lo informado por Hidrandina, titular de la línea. Como consecuencia se interrumpió el suministro de La Pampa (0.133 MW) y Pallasca (0.83 MW), así mismo, se produjo la desconexión de la C.H Manta con 4.82 MW.A las 15:20 h, se energizó la línea y se verificó que los valores de tensión se encontraban desbalanceados. A las 15:32 h, se desconectó la línea por inspección. A las 23:06 h, se conectó la línea luego de su reparación y se inició la normalización del suministro interrumpido. A las 23:53 h la C.H. Manta entró en servicio.</t>
  </si>
  <si>
    <t>Desconectó la línea L-6021 (Azángaro – Antauta) de 60 kV por falla originado por descarga atmosférica en la zona de Azangaro, según lo informado por Electro Puno, titular de la línea. Como consecuencia se interrumpió el suministro de Antauta con 1.5 MW. A las 15:18 h, se conectó la línea y se procedió a normalizar el suministro interrumpido</t>
  </si>
  <si>
    <t>L. TRUJILLO NORTE - CAJAMARCA NORTE - LINEA L-2260</t>
  </si>
  <si>
    <t>Desconectó la línea L-2260 (Trujillo Norte - Cajamarca Norte) de 220 kV, por falla bifásica a tierra entre las fases "S-T" a 94 km desde la S.E. Cajamarca Norte, debido a quema de cañaverales en el vano T 119 a T120 de la línea, según lo informado por CONELSUR, titular de la línea. Como consecuencia los usuarios libres Minera Yanacocha y Sider Perú disminuyeron sus cargas de 17.67 MW a 6.2 MW y 34 MW a 28 MW respectivamente.  A las 16:02 h y 16:04 h, se coordinaron con los CC-YAN y CC-SID normalizar el suministro interrumpido. A las 16:12 h, se conectó la línea L-2260.</t>
  </si>
  <si>
    <t>L. NEPEÑA - SAN JACINTO - LINEA L-1114</t>
  </si>
  <si>
    <t>Desconectó la línea L-1114 (Nepeña - San Jacinto) de 138 KV en la SE Nepeña por falla bifásica atierra entre las fases "R" y "S", en el momento que se realizaba pruebas de operatividad en el transformador elevador 13.8kV/22.9kV del alimentador SJC052 (Moro – Jimbe), según lo informado por Hidrandina, titular de los equipos. Como consecuencia se interrumpió el suministro de Moro y Jimbe en total 0.72 MW.  A las 14:04 h, se energiza la línea L-1144 en vació. A las 12:46 h, se energiza la barra de 13.8 kV y se procedió a normalizar el suministro interrumpido.</t>
  </si>
  <si>
    <t>Desconectó la línea L-6606 (Independencia - Paracas) de 60 kV por falla en la fase "T", debido al acercamiento de tolva de volquete con la fase “T”, en el vano E127 - E128 de la línea, según lo informado por Electro Dunas, titular de la línea. Como consecuencia se interrumpió el suministro de la S.E. Paracas y el cliente libre MINSUR con un total de 10,33 MW. A las 15:01 h se conectó la línea, procediendo a normalizar el suministro interrumpido</t>
  </si>
  <si>
    <t>L. LA NIÑA 500 - TRUJILLO 500 - LINEA L-5010</t>
  </si>
  <si>
    <t>Se produjo exitoso en la línea L-5010 (La Niña-Trujillo Norte) de 500 kV, por falla monofásica en la fase "R" a 212 km de la S.E. Trujillo Nueva, debido a causas no evidenciadas durante la inspección, según lo informado por Transmantaro, titular de la línea. A la 01:00 h, Minera Yanacocha informó que redujo 11 MW y se coordinó recuperar su carga.</t>
  </si>
  <si>
    <t>L. CHIMBOTE SUR - NEPEÑA - LINEA L-1112</t>
  </si>
  <si>
    <t>Desconectó la línea L-1112 (Chimbote Sur – Nepeña) de 138 kV por falla monofásica en la fase T, debido a deterioro de la cadena de aisladores en la estructura E-81, según lo informado por HIDRANDINA, titular de la línea. Como consecuencia, la C.T. San Jacinto quedó en sistema aislado con 6.1 MW con la carga de Agroindustria San Jacinto y se interrumpió el suministro de S.E. San Jacinto, Casma y Nepeña en total 8.71 MW. A las 02:40 h, se energizó la línea con resultado negativo. A las 06:50 h, luego de concluir el mantenimiento correctivo, HIDRANDINA energizó la línea y se procedió a recuperar los suministros interrumpidos.</t>
  </si>
  <si>
    <t>ELECTRONORTE S.A.</t>
  </si>
  <si>
    <t>S.E. PAMPA PAÑALA - CELDA CL-6054</t>
  </si>
  <si>
    <t>Desconectó la línea L-6155 (Tierras Nuevas - Pampa Pañala) de 60 kV, por falla en la fase "R" por contacto de aves, según lo informado por COELVISAC, titular de la línea. Como consecuencia se interrumpió la S.E. Pampa Pañala con una carga de 0.04 MW. A las 10:36 h, se conectó la línea y se recuperó la carga interrumpida.</t>
  </si>
  <si>
    <t>Desconectó la línea L-5010 (Trujillo Nueva - La Niña) de 500 kV, por falla bifásica entre las fases “R y T” a 164.18 km desde la S.E. La Niña, debido a quema de caña, según lo informado por Transmantaro, titular de la línea. Como consecuencia, se produjo reducción de carga de los clientes Sider Perú en 3 MW, Cementos Pacasmayo en 1.38 MW y Minera Yanacocha en 11.17 MW. A las 11:40 h, se coordinó recuperar toda la carga de Minera Yanacocha. A las 11:46 h, se coordinó recuperar toda la carga de Sider Perú. A las 11:37 h se coordinó recuperar toda la carga de Cementos Pacasmayo. A las 12:25 h se conectó la línea L-5010.</t>
  </si>
  <si>
    <t>Desconectó la línea L-1112 (Chimbote -Sur Nepeña) de 138 kV por fallamonofásica en la fase "S" a 6.7 km de la S.E. Chimbote Sur, originada por contacto de cartel publicitario con la línea, según lo informado por HIDRANDINA, titular de la línea. Como consecuencia, se produjo interrupción de las subestaciones Nepeña, Casma y San Jacinto con una carga total de 10.40 MW y la C.T. San Jacinto quedó en sistema aislado con la carga de su cliente Agroindustrias San Jacinto. A las 18:36 h, HIDRANDINA conectó la línea e inicio la recuperación de sus suministros interrumpidos. A las 18:50 h, sincronizó la C.T. San Jacinto con el sistema.</t>
  </si>
  <si>
    <t>ELECTROCENTRO</t>
  </si>
  <si>
    <t>L. YAUPI - OXAPAMPA - LINEA L-1203</t>
  </si>
  <si>
    <t>Desconectó la línea L-1203 (Yaupi - Oxapampa) de 138 kV, por falla cuya causa se investiga, según lo informado por ELECTROCENTRO propietario de la línea. Como consecuencia se interrumpió el suministro de la SS.EE. Oxapampa, Villa Rica, Pichanaki, Satipo, Carhuamayo, Puerto Bermúdez y Ciudad Constitución con un total de 5.8 MW. A las 09:54 h, personal de Electrocentro concluye la inspección minuciosa en la S.E. Yaupi y se realiza un intento de energización del interruptor 13.8kV (4IN-013-903(9140)) con resultado negativo. A las 17:30 h, se conectó la línea L-1203.</t>
  </si>
  <si>
    <t>L. BELAUNDE TERRY - TARAPOTO - LINEA L-1018</t>
  </si>
  <si>
    <t>Desconectó la línea L-1018 (Belaunde Terry - Tarapoto) de 138 kV por falla monofásica en la fase "T" ubicada a 25.87 km desde la S.E. Tarapoto, por probables descargas atmosféricas en la zona, según lo informado por ELECTRO ORIENTE, titular de este tramo de línea. Simultáneamente desconectó la línea L-1017 (Tarapoto - Bellavista) de 138 kV en la S.E. Bellavista por actuación indeseada de su sistema de protección, por causas no informadas por ELECTRO ORIENTE, titular de la línea. Como consecuencia se interrumpió el suministro de las SS.EE Tarapoto, Pongo de Caynarachi y Yurimaguas, con un total de 26.705 MW. A las 17:50 h se conectó la línea L-1018 (Belaunde Terry - Tarapoto) de 138 kV y se procedió a normalizar los suministros interrumpidos. A las 17:58 h se conectó la línea L-1017.</t>
  </si>
  <si>
    <t>SEAL</t>
  </si>
  <si>
    <t>L. MARCONA - BELLA UNIÓN - LINEA L-6672</t>
  </si>
  <si>
    <t>Desconectó la línea L-6672 (Marcona – Bella Unión) de 60 kV, por falla bifásica entre las fases “R-S”, debido a rotura de conductor en la estructura N° 130 de la línea, según lo informado por SEAL, titular de la línea. Como consecuencia se interrumpió el suministro de Bella Unión y Chala con un total de 8.58 MW. A las 15:52 h se conectó la línea L-6672 y se inició la normalización del suministro interrumpido.</t>
  </si>
  <si>
    <t>L. MACHUPICCHU - CACHIMAYO - LINEA L-1001</t>
  </si>
  <si>
    <t>Desconectó la línea L-1002 (Quencoro – Machupicchu) de 138 kV por falla bifásica entre las fases “S y T”, cuya causa se encuentra en investigación por parte de EGEMSA, titular de la línea. Asimismo, desconectó la línea L-1001 (Machupicchu – Cachimayo) de 138 kV en la S.E. Machupicchu por causa que se investiga. Como consecuencia el usuario libre Industrias Cachimayo (INCASAC) disminuyó su carga de 23.05 MW a 12.99 MW por actuación de sus protecciones internas. A las 03:15 h, se coordinó con INCASAC normalizar su carga.  A las 07:47 h y 07:53 h, se conectaron las líneas L-1001 y L-1002 respectivamente</t>
  </si>
  <si>
    <t>Desconectó la línea L-1001 (Machupicchu – Cachimayo) de 138 kV en la S.E. Machupicchu, por falla monofásica en la fase “R”, debido a causas no determinadas, según lo informado por EGEMSA, titular de la línea. Simultáneamente se produjo un recierre exitoso en la línea L-1007 (Abancay Nueva – Cachimayo) de 138 kV, por falla monofásica en la fase “T” a 79.4 km desde la S.E Abancay Nueva, debido a descargas atmosféricas, según lo informado por REP, titular de la línea. Como consecuencia el usuario libre Industrias Cachimayo (INCASAC) disminuyó su carga de 23.1 MW a 12.27 MW por actuación de sus protecciones internas. A las 13:44 h, se coordinó con INCASAC normalizar su carga interrumpida. A las 15:15 h, se conectó la línea L-1001.</t>
  </si>
  <si>
    <t>Desconectó la línea L-6024/L-6025/L-6026 (Azángaro – Putina - Ananea) de 60 kV por falla debido a descarga atmosférica en la zona de Putina – Ananea, según lo informado por Electro Puno, titular de las líneas. Como consecuencia se interrumpió el suministro de Ananea y Huancané en total 8.65 MW. A las 16:01 h, se conectó en vacío la línea L-6024/L-6025/L-6026 y se procedió a normalizar el suministro interrumpido.</t>
  </si>
  <si>
    <t>S.E. COTARUSE - CELDA CL-2058</t>
  </si>
  <si>
    <t>Desconectó la celda CL-2058 (Cotaruse-Selene) de 220 kV en la S.E. Selene, por falla en el sensor de temperatura del transformador TR-COT-220-001 de 220/60 kV, según lo informado por Mina Ares, titular del transformador. Como consecuencia, el transformador TR-COT-2201 quedó desenergizado y se interrumpió el suministro de la S.E. Selene con 22.362 MW. A las 15:42 h, se energizó el transformador TR-COT-220 y se procedió a recuperar los suministros interrumpidos.</t>
  </si>
  <si>
    <t>Desconectó la línea L-1112 (Chimbote - Nepeña) de 138 kV, por falla monofásica en la fase "S" a 10.5 km desde la S.E. Chimbote Sur, debido al desprendimiento de línea por deterioro de conductor, de acuerdo a lo informado por HIDRANDINA, titular de la línea. Como consecuencia, se interrumpió los suministros de Nepeña, Casma, San Jacinto con 11.97 MW. La C.T. San Jacinto quedó en sistema aislado. A las 14:44 h, entró en servicio la línea L-1112 y se procedió a normalizar el suministro interrumpido. A las 14:57 h, sincronizó con el sistema la C.T. San Jacinto.</t>
  </si>
  <si>
    <t>L. MAZUCO - PTO MALDONADO - LINEA L-1015</t>
  </si>
  <si>
    <t>Desconectó la línea L-1015 (Mazuco - Puerto Maldonado) de 138 kV por falla monofásica a tierra en la fase "R" a 36.43km desde la S.E. Mazuco debido a descargas atmosféricas, de acuerdo con lo informado por ELECTRO SUR ESTE, titular de la línea, Como consecuencia se perdió la carga de 8.39 MW de la S.E. Puerto Maldonado y así mismo desconectó el generador G1 de la CH. Angel III con 6.4 MW. La línea L-1015 quedó energizada en el extremo de la S.E. Mazuco debido a que el sistema de disparo monopolar en el extremo de Puerto Maldonado se encontraba deshabilitado. El CC-ESE tuvo dificultades para la comunicación de la falla por problemas de Scada. A las 01:07 h, se coordinó recuperar el 100 % de los suministros interrumpidos.</t>
  </si>
  <si>
    <t>L. CAJAMARCA - SAN MARCOS - LINEA L-6047</t>
  </si>
  <si>
    <t>Desconectaron las líneas en 60 kV L-6047/L-6048 (Cajamarca - Aguas Calientes - San Marcos) por falla trifásica a 49.9 km desde la S.E. Cajamarca, debido a descargas atmosféricas según lo informado por Hidrandina, titular de las líneas. Como consecuencia se interrumpió el suministros de las SS.EE. San Marcos, Cajabamba y Huamachuco con un total de 5.07 MW y desconectó la C.H. Potrero. A las 16:14 h, se pusieron en servicio las líneas y se procedió a recuperar los suministros interrumpidos.</t>
  </si>
  <si>
    <t>Desconectó la línea L-6682 (Huallanca - La Pampa) de 66 kV por actuación de su protección de distancia (21) zona 1 señalizando falla monofásica en la fase "S", debido a descargas atmosféricas, según lo informado por Hidrandina, titular de la línea. Como consecuencia se interrumpió el suministro de las subestaciones La Pampa y Pallasca en 1,92 MW, así mismo, desconectó la C.H. Manta con 2.6 MW. A las 17:14 h, se conectó la línea L-6682 y se procedió a recuperar los suministros interrumpidos.</t>
  </si>
  <si>
    <t>Desconectó la línea L-1014 (San Gaban - Mazuco) de 138 kV, por falla monofásica fase “S” a 61.71 km, debido a descargas atmosféricas, según informe de ELECTRO SUR ESTE, titular de la línea. Como consecuencia se interrumpió la carga de las subestaciones Mazuco y Puerto Maldonado con un total de 13.78 MW, a la misma hora también desconectó la C.H. El Angel con 9 MW. A las 23:25 h se conectó la línea L-1014 desde la S.E. San Gabán, a las 23:28 h se conectó la línea L-1015 desde la S.E. Mazuco, y se procedió a recuperar toda la carga interrumpida. A las 23:25 h, sincronizó la C.H. El Angel con el SEIN.</t>
  </si>
  <si>
    <t>ELECTRONOROESTE S.A.</t>
  </si>
  <si>
    <t>L. PIURA OESTE - SULLANA - LINEA L-6698</t>
  </si>
  <si>
    <t>Desconexión simultánea de las líneas L-6698 (Piura Oeste - Sullana) y L-6662B (El Arenal - La Huaca) de 60KV, por actuación indeseada del sistema de protección de la línea L-6698 de la S.E. Sullana, informada por ENOSA, titular de las líneas. Como consecuencia se interrumpieron los suministros de las SS.EE. Sullana, Poechos, La Huaca y Quiroz en 40.92 MW y desconectaron las CC.HH. Poechos I con 6.8 MW y Poechos II con 3.98 MW, además de la C.T. Tablazo, de propiedad de ENOSA. A las 22:14 h, se conectó la línea L-6698 y se inició la recuperación del suministro interrumpido. A las 22:26 h, se conectó la línea L-6662B cerrando el anillo de 60 KV. A las 22:47 h, sincronizó la C.H. Poechos I.A las 22:55 h, sincronizó la C.H. Poechos II.</t>
  </si>
  <si>
    <t xml:space="preserve">SINERSA </t>
  </si>
  <si>
    <t>L. POECHOS - SULLANA - LINEA L-6668</t>
  </si>
  <si>
    <t>Desconexión de la línea L-6668 (Poechos-Sullana) 60 kV por falla debido a causas no informadas por Sinersa, propietaria de la línea. Como consecuencia salió de servicio los grupos G1 y G2 de la C.H. Poechos II con 1.97 MW y 1.99 MW respectivamente, y el grupo G2 de la C.H. Curumuy con 3.63 MW. Asimismo desconectó la línea L-6698 (Piura Oeste - Sullana) en la S.E. Piura Oeste y la línea L-6662 (El Arenal - La Huaca) ocasionando la interrupción de suministros en las SS.EE. Sullana y Poechos. Según lo informado por ENOSA, titular de las líneas, el sistema de protección detectó falla monofásica en la fase "S". A las 06:03 en servicio la línea L-6668 kV y la línea L-6698 en la S.E. Piura Oeste. A las 06:19 h en servicio el grupo G2 de la C.H. Curumuy. A las 06:20 h y 06:27 h en servicio los grupos G1 y G2 de Poechos II, respectivamente. A las 06:44 h se conecta la línea L-6662 en la S.E. Sullana y se procede a normalizar los suministros interrumpidos</t>
  </si>
  <si>
    <t>Desconexión de la línea L-2192 (Cajamarca Norte-Cáclic) por falla monofásica en la fase "T”, debido a causas que se encuentran en investigación, según lo informado por Concesionaria línea de Transmisión CCNCM, titular de la línea. Como consecuencia, se activó el Esquema de Rechazo de Carga por Mínima Tensión de Moyobamba, interrumpiendo una carga total de 12,839 MW, seguidamente, desconectó la línea L-2194 (Cáclic-Belaunde Terry) de 220 kV por sobretensión, interrumpiendo los suministros de Cáclic con un total de 2,0 MW. A las 15:55 h, se coordinó recuperar 10 MW con Electro Oriente. A las 15:59 h, se energizó la línea L-2192 desde la S.E. Cajamarca Norte. A las 15:59 h, se energizó el autotransformador AT-3201 de la S.E. Cáclic. A las 16:00 h, se coordina recuperar la carga de Cáclic. A las 16:11 h, se energizó la línea L-2194 (Cáclic-Belaunde Terry). A las 16:18 h, se energizo el transformador AT-4201 en 220 kV. A las 16:22 se cerró el interruptor IN-4101 del lado de 138 kV del AT-4201 con sincronismo, cerrando el anillo Cajamarca Norte – Belaunde Terry-Tingo María. A las 16:22 h, se coordinó recuperar toda la carga interrumpida.</t>
  </si>
  <si>
    <t>ETESELVA</t>
  </si>
  <si>
    <t>L. AGUAYTÍA - TINGO MARÍA - LINEA L-2251</t>
  </si>
  <si>
    <t>Desconexión de la línea L-2251 (Aguaytía-Tingo María) 220 kV por falla monofásica en la fase "T" a 65.9 km desde la S.E. Tingo María, debido a descargas atmosféricas en la zona, según lo informado por ETESELVA, titular de la línea. Como consecuencia se interrumpió el suministro en las subestaciones Pucallpa y Aguaytía con un total de 49,6 MW. La unidad TG2 de la C.T. Aguaytía quedó girando en vacío. A las 12:25 h, se coordina arrancar la reserva fría de Pucallpa. A las 12:30 se energizó la barra de 60 kV de la S.E. Pucallpa. A las 12:50 h, se energizó la línea L-2251 a través del cierre del interruptor IN-2348 de la S.E. Aguaytía, que a su vez energizó el transformador T38-211 lado 220 kV de la S.E. Aguaytía, se coordinó recuperar la carga interrumpida de pueblo Aguaytía. A las 12:54 h, se conectó la línea L-1125 (Aguaytía – Pucallpa) en serie con el reactor R-11 de la S.E. Pucallpa 138 Kv. A las 12:59 h, el sistema aislado de Pucallpa sincronizó con el SEIN.</t>
  </si>
  <si>
    <t>S.E. AGUAYTÍA - CELDA CL2251</t>
  </si>
  <si>
    <t>Desconexión de la línea L-2251 en la S.E. Aguaytía 220 kV, por falla del sincronismo en el cierre del interruptor IN-2350 de la S.E Aguaytía, maniobra que se realizada por el ingreso de la unidad TG2 de la C.T. Aguaytía, según lo informado por ETESELVA, titular de los equipos. La línea L-2251 quedó tensionada desde la S.E. Tingo María. Como consecuencia se interrumpió el suministro en las subestaciones Pucallpa y Aguaytía Pueblo con un total de 52,60 MW. A las 14:55 h, se energizó la barra de 60 kV de la S.E. Pucallpa con la Reserva Fría de Pucallpa. A las 14:58 h, se energizó la línea L-2251 a través del cierre del interruptor IN-2348 de la S.E. Aguaytía, que a su vez energizó el transformador T38-211 lado 220 kV de la S.E. Aguaytía. A las 14:58 h, se conectó la línea L-1125 (Aguaytía – Pucallpa) en serie con el reactor R-11 de la S.E. Pucallpa 138 kV. A las 15:01 h, el sistema aislado de Pucallpa sincronizó con el SEIN. A las 15:01 h, se procedió a recuperar la cara interrumpida de Pueblo Aguaytía. A las 15:02 h se coordinó recuperar toda la carga interrumpida.</t>
  </si>
  <si>
    <t>S.E. TACAMA - TRAFO3D TR 60/22.9/10</t>
  </si>
  <si>
    <t>Desconectó el transformador 60/22.9/10 kV de la S.E. Tacama, durante trabajos de actualización del sistema de control de la RTU, según lo informado por Electro Dunas, titular del equipo. Como consecuencia se interrumpió el suministro de la S.E. Tacama en 4,69 MW. A las 17:14 h, se puso en servicio el transformador y se procedió a normalizar el suministro interrumpido.</t>
  </si>
  <si>
    <t>S.E. SANTA MARGARITA - TRAFO3D TR 60/22.9/10</t>
  </si>
  <si>
    <t>Desconectó el transformador 60/22.9/10 kV de la S.E. Santa Margarita, durante trabajos de actualización del sistema de control de la RTU, según lo informado por Electro Dunas, titular del equipo. Como consecuencia se interrumpió el suministro de la S.E. Santa Margarita en 17,28 MW. A las 17:14 h, se puso en servicio el transformador y se procedió a normalizar el suministro interrumpido.</t>
  </si>
  <si>
    <t>Desconectó la línea L-1132 (Kiman Ayllu-Sihuas) de 138 kV por falla bifásica a tierra entre las fases "S" y "T" ubicada a 63.3 km desde la S.E. Kiman Ayllu, debido a descargas atmosféricas, según lo informado por HIDRANDINA, titular de la línea. Como consecuencia se interrumpieron las SS.EE. Sihuas, Pomabamba, Huari, Llacuabamba (compañía mira marsa) con un total de 20.23 MW, asimismo, desconectó la C.H. María Jiray con 1,0 MW y la C.H. Pomabamba con 0,44 MW. A las 16:15 h, se energizó la línea L-1132 y se coordinó la normalización de los suministros interrumpidos.</t>
  </si>
  <si>
    <t>Desconectó la línea L-1132 (Kiman Ayllu-Sihuas) de 138 kV por falla monofásica en la fase "S" ubicada a 54,4 km desde la S.E. Kiman Ayllu, debido a descargas atmosféricas, según lo informado por HIDRANDINA, titular de la línea. Como consecuencia, se interrumpió el suministro en las SS.EE. Sihuas, Tayabamba, Pomabamba, Huari y Llacuabamba con un total de 2,50 MW. La línea quedo fuera de servicio por inspección. A las 17:03 h, la línea L-1132 se energizó y se coordinó normalizar los suministros.</t>
  </si>
  <si>
    <t>Desconexión de la línea L-685 (Huacho-Hualmay) 60 kV por falla bifásica entre las fases "R" y "S" debido a causas no informadas por ENEL DISTRIBUCIÓN, titular de la línea. Como consecuencia se interrumpió el suministro eléctrico en la S.E. Hualmay. A las 09:28 h, se recuperó la carga interrumpida a través de la línea L-6932 (Supe Medio Mundo). A las 17:38 h,la línea L-685 se puso en servicio luego de su inspección.</t>
  </si>
  <si>
    <t>S.E. SOCABAYA - TRAFO3D ATR1</t>
  </si>
  <si>
    <t>Desconectaron los autotransformadores ATR1 y ATR2 de 220/138 kV de la S.E. Socabaya 220 kV, durante trabajos de revisión en el circuito de transferencia del interruptor de acople de la S.E. Socabaya 138 kV, según lo informado por TRANSMANTARO, titular de los equipos; los autotransformadores quedaron tensionados en vacío desde 138 kV. Como consecuencia desconectaron las CC.HH Charcani V con 78,8 MW y La Joya con 4,6 MW, seguidamente, a las 09:42 h se produjo la desconexión de la línea L-1020 en la S.E. Callalli, por actuación de su protección distancia, cuya causa no ha sido informada por REP, titular de la línea; esto origino la desconexión de las SS.EE Santuario, Socabaya, Cerro Verde, Repartición, Majes, Mollendo y Camaná. Como consecuencia del evento se interrumpió un total de 201,29 MW de carga.</t>
  </si>
  <si>
    <t>CONENHUA</t>
  </si>
  <si>
    <t>S.E. TAMBOMAYO - TRAFO3D T52-02</t>
  </si>
  <si>
    <t>Desconectó el transformador T52-02 de 138/22/10 kV de la S.E. Tambomayo, por actuación de su protección de mínima tensión, debido a la desconexión de los autotransformadores ATR1 y ATR2 de la S.E. Socabaya 220 kV, según lo informado por Conenhua, titular del transformador T52-02. Como consecuencia se interrumpió la carga de la S.E. Tambomayo con 5.1 MW. A las 10:12 h, se conectó el transformador T52-02 y se inició la recuperación del suministro interrumpido.</t>
  </si>
  <si>
    <t>S.E. HUÁNUCO - BARRA BARRA24</t>
  </si>
  <si>
    <t>Se produjo la desconexión de la barra de 24 kV de la S.E. Huánuco por apertura del interruptor de 24 kV del transformador T130-121, debido a la actuación de su protección de sobretensión homopolar (59N) por pérdida de señal de tensión de la fase “R” del transformador zig-zag, momento en que se realizaba pruebas de simulación de señales, según lo informado por REP, titular del equipo. Como consecuencia se interrumpió el suministro de la Electro Centro con un total de 5.18 MW. La barra quedó indisponible para su inspección. A las 15:48 h, se energizó la barra de 24 kV con lo cual se inició la normalización del suministro interrumpido.</t>
  </si>
  <si>
    <t>L. TRUJILLO NORTE - TRUJILLO NUEVA - LINEA L-2290</t>
  </si>
  <si>
    <t>Desconectó la línea L-2290 (Trujillo Norte – Trujillo Nueva) de 220 kV por falla monofásica en la fase "R" ubicada a 3,4 km desde la S.E. Trujillo Norte, debido a rotura de conductor de fibra óptica, según lo informado por TRANSMANTARO, titular de la línea. Como consecuencia el usuario libre Cemento Pacasmayo disminuyó su carga en 2,04 MW por actuación de sus protecciones propias. A las 23:31 h, se coordinó con el CC-CNP, normalizar su carga interrumpida. A las 23:46 h se realizó un intento de energización de la línea L-2290 en la S.E. Trujillo Norte, el sistema de protección registró falla bifásica entre las fases “R y S”, produciendo la desconexión de la línea, como consecuencia Minera Yanacocha Redujo su carga en la S.E. La Quinua en 13,2 MW y en la S.E. La Pajuela en 1,95 MW por actuación de sus protecciones propias. El día 22/11/2020 a las 16:59 h la línea L-2290 entró en servicio.</t>
  </si>
  <si>
    <t>Se energizó la línea L-2290 (Trujillo Norte – Trujillo Nueva) de 220 kV con resultado negativo luego de haber sido declarada disponible por parte de Transmantaro, titular de la línea. Como consecuencia los usuarios libres Cementos Pacasmayo, Sider Perú y Minera Yanacocha disminuyeron su carga en total 20.17 MW por actuación de sus protecciones propias. A las 23:47 h y 23:50 h, se coordinó con el CC-YAN y CC-CNP normalizar su carga interrumpida. A las 00:03 h del 22/11/2020 se coordinó con el CC-SID, normalizar su carga interrumpida.</t>
  </si>
  <si>
    <t>L. CHILINA - PQUE INDUSTRIAL_AREQUIPA - LINEA L-3060</t>
  </si>
  <si>
    <t>Desconectaron las líneas L-3060 y L-3061 (Parque Industrial - Challapampa 1 y 2) de 33 kV, por falla bifásica entre las fases "R" y "S", cuya causa se encuentra en investigación, informada por SEAL, titular de las líneas. Como consecuencia desconectaron las líneas L-3064 y L-3065 (Convertidor - Challapampa 1 y 2) de 33 kV, y se interrumpió el suministro de las SS.EE. Challapampa, Cono Norte y Real Plaza con un total de 21,11 MW. A las 15:15 h se energizaron las líneas L-3064 (Convertidor-Challapampa 1) en la S.E. Convertidor. A las A las 15:16 h se energizaron las líneas L-3065 (Convertidor-Challapampa 2) en la S.E. Convertidor y se procedió a normalizar el suministro interrumpido. Las líneas L-3060 y 3061 quedaron fuera de servicio para su inspección. A las 15:34 y 17:11 horas, se energizan las líneas L-3060 y L-3061 respectivamente.</t>
  </si>
  <si>
    <t>Desconectó la línea L-1203 (Yaupi - Oxapampa) de 138 kV, por falla monofásica en la fase "S" debido a una avería en el cable seco fase “S” en 13,8 kV del transformador de la S.E. Yaupi, según lo informado por Electrocentro, titular de los equipos. Como consecuencia se interrumpió los suministros de las subestaciones S.E. Oxapampa, S.E. Villa Rica, S.E. Puerto Bermudez, S.E. Pichanaky y S.E. Satipo con un total de 15,23 MW. La línea quedo fuera de servicio para inspección. El día 23/11/2020 a las 05:22 h se energizó la S.E. Yaupi y se procedió a restablecer el suministro interrumpido.</t>
  </si>
  <si>
    <t>Desconexión de la línea L-1015 (Mazuco-Puerto Maldonado) 138 kV por falla bifásica entre las fases “R y T” ubicada a 14.33 km desde la S.E. Mazuco, debido a probable contacto con objeto desconocido, según lo informado por Electro Sur Este, titular de la línea. Como consecuencia se interrumpió el suministro en la S.E. Puerto Maldonado con un total de 18.651 MW y desconectó la C.H. ÁNGEL cuando generaba 14 MW. A las 10:16 h, se energiza la línea L-1015 y se procede a normalizar el suministro interrumpido. A las 10:29 h, en servicio el grupo G2 del Ángel II.</t>
  </si>
  <si>
    <t>Desconectó la línea en 138 kV L-1014 (San Gabán - Mazuco) por falla monofásica en la fase "T" debido a caída de árbol sobre la línea, según lo informado por Electro Sur Este, titular de la línea. Como consecuencia se interrumpió 20.512 MW de las SS.EE. Mazuco y Puerto Maldonado, asimismo, desconectaron los grupos G1 de Ángel III y G2 del Ángel II cuando generaban un total de 10,6 MW. A las 13:37 h, se energizó la línea L-1014 con resultado negativo y desconectó el grupo G1 del Ángel I con 3,4 MW. A las 13:39 h se coordinó orden de arranque a la Reserva Fría de Puerto Maldonado para operar y se procedió a recuperar el suministro interrumpido de la S.E. Puerto Maldonado, cabe mencionar que la línea L-1014 no cuenta con interruptor en la S.E. Mazuko y se encuentra en by-pass. A las 20:17 h, Electro Sur Este informó que realizó la apertura del by-pass en la línea L-1014 con lo que la línea L-1015 quedó disponible para su energización. A las 20:29 h se energizó la línea L-1015 desde la S.E. Puerto Maldonado, a las 20:30 h se energizó la barra de 138 kV en la S.E. Mazuko, a las 20:33 h se energizó el transformador de 138/22.9 kV en la S.E. Mazuko y se procedió a recuperar la carga interrumpida. A las 22:48 h del 24/11/2020, ELSE desconectó la línea L-1015 (Mazuko - Puerto Maldonado) y se interrumpió la carga de la S.E. Mazuko, la desconexión de la línea L-1015 permitió cerrar los cuellos muertos en la línea L-1014 (San Gaban - Mazuko). A las 00:17 h del 25/11/2020 entró en servicio la línea L-1014 y se procedió a recuperar la carga interrumpida en la S.E. Mazuko desde el SEIN. A las 00:23 h del 25/11/2020 se energizó la línea L-1015 desde la S.E. Mazuko y se coordinó la conexión del sistema aislado de la S.E. Puerto Maldonado hacia el SEIN. El sistema aislado culminó a las 00:35 h del 25/11/2020.</t>
  </si>
  <si>
    <t>Desconexión de la línea L-6024 (Azángaro-Putina-Ananea - Huancané) 60 kV por falla, debido a fuertes vientos en la zona, de acuerdo a lo informado por Electro Puno, titular de la línea. Como consecuencia se interrumpió los suministros con una carga total de 11,34 MW. A las 15:02 h, la línea se puso en servicio.</t>
  </si>
  <si>
    <t>Desconexión de la línea L-6024 (Azángaro-Putina-Ananea-Huancané) 60 kV por falla debido a fuertes vientos en la zona, de acuerdo a lo informado por Electro Puno, titular de la línea. Como consecuencia se interrumpió los suministros con una carga total de 10,35 MW.A las 15:46 h, la línea se puso en servicio.</t>
  </si>
  <si>
    <t>Desconectó la línea L-6007 (Puno - Tucari) de 60 kV por falla cuya causa no ha sido informada por Minera Aruntani, titular de la línea. Como consecuencia se interrumpió el suministro en la S.E. Tucari con un total de 0.18 MW. A las 13:34 h se energizó la línea L-6007 y se procedió a normalizar el suministro interrumpido.</t>
  </si>
  <si>
    <t>L. ZORRITOS - MÁNCORA - LINEA L-6664</t>
  </si>
  <si>
    <t>Desconectó la línea en 60 kV L-6664 (Zorritos - Máncora) por falla cuya causa no fue informada por Electroperú, titular de la línea. Como consecuencia se interrumpió el suministro de la S.E. Máncora en 3.79 MW. A las 07:44 h, se puso en servicio la línea y se procedió a recuperar el suministro interrumpido.</t>
  </si>
  <si>
    <t>Desconectó la línea L-1015 (Mazuco - Puerto Maldonado) de 138 kV por falla monofásica en la fase "S" debido a descargas atmosféricas en la zona, según lo informado por Electro Sur Este, titular de la línea. La línea quedó energizada desde la S.E. Mazuco, luego de un recierre monopolar exitoso. Como consecuencia se interrumpió el suministro de la S.E. Puerto Maldonado con un total de 13.88 MW. Asimismo, desconectó el grupo G1 de la C.H. Angel III con 5.7 MW. A las 21:25 h, se conectaron la línea L-1015 y el transformador T23-121 de la S.E. Puerto Maldonado, y se inició con la normalización del suministro interrumpido. A las 21:53 h, el generador G1 de la C.H. Angel III sincronizó con el SEIN.</t>
  </si>
  <si>
    <t>L. CHIMAY - YANANGO - LINEA L-2257</t>
  </si>
  <si>
    <t>Desconexión de la línea L-2257 (Chimay-Yanango) 220 kV por falla bifásica entre las fases "S" y "T" ubicada a 6.4 km desde la S.E. Chimay, debido a descargas atmosféricas, según lo informado por Conelsur, titular de la línea. Como consecuencia se interrumpió el suministro en la S.E. Chimay con un total de 0.02 MW. A las 17:34 h se energizó la línea y se procedió a normalizar el suministro interrumpido.</t>
  </si>
  <si>
    <t>Desconectó la línea en 138 kV L-1014 (San Gabán - Mazuco) por falla monofásica en la fase "T" ubicada a 40.83 km desde la S.E. San Gabán, cuya causa no ha sido informada por Electro Sur Este, titular de la línea. Como consecuencia la línea L-1015 (MazucoPuerto Maldonado) quedó desenergizada, y se interrumpió el suministro en las SS.EE. Mazuco y Puerto Maldonado con una carga total de 20.08 MW. A las 21:14 h, Electro Sur Este informó sobre la falla. A las 21:16 h, se declaró disponible la línea L-1014 y se coordinó su energización. A las 21:19 h, se energiza la línea L-1015 y se coordina recuperar los suministros interrumpidos de Mazuco y Puerto Maldonado.</t>
  </si>
  <si>
    <t>L. CAJAMARCA NORTE - PAMPA HONDA - LINEA L-2287</t>
  </si>
  <si>
    <t>Se produjo recierre exitoso en la línea L-2287 (Cajamarca Norte - Pampa Honda) de 220 kV, por falla monofásica en la fase "S", debido a descargas atmosféricas en la zona, según lo informado por ATN, titular de la línea. Como consecuencia, Minera Yanacocha tuvo una reducción de carga de 12.2 MW.</t>
  </si>
  <si>
    <t>01/11/2020</t>
  </si>
  <si>
    <t>02/11/2020</t>
  </si>
  <si>
    <t>03/11/2020</t>
  </si>
  <si>
    <t>04/11/2020</t>
  </si>
  <si>
    <t>05/11/2020</t>
  </si>
  <si>
    <t>06/11/2020</t>
  </si>
  <si>
    <t>07/11/2020</t>
  </si>
  <si>
    <t>08/11/2020</t>
  </si>
  <si>
    <t>09/11/2020</t>
  </si>
  <si>
    <t>10/11/2020</t>
  </si>
  <si>
    <t>11/11/2020</t>
  </si>
  <si>
    <t>12/11/2020</t>
  </si>
  <si>
    <t>13/11/2020</t>
  </si>
  <si>
    <t>14/11/2020</t>
  </si>
  <si>
    <t>15/11/2020</t>
  </si>
  <si>
    <t>23:15</t>
  </si>
  <si>
    <t>16/11/2020</t>
  </si>
  <si>
    <t>17/11/2020</t>
  </si>
  <si>
    <t>21:45</t>
  </si>
  <si>
    <t>18/11/2020</t>
  </si>
  <si>
    <t>19/11/2020</t>
  </si>
  <si>
    <t>20/11/2020</t>
  </si>
  <si>
    <t>21/11/2020</t>
  </si>
  <si>
    <t>11:00</t>
  </si>
  <si>
    <t>22/11/2020</t>
  </si>
  <si>
    <t>23/11/2020</t>
  </si>
  <si>
    <t>24/11/2020</t>
  </si>
  <si>
    <t>25/11/2020</t>
  </si>
  <si>
    <t>26/11/2020</t>
  </si>
  <si>
    <t>27/11/2020</t>
  </si>
  <si>
    <t>28/11/2020</t>
  </si>
  <si>
    <t>29/11/2020</t>
  </si>
  <si>
    <t>30/11/2020</t>
  </si>
  <si>
    <t>LINEA DE TRANSMISION</t>
  </si>
  <si>
    <t>CELDA</t>
  </si>
  <si>
    <t>L-2264</t>
  </si>
  <si>
    <t>L-2018</t>
  </si>
  <si>
    <t>L-2011</t>
  </si>
  <si>
    <t>L-2010</t>
  </si>
  <si>
    <t>L-2110</t>
  </si>
  <si>
    <t>L-2203  L-2204</t>
  </si>
  <si>
    <t>L-2294</t>
  </si>
  <si>
    <t>L-2259</t>
  </si>
  <si>
    <t>L-2090</t>
  </si>
  <si>
    <t>PARAGSHA II - CONOCOCHA</t>
  </si>
  <si>
    <t>SAN JUAN - LOS INDUSTRIALES</t>
  </si>
  <si>
    <t>SAN JUAN - SANTA ROSA N.</t>
  </si>
  <si>
    <t>SANTA ROSA N. - LOS INDUSTRIALES</t>
  </si>
  <si>
    <t>HUANZA-CARABAYLLO</t>
  </si>
  <si>
    <t>CAMPO ARMIÑO - HUANCAVELICA</t>
  </si>
  <si>
    <t>POMACOCHA - CARHUAMAYO</t>
  </si>
  <si>
    <t>CARHUAMAYO - OROYA NUEVA</t>
  </si>
  <si>
    <t>CHILCA - ASIA</t>
  </si>
  <si>
    <t>Total AGROAURORA</t>
  </si>
  <si>
    <t>Total AGUA AZUL</t>
  </si>
  <si>
    <t>Total AIPSA</t>
  </si>
  <si>
    <t>Total ANDEAN POWER</t>
  </si>
  <si>
    <t>Total BIOENERGIA</t>
  </si>
  <si>
    <t>Total CELEPSA</t>
  </si>
  <si>
    <t>Total CERRO VERDE</t>
  </si>
  <si>
    <t>Total CHINANGO</t>
  </si>
  <si>
    <t>Total EGASA</t>
  </si>
  <si>
    <t>Total EGECSAC</t>
  </si>
  <si>
    <t>Total EGEMSA</t>
  </si>
  <si>
    <t>Total EGESUR</t>
  </si>
  <si>
    <t>Total ELECTRICA SANTA ROSA / ATRIA</t>
  </si>
  <si>
    <t>Total ELECTRICA YANAPAMPA</t>
  </si>
  <si>
    <t>Total ELECTRO ZAÑA</t>
  </si>
  <si>
    <t>Total ELECTROPERU</t>
  </si>
  <si>
    <t>Total EMGE HUALLAGA</t>
  </si>
  <si>
    <t>Total EMGE HUANZA</t>
  </si>
  <si>
    <t>Total EMGE JUNÍN / SANTA CRUZ</t>
  </si>
  <si>
    <t>Total ENEL GENERACION PERU</t>
  </si>
  <si>
    <t>Total ENEL GENERACION PIURA</t>
  </si>
  <si>
    <t>Total ENEL GREEN POWER PERU</t>
  </si>
  <si>
    <t>Total ENERGÍA EÓLICA</t>
  </si>
  <si>
    <t>Total ENGIE</t>
  </si>
  <si>
    <t>Total FENIX POWER</t>
  </si>
  <si>
    <t>Total GENERACIÓN ANDINA</t>
  </si>
  <si>
    <t>Total GEPSA</t>
  </si>
  <si>
    <t>Total GTS MAJES</t>
  </si>
  <si>
    <t>Total GTS REPARTICION</t>
  </si>
  <si>
    <t>Total HIDROCAÑETE</t>
  </si>
  <si>
    <t>Total HIDROELECTRICA HUANCHOR</t>
  </si>
  <si>
    <t>Total HIDROMARAÑON/ CELEPSA RENOVABLES</t>
  </si>
  <si>
    <t>Total HUAURA POWER</t>
  </si>
  <si>
    <t>Total HYDRO PATAPO</t>
  </si>
  <si>
    <t>Total INLAND</t>
  </si>
  <si>
    <t>Total INVERSION DE ENERGÍA RENOVABLES</t>
  </si>
  <si>
    <t>Total IYEPSA</t>
  </si>
  <si>
    <t>Total KALLPA</t>
  </si>
  <si>
    <t>Total MAJA ENERGIA</t>
  </si>
  <si>
    <t>Total MOQUEGUA FV</t>
  </si>
  <si>
    <t>Total ORAZUL ENERGY PERÚ</t>
  </si>
  <si>
    <t>Total P.E. MARCONA</t>
  </si>
  <si>
    <t>Total P.E. TRES HERMANAS</t>
  </si>
  <si>
    <t>Total PANAMERICANA SOLAR</t>
  </si>
  <si>
    <t>Total PETRAMAS</t>
  </si>
  <si>
    <t>Total PLANTA  ETEN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</si>
  <si>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</si>
  <si>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</si>
  <si>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</si>
  <si>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</si>
  <si>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</si>
  <si>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</si>
  <si>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</si>
  <si>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</si>
  <si>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</si>
  <si>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</si>
  <si>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</si>
  <si>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</si>
  <si>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</si>
  <si>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C.H. MANTA I (2)</t>
  </si>
  <si>
    <t>El total de la producción de energía eléctrica de la empresas generadoras integrantes del COES en el mes de noviembre 2020 fue de 4 385,37  GWh, lo que representa una disminución de 12,36 GWh (-0,28%) en comparación con el año 2019.</t>
  </si>
  <si>
    <t>La producción de electricidad con centrales hidroeléctricas durante el mes de noviembre 2020 fue de 1 770,37 GWh (29,65% menor al registrado durante noviembre del año 2019).</t>
  </si>
  <si>
    <t>La producción de electricidad con centrales termoeléctricas durante el mes de noviembre 2020 fue de 2 376,82 GWh, 41,67% mayor al registrado durante noviembre del año 2019. La participación del gas natural de Camisea fue de 50,64%, mientras que las del gas que proviene de los yacimientos de Aguaytía y Malacas fue del 2,51%, la producción con diesel, residual, carbón, biogás y bagazo tuvieron una intervención del 0,06%, 0,03%, 0,10%, 0,16%, 0,71% respectivamente.</t>
  </si>
  <si>
    <t>La producción de energía eléctrica con centrales eólicas fue de 156,67 GWh y con centrales solares fue de 81,51 GWh, los cuales tuvieron una participación de 3,57% y 1,86% respectivamente.</t>
  </si>
  <si>
    <t>VOLUMEN ÚTIL
30-11-2020</t>
  </si>
  <si>
    <t>VOLUMEN ÚTIL
30-11-2019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</si>
</sst>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92">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
      <sz val="8"/>
      <name val="Calibri"/>
      <family val="2"/>
    </font>
    <font>
      <sz val="8"/>
      <color theme="0" tint="-0.499984740745262"/>
      <name val="Arial"/>
      <family val="2"/>
    </font>
    <font>
      <b/>
      <sz val="11"/>
      <color theme="0" tint="-0.499984740745262"/>
      <name val="Arial"/>
      <family val="2"/>
    </font>
    <font>
      <sz val="6"/>
      <color theme="0" tint="-0.499984740745262"/>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06">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1" fillId="0" borderId="0" xfId="0" applyFont="1"/>
    <xf numFmtId="0" fontId="42" fillId="0" borderId="0" xfId="0" applyFont="1" applyAlignment="1">
      <alignment vertical="center"/>
    </xf>
    <xf numFmtId="0" fontId="43" fillId="0" borderId="0" xfId="0" applyFont="1" applyAlignment="1">
      <alignment vertical="center"/>
    </xf>
    <xf numFmtId="0" fontId="44" fillId="0" borderId="0" xfId="0" applyFont="1" applyAlignment="1">
      <alignment vertical="center"/>
    </xf>
    <xf numFmtId="0" fontId="42" fillId="0" borderId="0" xfId="0" applyFont="1" applyAlignment="1">
      <alignment horizontal="center" vertical="center"/>
    </xf>
    <xf numFmtId="0" fontId="44" fillId="0" borderId="0" xfId="0" applyFont="1" applyAlignment="1">
      <alignment horizontal="justify" vertical="center"/>
    </xf>
    <xf numFmtId="0" fontId="45" fillId="0" borderId="0" xfId="0" applyFont="1" applyAlignment="1">
      <alignment vertical="center"/>
    </xf>
    <xf numFmtId="0" fontId="43"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6"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8" fillId="0" borderId="0" xfId="0" applyFont="1" applyAlignment="1">
      <alignment vertical="center"/>
    </xf>
    <xf numFmtId="0" fontId="49" fillId="0" borderId="0" xfId="0" applyFont="1" applyAlignment="1">
      <alignment vertical="center"/>
    </xf>
    <xf numFmtId="0" fontId="50" fillId="0" borderId="0" xfId="0" applyFont="1" applyAlignment="1">
      <alignment vertical="center"/>
    </xf>
    <xf numFmtId="0" fontId="50" fillId="0" borderId="0" xfId="0" applyFont="1" applyAlignment="1">
      <alignment horizontal="right" vertical="center"/>
    </xf>
    <xf numFmtId="0" fontId="48" fillId="0" borderId="0" xfId="0" applyFont="1" applyAlignment="1">
      <alignment horizontal="center" vertical="center"/>
    </xf>
    <xf numFmtId="0" fontId="50" fillId="0" borderId="0" xfId="0" applyFont="1" applyAlignment="1">
      <alignment horizontal="justify" vertical="center"/>
    </xf>
    <xf numFmtId="2" fontId="51" fillId="0" borderId="0" xfId="0" applyNumberFormat="1" applyFont="1" applyAlignment="1">
      <alignment vertical="center"/>
    </xf>
    <xf numFmtId="0" fontId="51" fillId="0" borderId="0" xfId="0" quotePrefix="1" applyFont="1" applyAlignment="1">
      <alignment vertical="center" wrapText="1"/>
    </xf>
    <xf numFmtId="0" fontId="51" fillId="0" borderId="0" xfId="0" applyFont="1" applyAlignment="1">
      <alignment vertical="center"/>
    </xf>
    <xf numFmtId="14" fontId="48" fillId="0" borderId="0" xfId="0" applyNumberFormat="1" applyFont="1" applyAlignment="1">
      <alignment vertical="center"/>
    </xf>
    <xf numFmtId="0" fontId="47" fillId="0" borderId="0" xfId="0" applyFont="1" applyAlignment="1">
      <alignment vertical="center"/>
    </xf>
    <xf numFmtId="1" fontId="52" fillId="0" borderId="0" xfId="0" applyNumberFormat="1" applyFont="1" applyAlignment="1">
      <alignment horizontal="center" vertical="center"/>
    </xf>
    <xf numFmtId="171" fontId="53" fillId="6" borderId="0" xfId="3" applyFont="1" applyFill="1"/>
    <xf numFmtId="0" fontId="49" fillId="0" borderId="0" xfId="0" applyFont="1"/>
    <xf numFmtId="1" fontId="54" fillId="0" borderId="0" xfId="3" applyNumberFormat="1" applyFont="1" applyAlignment="1">
      <alignment horizontal="center"/>
    </xf>
    <xf numFmtId="172" fontId="54" fillId="0" borderId="0" xfId="3" applyNumberFormat="1" applyFont="1" applyAlignment="1">
      <alignment horizontal="center"/>
    </xf>
    <xf numFmtId="2" fontId="55" fillId="0" borderId="0" xfId="3" applyNumberFormat="1" applyFont="1"/>
    <xf numFmtId="165" fontId="52" fillId="0" borderId="0" xfId="0" applyNumberFormat="1" applyFont="1" applyAlignment="1">
      <alignment horizontal="right" vertical="center"/>
    </xf>
    <xf numFmtId="166" fontId="52" fillId="0" borderId="0" xfId="0" applyNumberFormat="1" applyFont="1" applyAlignment="1">
      <alignment horizontal="right" vertical="center"/>
    </xf>
    <xf numFmtId="167" fontId="52" fillId="0" borderId="0" xfId="2" applyNumberFormat="1" applyFont="1" applyAlignment="1">
      <alignment horizontal="right" vertical="center"/>
    </xf>
    <xf numFmtId="2" fontId="55" fillId="2" borderId="0" xfId="3" applyNumberFormat="1" applyFont="1" applyFill="1"/>
    <xf numFmtId="0" fontId="52" fillId="0" borderId="0" xfId="0" applyFont="1" applyAlignment="1">
      <alignment vertical="center"/>
    </xf>
    <xf numFmtId="2" fontId="56" fillId="0" borderId="0" xfId="0" applyNumberFormat="1" applyFont="1"/>
    <xf numFmtId="0" fontId="57" fillId="0" borderId="0" xfId="0" applyFont="1" applyAlignment="1">
      <alignment vertical="center"/>
    </xf>
    <xf numFmtId="0" fontId="30" fillId="0" borderId="0" xfId="0" applyFont="1"/>
    <xf numFmtId="1" fontId="0" fillId="0" borderId="0" xfId="0" applyNumberFormat="1"/>
    <xf numFmtId="165" fontId="0" fillId="0" borderId="0" xfId="0" applyNumberForma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8" fillId="0" borderId="0" xfId="0" applyFont="1" applyAlignment="1">
      <alignment vertical="center"/>
    </xf>
    <xf numFmtId="0" fontId="58"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49" fillId="0" borderId="0" xfId="0" applyNumberFormat="1" applyFont="1" applyAlignment="1">
      <alignment vertical="center"/>
    </xf>
    <xf numFmtId="2" fontId="50" fillId="0" borderId="0" xfId="0" applyNumberFormat="1" applyFont="1" applyAlignment="1">
      <alignment vertical="center"/>
    </xf>
    <xf numFmtId="10" fontId="31"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1" fillId="3" borderId="0" xfId="0" applyFont="1" applyFill="1" applyAlignment="1">
      <alignment vertical="center"/>
    </xf>
    <xf numFmtId="10" fontId="31"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2"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2"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2"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2"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2"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2"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2" fillId="4" borderId="94" xfId="2" applyNumberFormat="1" applyFont="1" applyFill="1" applyBorder="1" applyAlignment="1">
      <alignment vertical="center"/>
    </xf>
    <xf numFmtId="0" fontId="27" fillId="2" borderId="0" xfId="0" applyFont="1" applyFill="1" applyAlignment="1">
      <alignment vertical="center"/>
    </xf>
    <xf numFmtId="167" fontId="32" fillId="2" borderId="47" xfId="2" applyNumberFormat="1" applyFont="1" applyFill="1" applyBorder="1" applyAlignment="1">
      <alignment vertical="center"/>
    </xf>
    <xf numFmtId="0" fontId="27" fillId="4" borderId="0" xfId="0" applyFont="1" applyFill="1" applyAlignment="1">
      <alignment vertical="center"/>
    </xf>
    <xf numFmtId="167" fontId="32" fillId="4" borderId="47" xfId="2" applyNumberFormat="1" applyFont="1" applyFill="1" applyBorder="1" applyAlignment="1">
      <alignment vertical="center"/>
    </xf>
    <xf numFmtId="167" fontId="39"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2" fillId="2" borderId="51" xfId="2" applyNumberFormat="1" applyFont="1" applyFill="1" applyBorder="1" applyAlignment="1">
      <alignment vertical="center"/>
    </xf>
    <xf numFmtId="0" fontId="27" fillId="4" borderId="52" xfId="0" applyFont="1" applyFill="1" applyBorder="1" applyAlignment="1">
      <alignment vertical="center"/>
    </xf>
    <xf numFmtId="0" fontId="36" fillId="2" borderId="0" xfId="0" applyFont="1" applyFill="1" applyAlignment="1">
      <alignment horizontal="left" vertical="center"/>
    </xf>
    <xf numFmtId="170" fontId="0" fillId="0" borderId="0" xfId="0" applyNumberFormat="1" applyAlignment="1">
      <alignment horizontal="center" vertical="center"/>
    </xf>
    <xf numFmtId="0" fontId="61"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29" fillId="7" borderId="0" xfId="0" applyFont="1" applyFill="1"/>
    <xf numFmtId="0" fontId="0" fillId="7" borderId="0" xfId="0" applyFill="1"/>
    <xf numFmtId="0" fontId="62"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3" fillId="0" borderId="0" xfId="0" applyFont="1"/>
    <xf numFmtId="0" fontId="64" fillId="0" borderId="0" xfId="0" applyFont="1"/>
    <xf numFmtId="0" fontId="64" fillId="0" borderId="0" xfId="0" applyFont="1" applyAlignment="1">
      <alignment horizontal="center"/>
    </xf>
    <xf numFmtId="166" fontId="64" fillId="0" borderId="0" xfId="0" applyNumberFormat="1" applyFont="1"/>
    <xf numFmtId="171" fontId="65" fillId="6" borderId="0" xfId="3" applyFont="1" applyFill="1"/>
    <xf numFmtId="172" fontId="65" fillId="6" borderId="0" xfId="3" applyNumberFormat="1" applyFont="1" applyFill="1"/>
    <xf numFmtId="1" fontId="66" fillId="0" borderId="0" xfId="3" applyNumberFormat="1" applyFont="1" applyAlignment="1">
      <alignment horizontal="center"/>
    </xf>
    <xf numFmtId="172" fontId="66" fillId="0" borderId="0" xfId="3" applyNumberFormat="1" applyFont="1" applyAlignment="1">
      <alignment horizontal="center"/>
    </xf>
    <xf numFmtId="2" fontId="67" fillId="0" borderId="0" xfId="3" applyNumberFormat="1" applyFont="1"/>
    <xf numFmtId="2" fontId="67" fillId="0" borderId="0" xfId="3" applyNumberFormat="1" applyFont="1" applyAlignment="1">
      <alignment horizontal="center"/>
    </xf>
    <xf numFmtId="0" fontId="64" fillId="0" borderId="0" xfId="0" applyFont="1" applyAlignment="1">
      <alignment vertical="center"/>
    </xf>
    <xf numFmtId="2" fontId="67" fillId="2" borderId="0" xfId="3" applyNumberFormat="1" applyFont="1" applyFill="1"/>
    <xf numFmtId="2" fontId="68" fillId="0" borderId="0" xfId="0" applyNumberFormat="1" applyFont="1"/>
    <xf numFmtId="2" fontId="69" fillId="0" borderId="0" xfId="4" applyNumberFormat="1" applyFont="1"/>
    <xf numFmtId="0" fontId="30" fillId="0" borderId="86" xfId="0" applyFont="1" applyBorder="1"/>
    <xf numFmtId="43" fontId="30" fillId="0" borderId="86" xfId="1" applyFont="1" applyBorder="1"/>
    <xf numFmtId="43" fontId="30" fillId="0" borderId="0" xfId="0" applyNumberFormat="1" applyFont="1"/>
    <xf numFmtId="0" fontId="60" fillId="0" borderId="0" xfId="0" applyFont="1" applyAlignment="1">
      <alignment vertical="center"/>
    </xf>
    <xf numFmtId="0" fontId="60" fillId="0" borderId="0" xfId="0" applyFont="1" applyAlignment="1">
      <alignment horizontal="center"/>
    </xf>
    <xf numFmtId="0" fontId="60" fillId="0" borderId="0" xfId="0" applyFont="1" applyAlignment="1">
      <alignment vertical="center" wrapText="1"/>
    </xf>
    <xf numFmtId="0" fontId="60" fillId="0" borderId="0" xfId="0" applyFont="1" applyAlignment="1">
      <alignment horizontal="left" vertical="center" wrapText="1"/>
    </xf>
    <xf numFmtId="49" fontId="61" fillId="0" borderId="0" xfId="0" applyNumberFormat="1" applyFont="1" applyAlignment="1">
      <alignment horizontal="right"/>
    </xf>
    <xf numFmtId="43" fontId="30" fillId="0" borderId="86" xfId="0" applyNumberFormat="1" applyFont="1" applyBorder="1"/>
    <xf numFmtId="1" fontId="61" fillId="0" borderId="0" xfId="0" applyNumberFormat="1" applyFont="1" applyAlignment="1">
      <alignment horizontal="right"/>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0" fontId="30" fillId="0" borderId="0" xfId="0" applyFont="1" applyAlignment="1">
      <alignment horizontal="center"/>
    </xf>
    <xf numFmtId="0" fontId="61" fillId="0" borderId="0" xfId="0" applyFont="1" applyAlignment="1">
      <alignment vertical="center"/>
    </xf>
    <xf numFmtId="0" fontId="61" fillId="0" borderId="0" xfId="0" quotePrefix="1" applyFont="1" applyAlignment="1">
      <alignment horizontal="left" vertical="top"/>
    </xf>
    <xf numFmtId="0" fontId="62" fillId="0" borderId="0" xfId="0" applyFont="1" applyAlignment="1">
      <alignment horizontal="right"/>
    </xf>
    <xf numFmtId="170" fontId="30" fillId="5" borderId="24" xfId="0" applyNumberFormat="1" applyFont="1" applyFill="1" applyBorder="1" applyAlignment="1">
      <alignment horizontal="center" vertical="center"/>
    </xf>
    <xf numFmtId="170" fontId="61" fillId="5" borderId="29" xfId="0" applyNumberFormat="1" applyFont="1" applyFill="1" applyBorder="1" applyAlignment="1">
      <alignment horizontal="center" vertical="center"/>
    </xf>
    <xf numFmtId="167" fontId="61" fillId="5" borderId="24" xfId="2"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61" fillId="2" borderId="31" xfId="0" applyNumberFormat="1" applyFont="1" applyFill="1" applyBorder="1" applyAlignment="1">
      <alignment horizontal="center" vertical="center"/>
    </xf>
    <xf numFmtId="167" fontId="61" fillId="2" borderId="25" xfId="2"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61" fillId="5" borderId="31" xfId="0" applyNumberFormat="1" applyFont="1" applyFill="1" applyBorder="1" applyAlignment="1">
      <alignment horizontal="center" vertical="center"/>
    </xf>
    <xf numFmtId="167" fontId="61" fillId="5" borderId="25" xfId="2"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61" fillId="2" borderId="34" xfId="0" applyNumberFormat="1" applyFont="1" applyFill="1" applyBorder="1" applyAlignment="1">
      <alignment horizontal="center" vertical="center"/>
    </xf>
    <xf numFmtId="167" fontId="61" fillId="2" borderId="26" xfId="2" applyNumberFormat="1" applyFont="1" applyFill="1" applyBorder="1" applyAlignment="1">
      <alignment horizontal="center" vertical="center"/>
    </xf>
    <xf numFmtId="170" fontId="70" fillId="5" borderId="23" xfId="0" applyNumberFormat="1" applyFont="1" applyFill="1" applyBorder="1" applyAlignment="1">
      <alignment horizontal="center" vertical="center"/>
    </xf>
    <xf numFmtId="170" fontId="70" fillId="5" borderId="40" xfId="0" applyNumberFormat="1" applyFont="1" applyFill="1" applyBorder="1" applyAlignment="1">
      <alignment horizontal="center" vertical="center"/>
    </xf>
    <xf numFmtId="167" fontId="60" fillId="5" borderId="23" xfId="2" applyNumberFormat="1" applyFont="1" applyFill="1" applyBorder="1" applyAlignment="1">
      <alignment horizontal="center" vertical="center"/>
    </xf>
    <xf numFmtId="0" fontId="72"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71"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40" fillId="8" borderId="93" xfId="0" applyNumberFormat="1" applyFont="1" applyFill="1" applyBorder="1" applyAlignment="1">
      <alignment horizontal="center" vertical="center"/>
    </xf>
    <xf numFmtId="174" fontId="40" fillId="8" borderId="93" xfId="0" applyNumberFormat="1" applyFont="1" applyFill="1" applyBorder="1" applyAlignment="1">
      <alignment horizontal="center" vertical="center" wrapText="1"/>
    </xf>
    <xf numFmtId="0" fontId="71"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0" fillId="4" borderId="87" xfId="0" applyFont="1" applyFill="1" applyBorder="1"/>
    <xf numFmtId="43" fontId="70" fillId="4" borderId="87" xfId="1" applyFont="1" applyFill="1" applyBorder="1"/>
    <xf numFmtId="43" fontId="70" fillId="4" borderId="87" xfId="0" applyNumberFormat="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0" fillId="0" borderId="0" xfId="0" applyFont="1"/>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49" fillId="0" borderId="0" xfId="0" applyNumberFormat="1" applyFont="1"/>
    <xf numFmtId="0" fontId="76" fillId="0" borderId="0" xfId="0" applyFont="1"/>
    <xf numFmtId="0" fontId="77" fillId="0" borderId="0" xfId="0" applyFont="1" applyAlignment="1">
      <alignment vertical="center"/>
    </xf>
    <xf numFmtId="49" fontId="76" fillId="0" borderId="0" xfId="0" applyNumberFormat="1" applyFont="1" applyAlignment="1">
      <alignment horizontal="center"/>
    </xf>
    <xf numFmtId="1" fontId="76" fillId="0" borderId="0" xfId="0" applyNumberFormat="1" applyFont="1" applyAlignment="1">
      <alignment horizontal="center"/>
    </xf>
    <xf numFmtId="49" fontId="76" fillId="0" borderId="0" xfId="0" applyNumberFormat="1" applyFont="1" applyAlignment="1">
      <alignment horizontal="left"/>
    </xf>
    <xf numFmtId="1" fontId="76" fillId="0" borderId="0" xfId="0" applyNumberFormat="1" applyFont="1" applyAlignment="1">
      <alignment horizontal="left"/>
    </xf>
    <xf numFmtId="165" fontId="76" fillId="0" borderId="0" xfId="0" applyNumberFormat="1" applyFont="1" applyAlignment="1">
      <alignment horizontal="center"/>
    </xf>
    <xf numFmtId="10" fontId="76"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4" fontId="31" fillId="3" borderId="0" xfId="0" applyNumberFormat="1" applyFont="1" applyFill="1" applyAlignment="1">
      <alignment vertical="center"/>
    </xf>
    <xf numFmtId="174" fontId="35" fillId="8" borderId="57" xfId="0" applyNumberFormat="1" applyFont="1" applyFill="1" applyBorder="1" applyAlignment="1">
      <alignmen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0" fontId="70" fillId="4" borderId="0" xfId="0" applyFont="1" applyFill="1" applyBorder="1"/>
    <xf numFmtId="43" fontId="70" fillId="4" borderId="0" xfId="1" applyFont="1" applyFill="1" applyBorder="1"/>
    <xf numFmtId="0" fontId="30" fillId="0" borderId="0" xfId="0" applyFont="1" applyBorder="1" applyAlignment="1">
      <alignment vertical="center"/>
    </xf>
    <xf numFmtId="43" fontId="30" fillId="0" borderId="0" xfId="1" applyFont="1" applyBorder="1" applyAlignment="1">
      <alignment vertical="center"/>
    </xf>
    <xf numFmtId="0" fontId="30" fillId="2" borderId="0" xfId="0" applyFont="1" applyFill="1" applyBorder="1"/>
    <xf numFmtId="43" fontId="30" fillId="2" borderId="0" xfId="1" applyFont="1" applyFill="1" applyBorder="1"/>
    <xf numFmtId="4" fontId="35" fillId="8" borderId="120" xfId="0" applyNumberFormat="1" applyFont="1" applyFill="1" applyBorder="1" applyAlignment="1">
      <alignment vertical="center"/>
    </xf>
    <xf numFmtId="4" fontId="71"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71" fillId="8" borderId="120" xfId="2" applyNumberFormat="1" applyFont="1" applyFill="1" applyBorder="1" applyAlignment="1">
      <alignment vertical="center"/>
    </xf>
    <xf numFmtId="0" fontId="71"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36"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3" fillId="0" borderId="0" xfId="0" applyFont="1" applyAlignment="1">
      <alignment horizontal="center" vertical="center"/>
    </xf>
    <xf numFmtId="0" fontId="78" fillId="2" borderId="0" xfId="0" applyFont="1" applyFill="1" applyAlignment="1">
      <alignment horizontal="left" vertical="center" wrapText="1"/>
    </xf>
    <xf numFmtId="0" fontId="70" fillId="0" borderId="30" xfId="0" applyFont="1" applyBorder="1"/>
    <xf numFmtId="10" fontId="30" fillId="0" borderId="31" xfId="2" applyNumberFormat="1" applyFont="1" applyBorder="1"/>
    <xf numFmtId="0" fontId="70" fillId="4" borderId="133" xfId="0" applyFont="1" applyFill="1" applyBorder="1"/>
    <xf numFmtId="10" fontId="70" fillId="4" borderId="134" xfId="2" applyNumberFormat="1" applyFont="1" applyFill="1" applyBorder="1"/>
    <xf numFmtId="0" fontId="70" fillId="0" borderId="30" xfId="0" applyFont="1" applyBorder="1" applyAlignment="1">
      <alignment vertical="center" wrapText="1"/>
    </xf>
    <xf numFmtId="43" fontId="30" fillId="0" borderId="31" xfId="1" applyFont="1" applyBorder="1"/>
    <xf numFmtId="43" fontId="70" fillId="4" borderId="134" xfId="1" applyFont="1" applyFill="1" applyBorder="1"/>
    <xf numFmtId="0" fontId="30" fillId="0" borderId="31" xfId="0" applyFont="1" applyBorder="1"/>
    <xf numFmtId="0" fontId="70" fillId="2" borderId="30" xfId="0" applyFont="1" applyFill="1" applyBorder="1"/>
    <xf numFmtId="43" fontId="30" fillId="2" borderId="31" xfId="1" applyFont="1" applyFill="1" applyBorder="1"/>
    <xf numFmtId="0" fontId="70" fillId="4" borderId="135" xfId="0" applyFont="1" applyFill="1" applyBorder="1"/>
    <xf numFmtId="0" fontId="70" fillId="4" borderId="119" xfId="0" applyFont="1" applyFill="1" applyBorder="1"/>
    <xf numFmtId="43" fontId="70" fillId="4" borderId="119" xfId="1" applyFont="1" applyFill="1" applyBorder="1"/>
    <xf numFmtId="43" fontId="70" fillId="4" borderId="136" xfId="1" applyFont="1" applyFill="1" applyBorder="1"/>
    <xf numFmtId="0" fontId="70" fillId="0" borderId="30" xfId="0" applyFont="1" applyBorder="1" applyAlignment="1">
      <alignment wrapText="1"/>
    </xf>
    <xf numFmtId="43" fontId="30" fillId="0" borderId="31" xfId="1" applyFont="1" applyBorder="1" applyAlignment="1">
      <alignment vertical="center"/>
    </xf>
    <xf numFmtId="43" fontId="30" fillId="0" borderId="138" xfId="1" applyFont="1" applyBorder="1"/>
    <xf numFmtId="0" fontId="30" fillId="0" borderId="30" xfId="0" applyFont="1" applyBorder="1"/>
    <xf numFmtId="0" fontId="70" fillId="4" borderId="30" xfId="0" applyFont="1" applyFill="1" applyBorder="1"/>
    <xf numFmtId="43" fontId="70" fillId="4" borderId="31" xfId="1" applyFont="1" applyFill="1" applyBorder="1"/>
    <xf numFmtId="0" fontId="70"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0" fillId="0" borderId="138" xfId="2" applyFont="1" applyBorder="1"/>
    <xf numFmtId="10" fontId="30" fillId="0" borderId="138" xfId="2" applyNumberFormat="1" applyFont="1" applyBorder="1"/>
    <xf numFmtId="0" fontId="35" fillId="8" borderId="140"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41" xfId="0" applyFont="1" applyFill="1" applyBorder="1" applyAlignment="1">
      <alignment horizontal="center" vertical="center" wrapText="1"/>
    </xf>
    <xf numFmtId="0" fontId="60" fillId="4" borderId="143" xfId="0" applyFont="1" applyFill="1" applyBorder="1" applyAlignment="1">
      <alignment horizontal="center" vertical="center"/>
    </xf>
    <xf numFmtId="4" fontId="60" fillId="4" borderId="144" xfId="0" applyNumberFormat="1" applyFont="1" applyFill="1" applyBorder="1" applyAlignment="1">
      <alignment horizontal="center" vertical="center"/>
    </xf>
    <xf numFmtId="0" fontId="30" fillId="0" borderId="0" xfId="0" applyFont="1" applyAlignment="1">
      <alignment vertical="center"/>
    </xf>
    <xf numFmtId="0" fontId="79" fillId="0" borderId="0" xfId="0" applyFont="1"/>
    <xf numFmtId="0" fontId="79" fillId="0" borderId="0" xfId="0" applyFont="1" applyAlignment="1">
      <alignment horizontal="right"/>
    </xf>
    <xf numFmtId="0" fontId="80" fillId="4" borderId="142" xfId="0" applyFont="1" applyFill="1" applyBorder="1" applyAlignment="1">
      <alignment vertical="center"/>
    </xf>
    <xf numFmtId="0" fontId="27" fillId="4" borderId="49" xfId="0" applyFont="1" applyFill="1" applyBorder="1" applyAlignment="1">
      <alignment vertical="center" wrapText="1"/>
    </xf>
    <xf numFmtId="0" fontId="80" fillId="0" borderId="142" xfId="0" applyFont="1" applyFill="1" applyBorder="1" applyAlignment="1">
      <alignment vertical="center" wrapText="1"/>
    </xf>
    <xf numFmtId="0" fontId="61" fillId="0" borderId="143" xfId="0" applyFont="1" applyFill="1" applyBorder="1" applyAlignment="1">
      <alignment horizontal="center" vertical="center"/>
    </xf>
    <xf numFmtId="0" fontId="60" fillId="0" borderId="143" xfId="0" applyFont="1" applyFill="1" applyBorder="1" applyAlignment="1">
      <alignment horizontal="center" vertical="center"/>
    </xf>
    <xf numFmtId="4" fontId="61" fillId="0" borderId="144" xfId="0" applyNumberFormat="1" applyFont="1" applyFill="1" applyBorder="1" applyAlignment="1">
      <alignment horizontal="center" vertical="center"/>
    </xf>
    <xf numFmtId="0" fontId="74" fillId="0" borderId="0" xfId="0" applyFont="1"/>
    <xf numFmtId="2" fontId="74" fillId="0" borderId="0" xfId="0" applyNumberFormat="1" applyFont="1" applyAlignment="1">
      <alignment horizontal="center" vertical="center" wrapText="1"/>
    </xf>
    <xf numFmtId="2" fontId="74" fillId="0" borderId="0" xfId="0" quotePrefix="1" applyNumberFormat="1" applyFont="1" applyAlignment="1">
      <alignment horizontal="center" vertical="center" wrapText="1"/>
    </xf>
    <xf numFmtId="17" fontId="74" fillId="0" borderId="0" xfId="0" quotePrefix="1" applyNumberFormat="1" applyFont="1" applyAlignment="1">
      <alignment horizontal="center" vertical="center" wrapText="1"/>
    </xf>
    <xf numFmtId="0" fontId="74" fillId="0" borderId="0" xfId="0" quotePrefix="1" applyFont="1" applyAlignment="1">
      <alignment horizontal="center" vertical="center" wrapText="1"/>
    </xf>
    <xf numFmtId="2" fontId="74" fillId="0" borderId="0" xfId="0" applyNumberFormat="1" applyFont="1" applyAlignment="1">
      <alignment horizontal="left"/>
    </xf>
    <xf numFmtId="2" fontId="73" fillId="0" borderId="0" xfId="0" applyNumberFormat="1" applyFont="1" applyAlignment="1">
      <alignment horizontal="center"/>
    </xf>
    <xf numFmtId="2" fontId="74" fillId="0" borderId="0" xfId="0" applyNumberFormat="1" applyFont="1" applyAlignment="1">
      <alignment horizontal="center"/>
    </xf>
    <xf numFmtId="43" fontId="74" fillId="0" borderId="0" xfId="1" applyFont="1" applyAlignment="1">
      <alignment horizontal="left"/>
    </xf>
    <xf numFmtId="0" fontId="74" fillId="0" borderId="0" xfId="0" applyFont="1" applyAlignment="1">
      <alignment vertical="top" wrapText="1"/>
    </xf>
    <xf numFmtId="166" fontId="49" fillId="0" borderId="0" xfId="0" applyNumberFormat="1" applyFont="1" applyAlignment="1">
      <alignment vertical="center"/>
    </xf>
    <xf numFmtId="172" fontId="66" fillId="7" borderId="0" xfId="3" applyNumberFormat="1" applyFont="1" applyFill="1" applyAlignment="1">
      <alignment horizontal="center"/>
    </xf>
    <xf numFmtId="175" fontId="64" fillId="0" borderId="0" xfId="0" applyNumberFormat="1" applyFont="1" applyAlignment="1">
      <alignment vertical="center"/>
    </xf>
    <xf numFmtId="0" fontId="81" fillId="0" borderId="0" xfId="0" applyFont="1"/>
    <xf numFmtId="176" fontId="21" fillId="0" borderId="39" xfId="2" applyNumberFormat="1" applyFont="1" applyBorder="1" applyAlignment="1">
      <alignment horizontal="right" vertical="center"/>
    </xf>
    <xf numFmtId="0" fontId="0" fillId="0" borderId="0" xfId="0"/>
    <xf numFmtId="0" fontId="82" fillId="0" borderId="0" xfId="0" applyFont="1"/>
    <xf numFmtId="166" fontId="64" fillId="7" borderId="0" xfId="0" applyNumberFormat="1" applyFont="1" applyFill="1"/>
    <xf numFmtId="0" fontId="82" fillId="0" borderId="0" xfId="0" applyFont="1" applyAlignment="1">
      <alignment horizontal="center"/>
    </xf>
    <xf numFmtId="175" fontId="82" fillId="0" borderId="0" xfId="0" applyNumberFormat="1" applyFont="1" applyAlignment="1">
      <alignment horizontal="center"/>
    </xf>
    <xf numFmtId="17" fontId="51" fillId="0" borderId="0" xfId="0" applyNumberFormat="1" applyFont="1" applyAlignment="1">
      <alignment horizontal="center" vertical="center"/>
    </xf>
    <xf numFmtId="2" fontId="51" fillId="0" borderId="0" xfId="0" applyNumberFormat="1" applyFont="1" applyAlignment="1">
      <alignment horizontal="center" vertical="center"/>
    </xf>
    <xf numFmtId="2" fontId="51" fillId="0" borderId="0" xfId="0" quotePrefix="1" applyNumberFormat="1" applyFont="1" applyAlignment="1">
      <alignment horizontal="center" vertical="center" wrapText="1"/>
    </xf>
    <xf numFmtId="43" fontId="21" fillId="4" borderId="40" xfId="1" applyNumberFormat="1" applyFont="1" applyFill="1" applyBorder="1" applyAlignment="1">
      <alignment horizontal="right" vertical="center"/>
    </xf>
    <xf numFmtId="0" fontId="31" fillId="3" borderId="91" xfId="0" applyFont="1" applyFill="1" applyBorder="1" applyAlignment="1">
      <alignment vertical="center"/>
    </xf>
    <xf numFmtId="174" fontId="31"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0" fillId="4" borderId="133" xfId="0" applyFont="1" applyFill="1" applyBorder="1" applyAlignment="1">
      <alignment wrapText="1"/>
    </xf>
    <xf numFmtId="0" fontId="83" fillId="0" borderId="0" xfId="0" applyFont="1" applyAlignment="1">
      <alignment vertical="center"/>
    </xf>
    <xf numFmtId="49" fontId="63" fillId="0" borderId="0" xfId="0" applyNumberFormat="1" applyFont="1" applyAlignment="1">
      <alignment horizontal="right"/>
    </xf>
    <xf numFmtId="1" fontId="63" fillId="0" borderId="0" xfId="0" applyNumberFormat="1" applyFont="1" applyAlignment="1">
      <alignment horizontal="right"/>
    </xf>
    <xf numFmtId="0" fontId="63" fillId="0" borderId="0" xfId="0" applyFont="1" applyAlignment="1">
      <alignment horizontal="right"/>
    </xf>
    <xf numFmtId="1" fontId="29"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0" fontId="84" fillId="0" borderId="0" xfId="0" applyFont="1"/>
    <xf numFmtId="175" fontId="84" fillId="0" borderId="0" xfId="0" applyNumberFormat="1" applyFont="1"/>
    <xf numFmtId="175" fontId="84" fillId="0" borderId="0" xfId="0" applyNumberFormat="1" applyFont="1" applyAlignment="1">
      <alignment horizontal="center"/>
    </xf>
    <xf numFmtId="0" fontId="84" fillId="0" borderId="0" xfId="0" applyFont="1" applyAlignment="1">
      <alignment horizontal="center"/>
    </xf>
    <xf numFmtId="0" fontId="27" fillId="4" borderId="0" xfId="0" applyFont="1" applyFill="1" applyBorder="1" applyAlignment="1">
      <alignment vertical="center"/>
    </xf>
    <xf numFmtId="167" fontId="32"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3" fillId="0" borderId="0" xfId="0" applyNumberFormat="1" applyFont="1"/>
    <xf numFmtId="9" fontId="21" fillId="4" borderId="78" xfId="2" applyFont="1" applyFill="1" applyBorder="1" applyAlignment="1">
      <alignment horizontal="center" vertical="center"/>
    </xf>
    <xf numFmtId="0" fontId="30" fillId="0" borderId="0" xfId="0" applyFont="1" applyAlignment="1">
      <alignment vertical="center" wrapText="1"/>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4" fillId="0" borderId="0" xfId="0" applyFont="1" applyAlignment="1">
      <alignment horizontal="right"/>
    </xf>
    <xf numFmtId="0" fontId="85" fillId="0" borderId="0" xfId="0" applyFont="1"/>
    <xf numFmtId="0" fontId="86" fillId="0" borderId="0" xfId="0" applyFont="1" applyAlignment="1">
      <alignment vertical="center"/>
    </xf>
    <xf numFmtId="0" fontId="86" fillId="0" borderId="0" xfId="0" applyFont="1"/>
    <xf numFmtId="2" fontId="55" fillId="0" borderId="0" xfId="3" applyNumberFormat="1" applyFont="1" applyAlignment="1">
      <alignment horizontal="right"/>
    </xf>
    <xf numFmtId="0" fontId="59"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35" fillId="0" borderId="0" xfId="0" quotePrefix="1" applyFont="1" applyFill="1" applyBorder="1" applyAlignment="1">
      <alignment horizontal="left" vertical="center"/>
    </xf>
    <xf numFmtId="168" fontId="35" fillId="0" borderId="0" xfId="0" applyNumberFormat="1" applyFont="1" applyFill="1" applyBorder="1" applyAlignment="1">
      <alignment horizontal="right" vertical="center"/>
    </xf>
    <xf numFmtId="168" fontId="35" fillId="0" borderId="0" xfId="0" applyNumberFormat="1" applyFont="1" applyFill="1" applyBorder="1" applyAlignment="1">
      <alignment horizontal="left" vertical="center"/>
    </xf>
    <xf numFmtId="0" fontId="35" fillId="0" borderId="0" xfId="2" applyNumberFormat="1" applyFont="1" applyFill="1" applyBorder="1" applyAlignment="1">
      <alignment horizontal="left" vertical="center"/>
    </xf>
    <xf numFmtId="0" fontId="35" fillId="0" borderId="0" xfId="2" applyNumberFormat="1" applyFont="1" applyFill="1" applyBorder="1" applyAlignment="1">
      <alignment horizontal="center" vertical="center"/>
    </xf>
    <xf numFmtId="4" fontId="35" fillId="0" borderId="0" xfId="0" applyNumberFormat="1" applyFont="1" applyFill="1" applyBorder="1" applyAlignment="1">
      <alignment horizontal="center" vertical="center"/>
    </xf>
    <xf numFmtId="0" fontId="35" fillId="0" borderId="0" xfId="0" applyFont="1" applyFill="1" applyBorder="1" applyAlignment="1">
      <alignment horizontal="center" vertical="center"/>
    </xf>
    <xf numFmtId="0" fontId="70" fillId="4" borderId="133" xfId="0" applyFont="1" applyFill="1" applyBorder="1" applyAlignment="1"/>
    <xf numFmtId="43" fontId="30" fillId="0" borderId="145" xfId="0" applyNumberFormat="1" applyFont="1" applyBorder="1"/>
    <xf numFmtId="43" fontId="70" fillId="4" borderId="146" xfId="0" applyNumberFormat="1" applyFont="1" applyFill="1" applyBorder="1"/>
    <xf numFmtId="43" fontId="30" fillId="0" borderId="147" xfId="0" applyNumberFormat="1" applyFont="1" applyBorder="1"/>
    <xf numFmtId="43" fontId="30" fillId="0" borderId="148" xfId="0" applyNumberFormat="1" applyFont="1" applyBorder="1"/>
    <xf numFmtId="43" fontId="70" fillId="4" borderId="149" xfId="0" applyNumberFormat="1" applyFont="1" applyFill="1" applyBorder="1"/>
    <xf numFmtId="43" fontId="30" fillId="0" borderId="150" xfId="0" applyNumberFormat="1" applyFont="1" applyBorder="1"/>
    <xf numFmtId="0" fontId="70" fillId="0" borderId="30" xfId="0" applyFont="1" applyBorder="1" applyAlignment="1">
      <alignment vertical="center"/>
    </xf>
    <xf numFmtId="43" fontId="30" fillId="0" borderId="0" xfId="0" applyNumberFormat="1" applyFont="1" applyBorder="1" applyAlignment="1">
      <alignment vertical="center"/>
    </xf>
    <xf numFmtId="43" fontId="30" fillId="0" borderId="147" xfId="0" applyNumberFormat="1" applyFont="1" applyBorder="1" applyAlignment="1">
      <alignment vertical="center"/>
    </xf>
    <xf numFmtId="43" fontId="30" fillId="0" borderId="150" xfId="0" applyNumberFormat="1" applyFont="1" applyBorder="1" applyAlignment="1">
      <alignment vertical="center"/>
    </xf>
    <xf numFmtId="10" fontId="30" fillId="0" borderId="31" xfId="2" applyNumberFormat="1" applyFont="1" applyBorder="1" applyAlignment="1">
      <alignment vertical="center"/>
    </xf>
    <xf numFmtId="0" fontId="70" fillId="4" borderId="133" xfId="0" applyFont="1" applyFill="1" applyBorder="1" applyAlignment="1">
      <alignment vertical="center"/>
    </xf>
    <xf numFmtId="0" fontId="70" fillId="4" borderId="87" xfId="0" applyFont="1" applyFill="1" applyBorder="1" applyAlignment="1">
      <alignment vertical="center"/>
    </xf>
    <xf numFmtId="43" fontId="70" fillId="4" borderId="87" xfId="0" applyNumberFormat="1" applyFont="1" applyFill="1" applyBorder="1" applyAlignment="1">
      <alignment vertical="center"/>
    </xf>
    <xf numFmtId="43" fontId="70" fillId="4" borderId="146" xfId="0" applyNumberFormat="1" applyFont="1" applyFill="1" applyBorder="1" applyAlignment="1">
      <alignment vertical="center"/>
    </xf>
    <xf numFmtId="43" fontId="70" fillId="4" borderId="149" xfId="0" applyNumberFormat="1" applyFont="1" applyFill="1" applyBorder="1" applyAlignment="1">
      <alignment vertical="center"/>
    </xf>
    <xf numFmtId="10" fontId="70" fillId="4" borderId="134" xfId="2" applyNumberFormat="1" applyFont="1" applyFill="1" applyBorder="1" applyAlignment="1">
      <alignment vertical="center"/>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59"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59"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61" fillId="0" borderId="78" xfId="1" applyFont="1" applyBorder="1" applyAlignment="1">
      <alignment vertical="center" wrapText="1"/>
    </xf>
    <xf numFmtId="0" fontId="61"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3" fontId="64" fillId="0" borderId="0" xfId="1" applyFont="1"/>
    <xf numFmtId="43" fontId="64" fillId="0" borderId="0" xfId="1" applyFont="1" applyAlignment="1">
      <alignment vertical="center"/>
    </xf>
    <xf numFmtId="0" fontId="27" fillId="2" borderId="0" xfId="0" applyFont="1" applyFill="1" applyBorder="1" applyAlignment="1">
      <alignment vertical="center"/>
    </xf>
    <xf numFmtId="43" fontId="27" fillId="2" borderId="0" xfId="0" applyNumberFormat="1" applyFont="1" applyFill="1" applyBorder="1" applyAlignment="1">
      <alignment vertical="center"/>
    </xf>
    <xf numFmtId="167" fontId="32" fillId="2" borderId="0" xfId="2" applyNumberFormat="1" applyFont="1" applyFill="1" applyBorder="1" applyAlignment="1">
      <alignment vertical="center"/>
    </xf>
    <xf numFmtId="170" fontId="27" fillId="2" borderId="0" xfId="0" applyNumberFormat="1" applyFont="1" applyFill="1" applyBorder="1" applyAlignment="1">
      <alignment vertical="center"/>
    </xf>
    <xf numFmtId="49" fontId="43" fillId="0" borderId="0" xfId="0" applyNumberFormat="1" applyFont="1" applyAlignment="1">
      <alignment horizontal="center"/>
    </xf>
    <xf numFmtId="0" fontId="43" fillId="0" borderId="0" xfId="0" applyFont="1" applyAlignment="1">
      <alignment horizontal="center"/>
    </xf>
    <xf numFmtId="2" fontId="43" fillId="0" borderId="0" xfId="0" applyNumberFormat="1" applyFont="1"/>
    <xf numFmtId="10" fontId="43" fillId="0" borderId="0" xfId="2" applyNumberFormat="1" applyFont="1"/>
    <xf numFmtId="0" fontId="27" fillId="2" borderId="0" xfId="0" applyFont="1" applyFill="1" applyBorder="1" applyAlignment="1">
      <alignment vertical="center" wrapText="1"/>
    </xf>
    <xf numFmtId="2" fontId="64" fillId="0" borderId="0" xfId="0" applyNumberFormat="1" applyFont="1"/>
    <xf numFmtId="0" fontId="64" fillId="0" borderId="0" xfId="0" applyFont="1" applyAlignment="1">
      <alignment horizontal="center" vertical="center"/>
    </xf>
    <xf numFmtId="166" fontId="64" fillId="0" borderId="0" xfId="0" applyNumberFormat="1" applyFont="1" applyAlignment="1">
      <alignment vertical="center"/>
    </xf>
    <xf numFmtId="166" fontId="64" fillId="0" borderId="0" xfId="0" applyNumberFormat="1" applyFont="1" applyAlignment="1">
      <alignment horizontal="right" vertical="center"/>
    </xf>
    <xf numFmtId="166" fontId="64" fillId="0" borderId="0" xfId="7" applyNumberFormat="1" applyFont="1" applyAlignment="1">
      <alignment vertical="center"/>
    </xf>
    <xf numFmtId="0" fontId="0" fillId="0" borderId="0" xfId="0" applyFont="1" applyAlignment="1">
      <alignment horizontal="center" vertical="center"/>
    </xf>
    <xf numFmtId="0" fontId="80" fillId="0" borderId="151" xfId="0" applyFont="1" applyFill="1" applyBorder="1" applyAlignment="1">
      <alignment vertical="center" wrapText="1"/>
    </xf>
    <xf numFmtId="0" fontId="61" fillId="0" borderId="152" xfId="0" applyFont="1" applyFill="1" applyBorder="1" applyAlignment="1">
      <alignment horizontal="center" vertical="center"/>
    </xf>
    <xf numFmtId="4" fontId="61" fillId="0" borderId="153"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5" fillId="8" borderId="156" xfId="0" quotePrefix="1" applyFont="1" applyFill="1" applyBorder="1" applyAlignment="1">
      <alignment horizontal="left" vertical="center"/>
    </xf>
    <xf numFmtId="168" fontId="35" fillId="8" borderId="157" xfId="0" applyNumberFormat="1" applyFont="1" applyFill="1" applyBorder="1" applyAlignment="1">
      <alignment horizontal="right" vertical="center"/>
    </xf>
    <xf numFmtId="168" fontId="35" fillId="8" borderId="157" xfId="0" applyNumberFormat="1" applyFont="1" applyFill="1" applyBorder="1" applyAlignment="1">
      <alignment horizontal="left" vertical="center"/>
    </xf>
    <xf numFmtId="0" fontId="35" fillId="8" borderId="157" xfId="2" applyNumberFormat="1" applyFont="1" applyFill="1" applyBorder="1" applyAlignment="1">
      <alignment horizontal="left" vertical="center"/>
    </xf>
    <xf numFmtId="0" fontId="35" fillId="8" borderId="158" xfId="2" applyNumberFormat="1" applyFont="1" applyFill="1" applyBorder="1" applyAlignment="1">
      <alignment horizontal="center" vertical="center"/>
    </xf>
    <xf numFmtId="4" fontId="35" fillId="8" borderId="159" xfId="0" applyNumberFormat="1" applyFont="1" applyFill="1" applyBorder="1" applyAlignment="1">
      <alignment horizontal="center" vertical="center"/>
    </xf>
    <xf numFmtId="0" fontId="35" fillId="8" borderId="159" xfId="0" applyFont="1" applyFill="1" applyBorder="1" applyAlignment="1">
      <alignment horizontal="center" vertical="center"/>
    </xf>
    <xf numFmtId="0" fontId="59" fillId="2" borderId="159" xfId="0" quotePrefix="1" applyFont="1" applyFill="1" applyBorder="1" applyAlignment="1">
      <alignment vertical="center" wrapText="1"/>
    </xf>
    <xf numFmtId="168" fontId="30" fillId="2" borderId="159" xfId="0" applyNumberFormat="1" applyFont="1" applyFill="1" applyBorder="1" applyAlignment="1">
      <alignment horizontal="center" vertical="center" wrapText="1"/>
    </xf>
    <xf numFmtId="0" fontId="30" fillId="2" borderId="159" xfId="2" applyNumberFormat="1" applyFont="1" applyFill="1" applyBorder="1" applyAlignment="1">
      <alignment horizontal="center" vertical="center" wrapText="1"/>
    </xf>
    <xf numFmtId="2" fontId="30" fillId="2" borderId="159" xfId="2" applyNumberFormat="1" applyFont="1" applyFill="1" applyBorder="1" applyAlignment="1">
      <alignment horizontal="center" vertical="center" wrapText="1"/>
    </xf>
    <xf numFmtId="4" fontId="30" fillId="2" borderId="159" xfId="0" applyNumberFormat="1" applyFont="1" applyFill="1" applyBorder="1" applyAlignment="1">
      <alignment horizontal="center" vertical="center" wrapText="1"/>
    </xf>
    <xf numFmtId="0" fontId="30" fillId="2" borderId="159" xfId="0" applyFont="1" applyFill="1" applyBorder="1" applyAlignment="1">
      <alignment horizontal="center" vertical="center" wrapText="1"/>
    </xf>
    <xf numFmtId="0" fontId="29" fillId="0" borderId="0" xfId="0" applyFont="1" applyAlignment="1">
      <alignment horizontal="left" vertical="center"/>
    </xf>
    <xf numFmtId="0" fontId="0" fillId="0" borderId="0" xfId="0" applyFont="1" applyAlignment="1">
      <alignment vertical="center" wrapText="1"/>
    </xf>
    <xf numFmtId="0" fontId="84" fillId="0" borderId="0" xfId="0" applyFont="1" applyAlignment="1">
      <alignment vertical="center"/>
    </xf>
    <xf numFmtId="174" fontId="88" fillId="0" borderId="93" xfId="0" applyNumberFormat="1" applyFont="1" applyBorder="1"/>
    <xf numFmtId="174" fontId="88" fillId="11" borderId="93" xfId="0" applyNumberFormat="1" applyFont="1" applyFill="1" applyBorder="1"/>
    <xf numFmtId="0" fontId="4" fillId="0" borderId="0" xfId="0" applyFont="1" applyAlignment="1">
      <alignment horizontal="center" vertical="center" wrapText="1"/>
    </xf>
    <xf numFmtId="0" fontId="88" fillId="0" borderId="93" xfId="0" applyFont="1" applyBorder="1"/>
    <xf numFmtId="174" fontId="0" fillId="0" borderId="0" xfId="0" applyNumberFormat="1" applyFont="1"/>
    <xf numFmtId="0" fontId="89" fillId="0" borderId="0" xfId="0" applyFont="1"/>
    <xf numFmtId="0" fontId="90" fillId="0" borderId="0" xfId="0" applyFont="1" applyAlignment="1">
      <alignment vertical="center"/>
    </xf>
    <xf numFmtId="49" fontId="91" fillId="0" borderId="0" xfId="0" applyNumberFormat="1" applyFont="1" applyAlignment="1">
      <alignment horizontal="center"/>
    </xf>
    <xf numFmtId="0" fontId="91" fillId="0" borderId="0" xfId="0" applyFont="1"/>
    <xf numFmtId="49" fontId="91" fillId="0" borderId="0" xfId="0" applyNumberFormat="1" applyFont="1" applyAlignment="1">
      <alignment horizontal="right"/>
    </xf>
    <xf numFmtId="0" fontId="91" fillId="0" borderId="0" xfId="0" applyFont="1" applyAlignment="1">
      <alignment horizontal="right"/>
    </xf>
    <xf numFmtId="165" fontId="91" fillId="0" borderId="0" xfId="0" applyNumberFormat="1" applyFont="1" applyAlignment="1">
      <alignment horizontal="right"/>
    </xf>
    <xf numFmtId="1" fontId="91" fillId="0" borderId="0" xfId="0" applyNumberFormat="1" applyFont="1" applyAlignment="1">
      <alignment horizontal="right"/>
    </xf>
    <xf numFmtId="0" fontId="12" fillId="0" borderId="0" xfId="0" applyFont="1" applyAlignment="1">
      <alignment horizontal="center" vertical="center"/>
    </xf>
    <xf numFmtId="0" fontId="8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0" fillId="5" borderId="38" xfId="0" applyFont="1" applyFill="1" applyBorder="1" applyAlignment="1">
      <alignment horizontal="left" vertical="center"/>
    </xf>
    <xf numFmtId="0" fontId="60"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60" fillId="5" borderId="27" xfId="0" applyFont="1" applyFill="1" applyBorder="1" applyAlignment="1">
      <alignment horizontal="left" vertical="center"/>
    </xf>
    <xf numFmtId="0" fontId="60" fillId="5" borderId="29" xfId="0" applyFont="1" applyFill="1" applyBorder="1" applyAlignment="1">
      <alignment horizontal="left" vertical="center"/>
    </xf>
    <xf numFmtId="0" fontId="60" fillId="2" borderId="30" xfId="0" applyFont="1" applyFill="1" applyBorder="1" applyAlignment="1">
      <alignment horizontal="left" vertical="center"/>
    </xf>
    <xf numFmtId="0" fontId="60" fillId="2" borderId="31" xfId="0" applyFont="1" applyFill="1" applyBorder="1" applyAlignment="1">
      <alignment horizontal="left" vertical="center"/>
    </xf>
    <xf numFmtId="0" fontId="60" fillId="5" borderId="30" xfId="0" applyFont="1" applyFill="1" applyBorder="1" applyAlignment="1">
      <alignment horizontal="left" vertical="center"/>
    </xf>
    <xf numFmtId="0" fontId="60" fillId="5" borderId="31" xfId="0" applyFont="1" applyFill="1" applyBorder="1" applyAlignment="1">
      <alignment horizontal="left" vertical="center"/>
    </xf>
    <xf numFmtId="0" fontId="60" fillId="2" borderId="32" xfId="0" applyFont="1" applyFill="1" applyBorder="1" applyAlignment="1">
      <alignment horizontal="left" vertical="center"/>
    </xf>
    <xf numFmtId="0" fontId="60" fillId="2" borderId="34" xfId="0" applyFont="1" applyFill="1" applyBorder="1" applyAlignment="1">
      <alignment horizontal="left" vertical="center"/>
    </xf>
    <xf numFmtId="0" fontId="61" fillId="2" borderId="0" xfId="0" quotePrefix="1" applyFont="1" applyFill="1" applyAlignment="1">
      <alignment horizontal="left" vertical="center"/>
    </xf>
    <xf numFmtId="0" fontId="61" fillId="2" borderId="0" xfId="0" quotePrefix="1" applyFont="1" applyFill="1" applyAlignment="1">
      <alignment horizontal="left"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75" fillId="2" borderId="0" xfId="0" applyFont="1" applyFill="1" applyAlignment="1">
      <alignment horizontal="left" vertical="center"/>
    </xf>
    <xf numFmtId="43" fontId="61" fillId="0" borderId="78"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Alignment="1">
      <alignment horizontal="left" vertical="center" wrapText="1"/>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40" fillId="8" borderId="93" xfId="0" applyFont="1" applyFill="1" applyBorder="1" applyAlignment="1">
      <alignment horizontal="center" vertical="center"/>
    </xf>
    <xf numFmtId="174" fontId="40" fillId="8" borderId="93" xfId="0" applyNumberFormat="1" applyFont="1" applyFill="1" applyBorder="1" applyAlignment="1">
      <alignment horizontal="center"/>
    </xf>
  </cellXfs>
  <cellStyles count="11">
    <cellStyle name="Millares" xfId="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2">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1770.3720830400005</c:v>
                </c:pt>
                <c:pt idx="1">
                  <c:v>2330.5435877549999</c:v>
                </c:pt>
                <c:pt idx="2">
                  <c:v>4.3830983974999995</c:v>
                </c:pt>
                <c:pt idx="3">
                  <c:v>3.9043622649999996</c:v>
                </c:pt>
                <c:pt idx="4">
                  <c:v>37.985623459999999</c:v>
                </c:pt>
                <c:pt idx="5">
                  <c:v>156.66788605249999</c:v>
                </c:pt>
                <c:pt idx="6">
                  <c:v>81.511218932499986</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2330.5435877549999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4.3830983974999995</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3.9043622649999996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37.985623459999999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156.66788605249999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81.511218932499986</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RER'!$L$36:$L$40</c:f>
              <c:strCache>
                <c:ptCount val="5"/>
                <c:pt idx="0">
                  <c:v>C.E. WAYRA I</c:v>
                </c:pt>
                <c:pt idx="1">
                  <c:v>C.E. TRES HERMANAS</c:v>
                </c:pt>
                <c:pt idx="2">
                  <c:v>C.E. CUPISNIQUE</c:v>
                </c:pt>
                <c:pt idx="3">
                  <c:v>C.E. TALARA</c:v>
                </c:pt>
                <c:pt idx="4">
                  <c:v>C.E. MARCONA</c:v>
                </c:pt>
              </c:strCache>
            </c:strRef>
          </c:cat>
          <c:val>
            <c:numRef>
              <c:f>'6. FP RER'!$O$36:$O$40</c:f>
              <c:numCache>
                <c:formatCode>0.00</c:formatCode>
                <c:ptCount val="5"/>
                <c:pt idx="0">
                  <c:v>51.766810647500002</c:v>
                </c:pt>
                <c:pt idx="1">
                  <c:v>43.152437152499999</c:v>
                </c:pt>
                <c:pt idx="2">
                  <c:v>34.156346864999996</c:v>
                </c:pt>
                <c:pt idx="3">
                  <c:v>14.245757960000001</c:v>
                </c:pt>
                <c:pt idx="4">
                  <c:v>13.346533427500001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RER'!$L$36:$L$40</c:f>
              <c:strCache>
                <c:ptCount val="5"/>
                <c:pt idx="0">
                  <c:v>C.E. WAYRA I</c:v>
                </c:pt>
                <c:pt idx="1">
                  <c:v>C.E. TRES HERMANAS</c:v>
                </c:pt>
                <c:pt idx="2">
                  <c:v>C.E. CUPISNIQUE</c:v>
                </c:pt>
                <c:pt idx="3">
                  <c:v>C.E. TALARA</c:v>
                </c:pt>
                <c:pt idx="4">
                  <c:v>C.E. MARCONA</c:v>
                </c:pt>
              </c:strCache>
            </c:strRef>
          </c:cat>
          <c:val>
            <c:numRef>
              <c:f>'6. FP RER'!$P$36:$P$40</c:f>
              <c:numCache>
                <c:formatCode>0.00</c:formatCode>
                <c:ptCount val="5"/>
                <c:pt idx="0">
                  <c:v>0.52591871934406975</c:v>
                </c:pt>
                <c:pt idx="1">
                  <c:v>0.5970209734489399</c:v>
                </c:pt>
                <c:pt idx="2">
                  <c:v>0.55212349208581457</c:v>
                </c:pt>
                <c:pt idx="3">
                  <c:v>0.62046416525550707</c:v>
                </c:pt>
                <c:pt idx="4">
                  <c:v>0.56059028173303094</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RER'!$L$41:$L$47</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RER'!$O$41:$O$47</c:f>
              <c:numCache>
                <c:formatCode>0.00</c:formatCode>
                <c:ptCount val="7"/>
                <c:pt idx="0">
                  <c:v>46.124559872500001</c:v>
                </c:pt>
                <c:pt idx="1">
                  <c:v>11.430280482500001</c:v>
                </c:pt>
                <c:pt idx="2">
                  <c:v>5.8455621774999997</c:v>
                </c:pt>
                <c:pt idx="3">
                  <c:v>5.4537806250000003</c:v>
                </c:pt>
                <c:pt idx="4">
                  <c:v>4.9043414400000005</c:v>
                </c:pt>
                <c:pt idx="5">
                  <c:v>3.9243125000000001</c:v>
                </c:pt>
                <c:pt idx="6">
                  <c:v>3.8283818350000001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RER'!$L$41:$L$47</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RER'!$P$41:$P$47</c:f>
              <c:numCache>
                <c:formatCode>0.00</c:formatCode>
                <c:ptCount val="7"/>
                <c:pt idx="0">
                  <c:v>0.42909313519321057</c:v>
                </c:pt>
                <c:pt idx="1">
                  <c:v>0.34493220068284636</c:v>
                </c:pt>
                <c:pt idx="2">
                  <c:v>0.39284692053091397</c:v>
                </c:pt>
                <c:pt idx="3">
                  <c:v>0.36651751512096775</c:v>
                </c:pt>
                <c:pt idx="4">
                  <c:v>0.41199104838709677</c:v>
                </c:pt>
                <c:pt idx="5">
                  <c:v>0.26373067876344086</c:v>
                </c:pt>
                <c:pt idx="6">
                  <c:v>0.2572837254704301</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RER'!$L$48:$L$52</c:f>
              <c:strCache>
                <c:ptCount val="5"/>
                <c:pt idx="0">
                  <c:v>C.T. PARAMONGA</c:v>
                </c:pt>
                <c:pt idx="1">
                  <c:v>C.T. HUAYCOLORO</c:v>
                </c:pt>
                <c:pt idx="2">
                  <c:v>C.T. DOÑA CATALINA</c:v>
                </c:pt>
                <c:pt idx="3">
                  <c:v>C.T. CALLAO</c:v>
                </c:pt>
                <c:pt idx="4">
                  <c:v>C.T. LA GRINGA</c:v>
                </c:pt>
              </c:strCache>
            </c:strRef>
          </c:cat>
          <c:val>
            <c:numRef>
              <c:f>'6. FP RER'!$O$48:$O$52</c:f>
              <c:numCache>
                <c:formatCode>0.00</c:formatCode>
                <c:ptCount val="5"/>
                <c:pt idx="0">
                  <c:v>9.7382155049999994</c:v>
                </c:pt>
                <c:pt idx="1">
                  <c:v>2.7067275349999997</c:v>
                </c:pt>
                <c:pt idx="2">
                  <c:v>1.6646106375</c:v>
                </c:pt>
                <c:pt idx="3">
                  <c:v>1.6435377325</c:v>
                </c:pt>
                <c:pt idx="4">
                  <c:v>0.88941618249999999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RER'!$L$48:$L$51</c:f>
              <c:strCache>
                <c:ptCount val="4"/>
                <c:pt idx="0">
                  <c:v>C.T. PARAMONGA</c:v>
                </c:pt>
                <c:pt idx="1">
                  <c:v>C.T. HUAYCOLORO</c:v>
                </c:pt>
                <c:pt idx="2">
                  <c:v>C.T. DOÑA CATALINA</c:v>
                </c:pt>
                <c:pt idx="3">
                  <c:v>C.T. CALLAO</c:v>
                </c:pt>
              </c:strCache>
            </c:strRef>
          </c:cat>
          <c:val>
            <c:numRef>
              <c:f>'6. FP RER'!$P$48:$P$52</c:f>
              <c:numCache>
                <c:formatCode>0.00</c:formatCode>
                <c:ptCount val="5"/>
                <c:pt idx="0">
                  <c:v>1.0273093139637173</c:v>
                </c:pt>
                <c:pt idx="1">
                  <c:v>0.85350724781635268</c:v>
                </c:pt>
                <c:pt idx="2">
                  <c:v>0.93224162046370973</c:v>
                </c:pt>
                <c:pt idx="3">
                  <c:v>0.92044003836245525</c:v>
                </c:pt>
                <c:pt idx="4">
                  <c:v>0.40473029021191209</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90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RER'!$S$6:$T$52</c:f>
              <c:multiLvlStrCache>
                <c:ptCount val="47"/>
                <c:lvl>
                  <c:pt idx="0">
                    <c:v>C.H. RENOVANDES H1</c:v>
                  </c:pt>
                  <c:pt idx="1">
                    <c:v>C.H. CHANCAY</c:v>
                  </c:pt>
                  <c:pt idx="2">
                    <c:v>C.H. YARUCAYA</c:v>
                  </c:pt>
                  <c:pt idx="3">
                    <c:v>C.H. RUCUY</c:v>
                  </c:pt>
                  <c:pt idx="4">
                    <c:v>C.H. CARHUAC</c:v>
                  </c:pt>
                  <c:pt idx="5">
                    <c:v>C.H. ÁNGEL II</c:v>
                  </c:pt>
                  <c:pt idx="6">
                    <c:v>C.H. RUNATULLO III</c:v>
                  </c:pt>
                  <c:pt idx="7">
                    <c:v>C.H. ÁNGEL III</c:v>
                  </c:pt>
                  <c:pt idx="8">
                    <c:v>C.H. ÁNGEL I</c:v>
                  </c:pt>
                  <c:pt idx="9">
                    <c:v>C.H. 8 DE AGOSTO</c:v>
                  </c:pt>
                  <c:pt idx="10">
                    <c:v>C.H. LAS PIZARRAS</c:v>
                  </c:pt>
                  <c:pt idx="11">
                    <c:v>C.H. POTRERO</c:v>
                  </c:pt>
                  <c:pt idx="12">
                    <c:v>C.H. RUNATULLO II</c:v>
                  </c:pt>
                  <c:pt idx="13">
                    <c:v>C.H. CARHUAQUERO IV</c:v>
                  </c:pt>
                  <c:pt idx="14">
                    <c:v>C.H. ZAÑA</c:v>
                  </c:pt>
                  <c:pt idx="15">
                    <c:v>C.H. LA JOYA</c:v>
                  </c:pt>
                  <c:pt idx="16">
                    <c:v>C.H. POECHOS II</c:v>
                  </c:pt>
                  <c:pt idx="17">
                    <c:v>C.H. HUASAHUASI II</c:v>
                  </c:pt>
                  <c:pt idx="18">
                    <c:v>C.H. HUASAHUASI I</c:v>
                  </c:pt>
                  <c:pt idx="19">
                    <c:v>C.H. CANCHAYLLO</c:v>
                  </c:pt>
                  <c:pt idx="20">
                    <c:v>C.H. CAÑA BRAVA</c:v>
                  </c:pt>
                  <c:pt idx="21">
                    <c:v>C.H. SANTA CRUZ II</c:v>
                  </c:pt>
                  <c:pt idx="22">
                    <c:v>C.H. IMPERIAL</c:v>
                  </c:pt>
                  <c:pt idx="23">
                    <c:v>C.H. SANTA CRUZ I</c:v>
                  </c:pt>
                  <c:pt idx="24">
                    <c:v>C.H. YANAPAMPA</c:v>
                  </c:pt>
                  <c:pt idx="25">
                    <c:v>C.H. EL CARMEN</c:v>
                  </c:pt>
                  <c:pt idx="26">
                    <c:v>C.H. MANTA I</c:v>
                  </c:pt>
                  <c:pt idx="27">
                    <c:v>C.H. RONCADOR</c:v>
                  </c:pt>
                  <c:pt idx="28">
                    <c:v>C.H. HER 1</c:v>
                  </c:pt>
                  <c:pt idx="29">
                    <c:v>C.H. PURMACANA</c:v>
                  </c:pt>
                  <c:pt idx="30">
                    <c:v>C.E. WAYRA I</c:v>
                  </c:pt>
                  <c:pt idx="31">
                    <c:v>C.E. TRES HERMANAS</c:v>
                  </c:pt>
                  <c:pt idx="32">
                    <c:v>C.E. CUPISNIQUE</c:v>
                  </c:pt>
                  <c:pt idx="33">
                    <c:v>C.E. MARCONA</c:v>
                  </c:pt>
                  <c:pt idx="34">
                    <c:v>C.E. TALARA</c:v>
                  </c:pt>
                  <c:pt idx="35">
                    <c:v>C.S. RUBI</c:v>
                  </c:pt>
                  <c:pt idx="36">
                    <c:v>C.S. INTIPAMPA</c:v>
                  </c:pt>
                  <c:pt idx="37">
                    <c:v>C.S. PANAMERICANA SOLAR</c:v>
                  </c:pt>
                  <c:pt idx="38">
                    <c:v>C.S. TACNA SOLAR</c:v>
                  </c:pt>
                  <c:pt idx="39">
                    <c:v>C.S. MOQUEGUA FV</c:v>
                  </c:pt>
                  <c:pt idx="40">
                    <c:v>C.S. MAJES SOLAR</c:v>
                  </c:pt>
                  <c:pt idx="41">
                    <c:v>C.S. REPARTICION</c:v>
                  </c:pt>
                  <c:pt idx="42">
                    <c:v>C.T. PARAMONGA</c:v>
                  </c:pt>
                  <c:pt idx="43">
                    <c:v>C.T. HUAYCOLORO</c:v>
                  </c:pt>
                  <c:pt idx="44">
                    <c:v>C.T. DOÑA CATALINA</c:v>
                  </c:pt>
                  <c:pt idx="45">
                    <c:v>C.T. LA GRINGA</c:v>
                  </c:pt>
                  <c:pt idx="46">
                    <c:v>C.T. CALLAO</c:v>
                  </c:pt>
                </c:lvl>
                <c:lvl>
                  <c:pt idx="0">
                    <c:v>HIDROELÉCTRICAS</c:v>
                  </c:pt>
                  <c:pt idx="30">
                    <c:v>EÓLICAS</c:v>
                  </c:pt>
                  <c:pt idx="35">
                    <c:v>SOLARES</c:v>
                  </c:pt>
                  <c:pt idx="42">
                    <c:v>TERMOELÉCTRICAS</c:v>
                  </c:pt>
                </c:lvl>
              </c:multiLvlStrCache>
            </c:multiLvlStrRef>
          </c:cat>
          <c:val>
            <c:numRef>
              <c:f>'6. FP RER'!$U$6:$U$52</c:f>
              <c:numCache>
                <c:formatCode>0.000</c:formatCode>
                <c:ptCount val="47"/>
                <c:pt idx="0">
                  <c:v>0.94767916230502691</c:v>
                </c:pt>
                <c:pt idx="1">
                  <c:v>0.88741980139925369</c:v>
                </c:pt>
                <c:pt idx="2">
                  <c:v>1</c:v>
                </c:pt>
                <c:pt idx="3">
                  <c:v>0.73227874455845765</c:v>
                </c:pt>
                <c:pt idx="4">
                  <c:v>0.67172549538246284</c:v>
                </c:pt>
                <c:pt idx="5">
                  <c:v>0.56732998385429001</c:v>
                </c:pt>
                <c:pt idx="6">
                  <c:v>0.56127455365040968</c:v>
                </c:pt>
                <c:pt idx="7">
                  <c:v>0.52045236583698562</c:v>
                </c:pt>
                <c:pt idx="8">
                  <c:v>0.51606164358946816</c:v>
                </c:pt>
                <c:pt idx="9">
                  <c:v>0.53204145645129608</c:v>
                </c:pt>
                <c:pt idx="10">
                  <c:v>0.51247164051807936</c:v>
                </c:pt>
                <c:pt idx="11">
                  <c:v>0.48074984273044308</c:v>
                </c:pt>
                <c:pt idx="12">
                  <c:v>0.45344449540435738</c:v>
                </c:pt>
                <c:pt idx="13">
                  <c:v>0.89209295612865258</c:v>
                </c:pt>
                <c:pt idx="14">
                  <c:v>0.60997610489220566</c:v>
                </c:pt>
                <c:pt idx="15">
                  <c:v>0.87233846374968294</c:v>
                </c:pt>
                <c:pt idx="16">
                  <c:v>0.640305501033407</c:v>
                </c:pt>
                <c:pt idx="17">
                  <c:v>0.52042890441039769</c:v>
                </c:pt>
                <c:pt idx="18">
                  <c:v>0.52017322963229551</c:v>
                </c:pt>
                <c:pt idx="19">
                  <c:v>0.77080154728381589</c:v>
                </c:pt>
                <c:pt idx="20">
                  <c:v>0.62300353139505316</c:v>
                </c:pt>
                <c:pt idx="21">
                  <c:v>0.4694924762049798</c:v>
                </c:pt>
                <c:pt idx="22">
                  <c:v>0.77474948667359478</c:v>
                </c:pt>
                <c:pt idx="23">
                  <c:v>0.44041304083384447</c:v>
                </c:pt>
                <c:pt idx="24">
                  <c:v>0.72318298280850046</c:v>
                </c:pt>
                <c:pt idx="25">
                  <c:v>0.28117740212627335</c:v>
                </c:pt>
                <c:pt idx="26">
                  <c:v>0.22277980535279807</c:v>
                </c:pt>
                <c:pt idx="27">
                  <c:v>0.49714381504832156</c:v>
                </c:pt>
                <c:pt idx="28">
                  <c:v>0.76838950026652464</c:v>
                </c:pt>
                <c:pt idx="29">
                  <c:v>0.30650782315813002</c:v>
                </c:pt>
                <c:pt idx="30">
                  <c:v>0.53655190315899726</c:v>
                </c:pt>
                <c:pt idx="31">
                  <c:v>0.60299022418466075</c:v>
                </c:pt>
                <c:pt idx="32">
                  <c:v>0.49906414191445053</c:v>
                </c:pt>
                <c:pt idx="33">
                  <c:v>0.60360213764186865</c:v>
                </c:pt>
                <c:pt idx="34">
                  <c:v>0.505108543236507</c:v>
                </c:pt>
                <c:pt idx="35">
                  <c:v>0.33928416751806445</c:v>
                </c:pt>
                <c:pt idx="36">
                  <c:v>0.26556768241890005</c:v>
                </c:pt>
                <c:pt idx="37">
                  <c:v>0.31209721997823381</c:v>
                </c:pt>
                <c:pt idx="38">
                  <c:v>0.27449104581778611</c:v>
                </c:pt>
                <c:pt idx="39">
                  <c:v>0.33532084989116917</c:v>
                </c:pt>
                <c:pt idx="40">
                  <c:v>0.24433041106965173</c:v>
                </c:pt>
                <c:pt idx="41">
                  <c:v>0.23783256567164182</c:v>
                </c:pt>
                <c:pt idx="42">
                  <c:v>0.81676581227997314</c:v>
                </c:pt>
                <c:pt idx="43">
                  <c:v>0.65948413737762768</c:v>
                </c:pt>
                <c:pt idx="44">
                  <c:v>0.61062471444859046</c:v>
                </c:pt>
                <c:pt idx="45">
                  <c:v>0.45484719414236668</c:v>
                </c:pt>
                <c:pt idx="46">
                  <c:v>0.88689299541170641</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RER'!$S$6:$T$52</c:f>
              <c:multiLvlStrCache>
                <c:ptCount val="47"/>
                <c:lvl>
                  <c:pt idx="0">
                    <c:v>C.H. RENOVANDES H1</c:v>
                  </c:pt>
                  <c:pt idx="1">
                    <c:v>C.H. CHANCAY</c:v>
                  </c:pt>
                  <c:pt idx="2">
                    <c:v>C.H. YARUCAYA</c:v>
                  </c:pt>
                  <c:pt idx="3">
                    <c:v>C.H. RUCUY</c:v>
                  </c:pt>
                  <c:pt idx="4">
                    <c:v>C.H. CARHUAC</c:v>
                  </c:pt>
                  <c:pt idx="5">
                    <c:v>C.H. ÁNGEL II</c:v>
                  </c:pt>
                  <c:pt idx="6">
                    <c:v>C.H. RUNATULLO III</c:v>
                  </c:pt>
                  <c:pt idx="7">
                    <c:v>C.H. ÁNGEL III</c:v>
                  </c:pt>
                  <c:pt idx="8">
                    <c:v>C.H. ÁNGEL I</c:v>
                  </c:pt>
                  <c:pt idx="9">
                    <c:v>C.H. 8 DE AGOSTO</c:v>
                  </c:pt>
                  <c:pt idx="10">
                    <c:v>C.H. LAS PIZARRAS</c:v>
                  </c:pt>
                  <c:pt idx="11">
                    <c:v>C.H. POTRERO</c:v>
                  </c:pt>
                  <c:pt idx="12">
                    <c:v>C.H. RUNATULLO II</c:v>
                  </c:pt>
                  <c:pt idx="13">
                    <c:v>C.H. CARHUAQUERO IV</c:v>
                  </c:pt>
                  <c:pt idx="14">
                    <c:v>C.H. ZAÑA</c:v>
                  </c:pt>
                  <c:pt idx="15">
                    <c:v>C.H. LA JOYA</c:v>
                  </c:pt>
                  <c:pt idx="16">
                    <c:v>C.H. POECHOS II</c:v>
                  </c:pt>
                  <c:pt idx="17">
                    <c:v>C.H. HUASAHUASI II</c:v>
                  </c:pt>
                  <c:pt idx="18">
                    <c:v>C.H. HUASAHUASI I</c:v>
                  </c:pt>
                  <c:pt idx="19">
                    <c:v>C.H. CANCHAYLLO</c:v>
                  </c:pt>
                  <c:pt idx="20">
                    <c:v>C.H. CAÑA BRAVA</c:v>
                  </c:pt>
                  <c:pt idx="21">
                    <c:v>C.H. SANTA CRUZ II</c:v>
                  </c:pt>
                  <c:pt idx="22">
                    <c:v>C.H. IMPERIAL</c:v>
                  </c:pt>
                  <c:pt idx="23">
                    <c:v>C.H. SANTA CRUZ I</c:v>
                  </c:pt>
                  <c:pt idx="24">
                    <c:v>C.H. YANAPAMPA</c:v>
                  </c:pt>
                  <c:pt idx="25">
                    <c:v>C.H. EL CARMEN</c:v>
                  </c:pt>
                  <c:pt idx="26">
                    <c:v>C.H. MANTA I</c:v>
                  </c:pt>
                  <c:pt idx="27">
                    <c:v>C.H. RONCADOR</c:v>
                  </c:pt>
                  <c:pt idx="28">
                    <c:v>C.H. HER 1</c:v>
                  </c:pt>
                  <c:pt idx="29">
                    <c:v>C.H. PURMACANA</c:v>
                  </c:pt>
                  <c:pt idx="30">
                    <c:v>C.E. WAYRA I</c:v>
                  </c:pt>
                  <c:pt idx="31">
                    <c:v>C.E. TRES HERMANAS</c:v>
                  </c:pt>
                  <c:pt idx="32">
                    <c:v>C.E. CUPISNIQUE</c:v>
                  </c:pt>
                  <c:pt idx="33">
                    <c:v>C.E. MARCONA</c:v>
                  </c:pt>
                  <c:pt idx="34">
                    <c:v>C.E. TALARA</c:v>
                  </c:pt>
                  <c:pt idx="35">
                    <c:v>C.S. RUBI</c:v>
                  </c:pt>
                  <c:pt idx="36">
                    <c:v>C.S. INTIPAMPA</c:v>
                  </c:pt>
                  <c:pt idx="37">
                    <c:v>C.S. PANAMERICANA SOLAR</c:v>
                  </c:pt>
                  <c:pt idx="38">
                    <c:v>C.S. TACNA SOLAR</c:v>
                  </c:pt>
                  <c:pt idx="39">
                    <c:v>C.S. MOQUEGUA FV</c:v>
                  </c:pt>
                  <c:pt idx="40">
                    <c:v>C.S. MAJES SOLAR</c:v>
                  </c:pt>
                  <c:pt idx="41">
                    <c:v>C.S. REPARTICION</c:v>
                  </c:pt>
                  <c:pt idx="42">
                    <c:v>C.T. PARAMONGA</c:v>
                  </c:pt>
                  <c:pt idx="43">
                    <c:v>C.T. HUAYCOLORO</c:v>
                  </c:pt>
                  <c:pt idx="44">
                    <c:v>C.T. DOÑA CATALINA</c:v>
                  </c:pt>
                  <c:pt idx="45">
                    <c:v>C.T. LA GRINGA</c:v>
                  </c:pt>
                  <c:pt idx="46">
                    <c:v>C.T. CALLAO</c:v>
                  </c:pt>
                </c:lvl>
                <c:lvl>
                  <c:pt idx="0">
                    <c:v>HIDROELÉCTRICAS</c:v>
                  </c:pt>
                  <c:pt idx="30">
                    <c:v>EÓLICAS</c:v>
                  </c:pt>
                  <c:pt idx="35">
                    <c:v>SOLARES</c:v>
                  </c:pt>
                  <c:pt idx="42">
                    <c:v>TERMOELÉCTRICAS</c:v>
                  </c:pt>
                </c:lvl>
              </c:multiLvlStrCache>
            </c:multiLvlStrRef>
          </c:cat>
          <c:val>
            <c:numRef>
              <c:f>'6. FP RER'!$V$6:$V$52</c:f>
              <c:numCache>
                <c:formatCode>0.000</c:formatCode>
                <c:ptCount val="47"/>
                <c:pt idx="0">
                  <c:v>0.93059540596516932</c:v>
                </c:pt>
                <c:pt idx="1">
                  <c:v>0</c:v>
                </c:pt>
                <c:pt idx="2">
                  <c:v>1</c:v>
                </c:pt>
                <c:pt idx="3">
                  <c:v>0</c:v>
                </c:pt>
                <c:pt idx="4">
                  <c:v>0.44477633138020833</c:v>
                </c:pt>
                <c:pt idx="5">
                  <c:v>0.39096171093838894</c:v>
                </c:pt>
                <c:pt idx="6">
                  <c:v>0.75604112331220064</c:v>
                </c:pt>
                <c:pt idx="7">
                  <c:v>0.35923045847156437</c:v>
                </c:pt>
                <c:pt idx="8">
                  <c:v>0.29496115484724356</c:v>
                </c:pt>
                <c:pt idx="10">
                  <c:v>0.60940878243772889</c:v>
                </c:pt>
                <c:pt idx="11">
                  <c:v>0.54379164858097873</c:v>
                </c:pt>
                <c:pt idx="12">
                  <c:v>0.59764333311890772</c:v>
                </c:pt>
                <c:pt idx="13">
                  <c:v>0.81107017733540221</c:v>
                </c:pt>
                <c:pt idx="14">
                  <c:v>0</c:v>
                </c:pt>
                <c:pt idx="15">
                  <c:v>0.80093391477213427</c:v>
                </c:pt>
                <c:pt idx="16">
                  <c:v>0.58054379855566951</c:v>
                </c:pt>
                <c:pt idx="17">
                  <c:v>0.6448278498947615</c:v>
                </c:pt>
                <c:pt idx="18">
                  <c:v>0.63399099681347981</c:v>
                </c:pt>
                <c:pt idx="19">
                  <c:v>0.70628188572508099</c:v>
                </c:pt>
                <c:pt idx="20">
                  <c:v>0.58791611392514798</c:v>
                </c:pt>
                <c:pt idx="21">
                  <c:v>0.5262232999652634</c:v>
                </c:pt>
                <c:pt idx="22">
                  <c:v>0.72162373033952276</c:v>
                </c:pt>
                <c:pt idx="23">
                  <c:v>0.50303419712744668</c:v>
                </c:pt>
                <c:pt idx="24">
                  <c:v>0.73332706256778946</c:v>
                </c:pt>
                <c:pt idx="25">
                  <c:v>0</c:v>
                </c:pt>
                <c:pt idx="27" formatCode="General">
                  <c:v>0.7492302601155445</c:v>
                </c:pt>
                <c:pt idx="28">
                  <c:v>0.65441580421146972</c:v>
                </c:pt>
                <c:pt idx="29">
                  <c:v>0.1608969420770478</c:v>
                </c:pt>
                <c:pt idx="30">
                  <c:v>0.5974420097030686</c:v>
                </c:pt>
                <c:pt idx="31">
                  <c:v>0.5447542395555004</c:v>
                </c:pt>
                <c:pt idx="32">
                  <c:v>0.38732725632994386</c:v>
                </c:pt>
                <c:pt idx="33">
                  <c:v>0.52811260096018897</c:v>
                </c:pt>
                <c:pt idx="34">
                  <c:v>0.45235614839463983</c:v>
                </c:pt>
                <c:pt idx="35">
                  <c:v>0.29926649614142126</c:v>
                </c:pt>
                <c:pt idx="36">
                  <c:v>0.26852780017541367</c:v>
                </c:pt>
                <c:pt idx="37">
                  <c:v>0.29341072397392715</c:v>
                </c:pt>
                <c:pt idx="38">
                  <c:v>0.27060434385915666</c:v>
                </c:pt>
                <c:pt idx="39">
                  <c:v>0.3371966149926709</c:v>
                </c:pt>
                <c:pt idx="40">
                  <c:v>0.25173126503243509</c:v>
                </c:pt>
                <c:pt idx="41">
                  <c:v>0.23309317031561877</c:v>
                </c:pt>
                <c:pt idx="42">
                  <c:v>0.811862816733528</c:v>
                </c:pt>
                <c:pt idx="43" formatCode="General">
                  <c:v>0.81445379095182058</c:v>
                </c:pt>
                <c:pt idx="44">
                  <c:v>0.25213966156229206</c:v>
                </c:pt>
                <c:pt idx="45">
                  <c:v>0.51540699325525396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empresa'!$L$5:$L$63</c:f>
              <c:strCache>
                <c:ptCount val="59"/>
                <c:pt idx="0">
                  <c:v>SAMAY I</c:v>
                </c:pt>
                <c:pt idx="1">
                  <c:v>HYDRO PATAPO</c:v>
                </c:pt>
                <c:pt idx="2">
                  <c:v>CERRO VERDE</c:v>
                </c:pt>
                <c:pt idx="3">
                  <c:v>PLANTA  ETEN</c:v>
                </c:pt>
                <c:pt idx="4">
                  <c:v>ELECTRICA SANTA ROSA / ATRIA</c:v>
                </c:pt>
                <c:pt idx="5">
                  <c:v>MAJA ENERGIA</c:v>
                </c:pt>
                <c:pt idx="6">
                  <c:v>SHOUGESA</c:v>
                </c:pt>
                <c:pt idx="7">
                  <c:v>RIO DOBLE</c:v>
                </c:pt>
                <c:pt idx="8">
                  <c:v>SDF ENERGIA</c:v>
                </c:pt>
                <c:pt idx="9">
                  <c:v>ELECTRICA YANAPAMPA</c:v>
                </c:pt>
                <c:pt idx="10">
                  <c:v>HIDROCAÑETE</c:v>
                </c:pt>
                <c:pt idx="11">
                  <c:v>EGECSAC</c:v>
                </c:pt>
                <c:pt idx="12">
                  <c:v>IYEPSA</c:v>
                </c:pt>
                <c:pt idx="13">
                  <c:v>ELECTRO ZAÑA</c:v>
                </c:pt>
                <c:pt idx="14">
                  <c:v>GTS REPARTICION</c:v>
                </c:pt>
                <c:pt idx="15">
                  <c:v>GTS MAJES</c:v>
                </c:pt>
                <c:pt idx="16">
                  <c:v>INVERSION DE ENERGÍA RENOVABLES</c:v>
                </c:pt>
                <c:pt idx="17">
                  <c:v>AGUA AZUL</c:v>
                </c:pt>
                <c:pt idx="18">
                  <c:v>MOQUEGUA FV</c:v>
                </c:pt>
                <c:pt idx="19">
                  <c:v>SAN JACINTO</c:v>
                </c:pt>
                <c:pt idx="20">
                  <c:v>TACNA SOLAR</c:v>
                </c:pt>
                <c:pt idx="21">
                  <c:v>PANAMERICANA SOLAR</c:v>
                </c:pt>
                <c:pt idx="22">
                  <c:v>BIOENERGIA</c:v>
                </c:pt>
                <c:pt idx="23">
                  <c:v>PETRAMAS</c:v>
                </c:pt>
                <c:pt idx="24">
                  <c:v>RIO BAÑOS</c:v>
                </c:pt>
                <c:pt idx="25">
                  <c:v>GENERACIÓN ANDINA</c:v>
                </c:pt>
                <c:pt idx="26">
                  <c:v>AGROAURORA</c:v>
                </c:pt>
                <c:pt idx="27">
                  <c:v>HIDROMARAÑON/ CELEPSA RENOVABLES</c:v>
                </c:pt>
                <c:pt idx="28">
                  <c:v>AIPSA</c:v>
                </c:pt>
                <c:pt idx="29">
                  <c:v>HIDROELECTRICA HUANCHOR</c:v>
                </c:pt>
                <c:pt idx="30">
                  <c:v>HUAURA POWER</c:v>
                </c:pt>
                <c:pt idx="31">
                  <c:v>EMGE JUNÍN / SANTA CRUZ</c:v>
                </c:pt>
                <c:pt idx="32">
                  <c:v>ANDEAN POWER</c:v>
                </c:pt>
                <c:pt idx="33">
                  <c:v>SANTA ANA</c:v>
                </c:pt>
                <c:pt idx="34">
                  <c:v>SINERSA</c:v>
                </c:pt>
                <c:pt idx="35">
                  <c:v>P.E. MARCONA</c:v>
                </c:pt>
                <c:pt idx="36">
                  <c:v>GEPSA</c:v>
                </c:pt>
                <c:pt idx="37">
                  <c:v>EGESUR</c:v>
                </c:pt>
                <c:pt idx="38">
                  <c:v>CHINANGO</c:v>
                </c:pt>
                <c:pt idx="39">
                  <c:v>TERMOSELVA</c:v>
                </c:pt>
                <c:pt idx="40">
                  <c:v>P.E. TRES HERMANAS</c:v>
                </c:pt>
                <c:pt idx="41">
                  <c:v>SAN GABAN</c:v>
                </c:pt>
                <c:pt idx="42">
                  <c:v>EMGE HUANZA</c:v>
                </c:pt>
                <c:pt idx="43">
                  <c:v>ENERGÍA EÓLICA</c:v>
                </c:pt>
                <c:pt idx="44">
                  <c:v>CELEPSA</c:v>
                </c:pt>
                <c:pt idx="45">
                  <c:v>INLAND</c:v>
                </c:pt>
                <c:pt idx="46">
                  <c:v>EMGE HUALLAGA</c:v>
                </c:pt>
                <c:pt idx="47">
                  <c:v>ENEL GENERACION PIURA</c:v>
                </c:pt>
                <c:pt idx="48">
                  <c:v>EGASA</c:v>
                </c:pt>
                <c:pt idx="49">
                  <c:v>EGEMSA</c:v>
                </c:pt>
                <c:pt idx="50">
                  <c:v>ENEL GREEN POWER PERU</c:v>
                </c:pt>
                <c:pt idx="51">
                  <c:v>ORAZUL ENERGY PERÚ</c:v>
                </c:pt>
                <c:pt idx="52">
                  <c:v>STATKRAFT</c:v>
                </c:pt>
                <c:pt idx="53">
                  <c:v>TERMOCHILCA</c:v>
                </c:pt>
                <c:pt idx="54">
                  <c:v>FENIX POWER</c:v>
                </c:pt>
                <c:pt idx="55">
                  <c:v>ELECTROPERU</c:v>
                </c:pt>
                <c:pt idx="56">
                  <c:v>ENGIE</c:v>
                </c:pt>
                <c:pt idx="57">
                  <c:v>ENEL GENERACION PERU</c:v>
                </c:pt>
                <c:pt idx="58">
                  <c:v>KALLPA</c:v>
                </c:pt>
              </c:strCache>
            </c:strRef>
          </c:cat>
          <c:val>
            <c:numRef>
              <c:f>'7. Generacion empresa'!$M$5:$M$63</c:f>
              <c:numCache>
                <c:formatCode>General</c:formatCode>
                <c:ptCount val="59"/>
                <c:pt idx="0">
                  <c:v>0</c:v>
                </c:pt>
                <c:pt idx="1">
                  <c:v>0</c:v>
                </c:pt>
                <c:pt idx="2">
                  <c:v>0</c:v>
                </c:pt>
                <c:pt idx="3">
                  <c:v>2.0550174999999999E-3</c:v>
                </c:pt>
                <c:pt idx="4">
                  <c:v>0.313634945</c:v>
                </c:pt>
                <c:pt idx="5">
                  <c:v>0.78010133500000001</c:v>
                </c:pt>
                <c:pt idx="6">
                  <c:v>1.1539812725</c:v>
                </c:pt>
                <c:pt idx="7">
                  <c:v>1.6509693974999999</c:v>
                </c:pt>
                <c:pt idx="8">
                  <c:v>1.6593142925</c:v>
                </c:pt>
                <c:pt idx="9">
                  <c:v>1.752275695</c:v>
                </c:pt>
                <c:pt idx="10">
                  <c:v>1.778</c:v>
                </c:pt>
                <c:pt idx="11">
                  <c:v>2.2056392874999999</c:v>
                </c:pt>
                <c:pt idx="12">
                  <c:v>2.2543161975000001</c:v>
                </c:pt>
                <c:pt idx="13">
                  <c:v>2.345134195</c:v>
                </c:pt>
                <c:pt idx="14">
                  <c:v>3.8283818350000001</c:v>
                </c:pt>
                <c:pt idx="15">
                  <c:v>3.9243125000000001</c:v>
                </c:pt>
                <c:pt idx="16">
                  <c:v>4.1305157025000003</c:v>
                </c:pt>
                <c:pt idx="17">
                  <c:v>4.5175307350000002</c:v>
                </c:pt>
                <c:pt idx="18">
                  <c:v>4.9043414400000005</c:v>
                </c:pt>
                <c:pt idx="19">
                  <c:v>5.0282716049999996</c:v>
                </c:pt>
                <c:pt idx="20">
                  <c:v>5.4537806250000003</c:v>
                </c:pt>
                <c:pt idx="21">
                  <c:v>5.8455621774999997</c:v>
                </c:pt>
                <c:pt idx="22">
                  <c:v>6.8768999900000001</c:v>
                </c:pt>
                <c:pt idx="23">
                  <c:v>6.9042920875</c:v>
                </c:pt>
                <c:pt idx="24">
                  <c:v>7.3958688199999996</c:v>
                </c:pt>
                <c:pt idx="25">
                  <c:v>8.6701784725000017</c:v>
                </c:pt>
                <c:pt idx="26">
                  <c:v>9.4379442725000011</c:v>
                </c:pt>
                <c:pt idx="27">
                  <c:v>9.666416032499999</c:v>
                </c:pt>
                <c:pt idx="28">
                  <c:v>9.7382155049999994</c:v>
                </c:pt>
                <c:pt idx="29">
                  <c:v>9.8461818725000008</c:v>
                </c:pt>
                <c:pt idx="30">
                  <c:v>11.098966087499999</c:v>
                </c:pt>
                <c:pt idx="31">
                  <c:v>11.213099254999999</c:v>
                </c:pt>
                <c:pt idx="32">
                  <c:v>11.46072899</c:v>
                </c:pt>
                <c:pt idx="33">
                  <c:v>12.1902930775</c:v>
                </c:pt>
                <c:pt idx="34">
                  <c:v>12.409265780000002</c:v>
                </c:pt>
                <c:pt idx="35">
                  <c:v>13.346533427500001</c:v>
                </c:pt>
                <c:pt idx="36">
                  <c:v>14.3064197025</c:v>
                </c:pt>
                <c:pt idx="37">
                  <c:v>19.8778222175</c:v>
                </c:pt>
                <c:pt idx="38">
                  <c:v>41.1438401825</c:v>
                </c:pt>
                <c:pt idx="39">
                  <c:v>42.716016275000001</c:v>
                </c:pt>
                <c:pt idx="40">
                  <c:v>43.152437152499999</c:v>
                </c:pt>
                <c:pt idx="41">
                  <c:v>44.634439122499998</c:v>
                </c:pt>
                <c:pt idx="42">
                  <c:v>47.661424737499999</c:v>
                </c:pt>
                <c:pt idx="43">
                  <c:v>48.402104824999995</c:v>
                </c:pt>
                <c:pt idx="44">
                  <c:v>48.689485015000002</c:v>
                </c:pt>
                <c:pt idx="45">
                  <c:v>51.060329275000001</c:v>
                </c:pt>
                <c:pt idx="46">
                  <c:v>52.649373442500007</c:v>
                </c:pt>
                <c:pt idx="47">
                  <c:v>67.277693587499996</c:v>
                </c:pt>
                <c:pt idx="48">
                  <c:v>74.674737309999983</c:v>
                </c:pt>
                <c:pt idx="49">
                  <c:v>96.921251457499991</c:v>
                </c:pt>
                <c:pt idx="50">
                  <c:v>97.891370520000009</c:v>
                </c:pt>
                <c:pt idx="51">
                  <c:v>112.82320224999998</c:v>
                </c:pt>
                <c:pt idx="52">
                  <c:v>116.32503788000001</c:v>
                </c:pt>
                <c:pt idx="53">
                  <c:v>186.72839376000002</c:v>
                </c:pt>
                <c:pt idx="54">
                  <c:v>389.7718950675</c:v>
                </c:pt>
                <c:pt idx="55">
                  <c:v>495.86344919999999</c:v>
                </c:pt>
                <c:pt idx="56">
                  <c:v>563.64495270750001</c:v>
                </c:pt>
                <c:pt idx="57">
                  <c:v>715.97116107249997</c:v>
                </c:pt>
                <c:pt idx="58">
                  <c:v>819.39802121750006</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empresa'!$L$5:$L$63</c:f>
              <c:strCache>
                <c:ptCount val="59"/>
                <c:pt idx="0">
                  <c:v>SAMAY I</c:v>
                </c:pt>
                <c:pt idx="1">
                  <c:v>HYDRO PATAPO</c:v>
                </c:pt>
                <c:pt idx="2">
                  <c:v>CERRO VERDE</c:v>
                </c:pt>
                <c:pt idx="3">
                  <c:v>PLANTA  ETEN</c:v>
                </c:pt>
                <c:pt idx="4">
                  <c:v>ELECTRICA SANTA ROSA / ATRIA</c:v>
                </c:pt>
                <c:pt idx="5">
                  <c:v>MAJA ENERGIA</c:v>
                </c:pt>
                <c:pt idx="6">
                  <c:v>SHOUGESA</c:v>
                </c:pt>
                <c:pt idx="7">
                  <c:v>RIO DOBLE</c:v>
                </c:pt>
                <c:pt idx="8">
                  <c:v>SDF ENERGIA</c:v>
                </c:pt>
                <c:pt idx="9">
                  <c:v>ELECTRICA YANAPAMPA</c:v>
                </c:pt>
                <c:pt idx="10">
                  <c:v>HIDROCAÑETE</c:v>
                </c:pt>
                <c:pt idx="11">
                  <c:v>EGECSAC</c:v>
                </c:pt>
                <c:pt idx="12">
                  <c:v>IYEPSA</c:v>
                </c:pt>
                <c:pt idx="13">
                  <c:v>ELECTRO ZAÑA</c:v>
                </c:pt>
                <c:pt idx="14">
                  <c:v>GTS REPARTICION</c:v>
                </c:pt>
                <c:pt idx="15">
                  <c:v>GTS MAJES</c:v>
                </c:pt>
                <c:pt idx="16">
                  <c:v>INVERSION DE ENERGÍA RENOVABLES</c:v>
                </c:pt>
                <c:pt idx="17">
                  <c:v>AGUA AZUL</c:v>
                </c:pt>
                <c:pt idx="18">
                  <c:v>MOQUEGUA FV</c:v>
                </c:pt>
                <c:pt idx="19">
                  <c:v>SAN JACINTO</c:v>
                </c:pt>
                <c:pt idx="20">
                  <c:v>TACNA SOLAR</c:v>
                </c:pt>
                <c:pt idx="21">
                  <c:v>PANAMERICANA SOLAR</c:v>
                </c:pt>
                <c:pt idx="22">
                  <c:v>BIOENERGIA</c:v>
                </c:pt>
                <c:pt idx="23">
                  <c:v>PETRAMAS</c:v>
                </c:pt>
                <c:pt idx="24">
                  <c:v>RIO BAÑOS</c:v>
                </c:pt>
                <c:pt idx="25">
                  <c:v>GENERACIÓN ANDINA</c:v>
                </c:pt>
                <c:pt idx="26">
                  <c:v>AGROAURORA</c:v>
                </c:pt>
                <c:pt idx="27">
                  <c:v>HIDROMARAÑON/ CELEPSA RENOVABLES</c:v>
                </c:pt>
                <c:pt idx="28">
                  <c:v>AIPSA</c:v>
                </c:pt>
                <c:pt idx="29">
                  <c:v>HIDROELECTRICA HUANCHOR</c:v>
                </c:pt>
                <c:pt idx="30">
                  <c:v>HUAURA POWER</c:v>
                </c:pt>
                <c:pt idx="31">
                  <c:v>EMGE JUNÍN / SANTA CRUZ</c:v>
                </c:pt>
                <c:pt idx="32">
                  <c:v>ANDEAN POWER</c:v>
                </c:pt>
                <c:pt idx="33">
                  <c:v>SANTA ANA</c:v>
                </c:pt>
                <c:pt idx="34">
                  <c:v>SINERSA</c:v>
                </c:pt>
                <c:pt idx="35">
                  <c:v>P.E. MARCONA</c:v>
                </c:pt>
                <c:pt idx="36">
                  <c:v>GEPSA</c:v>
                </c:pt>
                <c:pt idx="37">
                  <c:v>EGESUR</c:v>
                </c:pt>
                <c:pt idx="38">
                  <c:v>CHINANGO</c:v>
                </c:pt>
                <c:pt idx="39">
                  <c:v>TERMOSELVA</c:v>
                </c:pt>
                <c:pt idx="40">
                  <c:v>P.E. TRES HERMANAS</c:v>
                </c:pt>
                <c:pt idx="41">
                  <c:v>SAN GABAN</c:v>
                </c:pt>
                <c:pt idx="42">
                  <c:v>EMGE HUANZA</c:v>
                </c:pt>
                <c:pt idx="43">
                  <c:v>ENERGÍA EÓLICA</c:v>
                </c:pt>
                <c:pt idx="44">
                  <c:v>CELEPSA</c:v>
                </c:pt>
                <c:pt idx="45">
                  <c:v>INLAND</c:v>
                </c:pt>
                <c:pt idx="46">
                  <c:v>EMGE HUALLAGA</c:v>
                </c:pt>
                <c:pt idx="47">
                  <c:v>ENEL GENERACION PIURA</c:v>
                </c:pt>
                <c:pt idx="48">
                  <c:v>EGASA</c:v>
                </c:pt>
                <c:pt idx="49">
                  <c:v>EGEMSA</c:v>
                </c:pt>
                <c:pt idx="50">
                  <c:v>ENEL GREEN POWER PERU</c:v>
                </c:pt>
                <c:pt idx="51">
                  <c:v>ORAZUL ENERGY PERÚ</c:v>
                </c:pt>
                <c:pt idx="52">
                  <c:v>STATKRAFT</c:v>
                </c:pt>
                <c:pt idx="53">
                  <c:v>TERMOCHILCA</c:v>
                </c:pt>
                <c:pt idx="54">
                  <c:v>FENIX POWER</c:v>
                </c:pt>
                <c:pt idx="55">
                  <c:v>ELECTROPERU</c:v>
                </c:pt>
                <c:pt idx="56">
                  <c:v>ENGIE</c:v>
                </c:pt>
                <c:pt idx="57">
                  <c:v>ENEL GENERACION PERU</c:v>
                </c:pt>
                <c:pt idx="58">
                  <c:v>KALLPA</c:v>
                </c:pt>
              </c:strCache>
            </c:strRef>
          </c:cat>
          <c:val>
            <c:numRef>
              <c:f>'7. Generacion empresa'!$N$5:$N$63</c:f>
              <c:numCache>
                <c:formatCode>General</c:formatCode>
                <c:ptCount val="59"/>
                <c:pt idx="0">
                  <c:v>0.38668080999999999</c:v>
                </c:pt>
                <c:pt idx="1">
                  <c:v>0.28337299999999999</c:v>
                </c:pt>
                <c:pt idx="2">
                  <c:v>2.2500000000000003E-8</c:v>
                </c:pt>
                <c:pt idx="3">
                  <c:v>2.588E-3</c:v>
                </c:pt>
                <c:pt idx="4">
                  <c:v>0.35187152500000002</c:v>
                </c:pt>
                <c:pt idx="5">
                  <c:v>1.0079221650000001</c:v>
                </c:pt>
                <c:pt idx="6">
                  <c:v>2.3326609225000001</c:v>
                </c:pt>
                <c:pt idx="7">
                  <c:v>11.053060609999999</c:v>
                </c:pt>
                <c:pt idx="8">
                  <c:v>19.777545910000001</c:v>
                </c:pt>
                <c:pt idx="9">
                  <c:v>2.2764898775</c:v>
                </c:pt>
                <c:pt idx="10">
                  <c:v>1.7484999999999999</c:v>
                </c:pt>
                <c:pt idx="11">
                  <c:v>1.4731064675000001</c:v>
                </c:pt>
                <c:pt idx="12">
                  <c:v>3.0829350000000002E-3</c:v>
                </c:pt>
                <c:pt idx="13">
                  <c:v>6.1786131849999997</c:v>
                </c:pt>
                <c:pt idx="14">
                  <c:v>3.9040635524999998</c:v>
                </c:pt>
                <c:pt idx="15">
                  <c:v>3.9789524000000003</c:v>
                </c:pt>
                <c:pt idx="17">
                  <c:v>13.114157902500001</c:v>
                </c:pt>
                <c:pt idx="18">
                  <c:v>4.4904436100000007</c:v>
                </c:pt>
                <c:pt idx="19">
                  <c:v>4.9165186199999997</c:v>
                </c:pt>
                <c:pt idx="20">
                  <c:v>4.5346407774999999</c:v>
                </c:pt>
                <c:pt idx="21">
                  <c:v>4.8791759824999996</c:v>
                </c:pt>
                <c:pt idx="22">
                  <c:v>6.2546640650000001</c:v>
                </c:pt>
                <c:pt idx="23">
                  <c:v>5.6516292825000001</c:v>
                </c:pt>
                <c:pt idx="24">
                  <c:v>8.7916483774999996</c:v>
                </c:pt>
                <c:pt idx="25">
                  <c:v>3.5885131550000002</c:v>
                </c:pt>
                <c:pt idx="26">
                  <c:v>0</c:v>
                </c:pt>
                <c:pt idx="27">
                  <c:v>12.964816942500001</c:v>
                </c:pt>
                <c:pt idx="28">
                  <c:v>8.8531016699999991</c:v>
                </c:pt>
                <c:pt idx="29">
                  <c:v>13.3333071825</c:v>
                </c:pt>
                <c:pt idx="30">
                  <c:v>12.17242195</c:v>
                </c:pt>
                <c:pt idx="31">
                  <c:v>36.619021704999994</c:v>
                </c:pt>
                <c:pt idx="32">
                  <c:v>7.7970269175000002</c:v>
                </c:pt>
                <c:pt idx="33">
                  <c:v>14.31847829</c:v>
                </c:pt>
                <c:pt idx="34">
                  <c:v>15.859894465</c:v>
                </c:pt>
                <c:pt idx="35">
                  <c:v>10.998069095</c:v>
                </c:pt>
                <c:pt idx="36">
                  <c:v>39.268049037499999</c:v>
                </c:pt>
                <c:pt idx="37">
                  <c:v>9.3894855175000007</c:v>
                </c:pt>
                <c:pt idx="38">
                  <c:v>103.11415135749999</c:v>
                </c:pt>
                <c:pt idx="39">
                  <c:v>15.202934707499999</c:v>
                </c:pt>
                <c:pt idx="40">
                  <c:v>32.795808030000003</c:v>
                </c:pt>
                <c:pt idx="41">
                  <c:v>68.094962222500001</c:v>
                </c:pt>
                <c:pt idx="42">
                  <c:v>29.916616229999999</c:v>
                </c:pt>
                <c:pt idx="43">
                  <c:v>37.061872067500005</c:v>
                </c:pt>
                <c:pt idx="44">
                  <c:v>68.432944282499989</c:v>
                </c:pt>
                <c:pt idx="45">
                  <c:v>62.29879768</c:v>
                </c:pt>
                <c:pt idx="46">
                  <c:v>178.10191256249999</c:v>
                </c:pt>
                <c:pt idx="47">
                  <c:v>61.515422207499995</c:v>
                </c:pt>
                <c:pt idx="48">
                  <c:v>81.070082022500003</c:v>
                </c:pt>
                <c:pt idx="49">
                  <c:v>114.74266646499999</c:v>
                </c:pt>
                <c:pt idx="50">
                  <c:v>90.175472232499999</c:v>
                </c:pt>
                <c:pt idx="51">
                  <c:v>197.05011252249997</c:v>
                </c:pt>
                <c:pt idx="52">
                  <c:v>199.33547690250001</c:v>
                </c:pt>
                <c:pt idx="53">
                  <c:v>13.872878844999999</c:v>
                </c:pt>
                <c:pt idx="54">
                  <c:v>187.75061648249999</c:v>
                </c:pt>
                <c:pt idx="55">
                  <c:v>598.03115303999994</c:v>
                </c:pt>
                <c:pt idx="56">
                  <c:v>658.32935513250004</c:v>
                </c:pt>
                <c:pt idx="57">
                  <c:v>525.68116585249993</c:v>
                </c:pt>
                <c:pt idx="58">
                  <c:v>782.59905707999985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4580.6239199999991</c:v>
                </c:pt>
                <c:pt idx="2">
                  <c:v>4457.8647499999988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2106.5043700000006</c:v>
                </c:pt>
                <c:pt idx="2">
                  <c:v>1943.7948299999998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303.54068999999998</c:v>
                </c:pt>
                <c:pt idx="2">
                  <c:v>309.01528000000002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0">
                  <c:v>TACNA SOLAR</c:v>
                </c:pt>
                <c:pt idx="1">
                  <c:v>SDF ENERGIA</c:v>
                </c:pt>
                <c:pt idx="2">
                  <c:v>SAMAY I</c:v>
                </c:pt>
                <c:pt idx="3">
                  <c:v>RIO DOBLE</c:v>
                </c:pt>
                <c:pt idx="4">
                  <c:v>PLANTA  ETEN</c:v>
                </c:pt>
                <c:pt idx="5">
                  <c:v>PANAMERICANA SOLAR</c:v>
                </c:pt>
                <c:pt idx="6">
                  <c:v>MOQUEGUA FV</c:v>
                </c:pt>
                <c:pt idx="7">
                  <c:v>IYEPSA</c:v>
                </c:pt>
                <c:pt idx="8">
                  <c:v>HYDRO PATAPO</c:v>
                </c:pt>
                <c:pt idx="9">
                  <c:v>GTS REPARTICION</c:v>
                </c:pt>
                <c:pt idx="10">
                  <c:v>GTS MAJES</c:v>
                </c:pt>
                <c:pt idx="11">
                  <c:v>CERRO VERDE</c:v>
                </c:pt>
                <c:pt idx="12">
                  <c:v>ELECTRICA SANTA ROSA / ATRIA</c:v>
                </c:pt>
                <c:pt idx="13">
                  <c:v>MAJA ENERGIA</c:v>
                </c:pt>
                <c:pt idx="14">
                  <c:v>EGECSAC</c:v>
                </c:pt>
                <c:pt idx="15">
                  <c:v>ELECTRICA YANAPAMPA</c:v>
                </c:pt>
                <c:pt idx="16">
                  <c:v>HIDROCAÑETE</c:v>
                </c:pt>
                <c:pt idx="17">
                  <c:v>ELECTRO ZAÑA</c:v>
                </c:pt>
                <c:pt idx="18">
                  <c:v>EMGE HUALLAGA</c:v>
                </c:pt>
                <c:pt idx="19">
                  <c:v>INVERSION DE ENERGÍA RENOVABLES</c:v>
                </c:pt>
                <c:pt idx="20">
                  <c:v>SAN JACINTO</c:v>
                </c:pt>
                <c:pt idx="21">
                  <c:v>BIOENERGIA</c:v>
                </c:pt>
                <c:pt idx="22">
                  <c:v>SHOUGESA</c:v>
                </c:pt>
                <c:pt idx="23">
                  <c:v>RIO BAÑOS</c:v>
                </c:pt>
                <c:pt idx="24">
                  <c:v>PETRAMAS</c:v>
                </c:pt>
                <c:pt idx="25">
                  <c:v>GENERACIÓN ANDINA</c:v>
                </c:pt>
                <c:pt idx="26">
                  <c:v>AIPSA</c:v>
                </c:pt>
                <c:pt idx="27">
                  <c:v>EMGE JUNÍN / SANTA CRUZ</c:v>
                </c:pt>
                <c:pt idx="28">
                  <c:v>HUAURA POWER</c:v>
                </c:pt>
                <c:pt idx="29">
                  <c:v>AGROAURORA</c:v>
                </c:pt>
                <c:pt idx="30">
                  <c:v>HIDROELECTRICA HUANCHOR</c:v>
                </c:pt>
                <c:pt idx="31">
                  <c:v>HIDROMARAÑON/ CELEPSA RENOVABLES</c:v>
                </c:pt>
                <c:pt idx="32">
                  <c:v>SANTA ANA</c:v>
                </c:pt>
                <c:pt idx="33">
                  <c:v>AGUA AZUL</c:v>
                </c:pt>
                <c:pt idx="34">
                  <c:v>SINERSA</c:v>
                </c:pt>
                <c:pt idx="35">
                  <c:v>ANDEAN POWER</c:v>
                </c:pt>
                <c:pt idx="36">
                  <c:v>P.E. MARCONA</c:v>
                </c:pt>
                <c:pt idx="37">
                  <c:v>GEPSA</c:v>
                </c:pt>
                <c:pt idx="38">
                  <c:v>EGESUR</c:v>
                </c:pt>
                <c:pt idx="39">
                  <c:v>ENEL GREEN POWER PERU</c:v>
                </c:pt>
                <c:pt idx="40">
                  <c:v>P.E. TRES HERMANAS</c:v>
                </c:pt>
                <c:pt idx="41">
                  <c:v>CHINANGO</c:v>
                </c:pt>
                <c:pt idx="42">
                  <c:v>INLAND</c:v>
                </c:pt>
                <c:pt idx="43">
                  <c:v>SAN GABAN</c:v>
                </c:pt>
                <c:pt idx="44">
                  <c:v>ENEL GENERACION PIURA</c:v>
                </c:pt>
                <c:pt idx="45">
                  <c:v>EMGE HUANZA</c:v>
                </c:pt>
                <c:pt idx="46">
                  <c:v>ENERGÍA EÓLICA</c:v>
                </c:pt>
                <c:pt idx="47">
                  <c:v>TERMOSELVA</c:v>
                </c:pt>
                <c:pt idx="48">
                  <c:v>CELEPSA</c:v>
                </c:pt>
                <c:pt idx="49">
                  <c:v>EGEMSA</c:v>
                </c:pt>
                <c:pt idx="50">
                  <c:v>EGASA</c:v>
                </c:pt>
                <c:pt idx="51">
                  <c:v>STATKRAFT</c:v>
                </c:pt>
                <c:pt idx="52">
                  <c:v>ORAZUL ENERGY PERÚ</c:v>
                </c:pt>
                <c:pt idx="53">
                  <c:v>TERMOCHILCA</c:v>
                </c:pt>
                <c:pt idx="54">
                  <c:v>FENIX POWER</c:v>
                </c:pt>
                <c:pt idx="55">
                  <c:v>ELECTROPERU</c:v>
                </c:pt>
                <c:pt idx="56">
                  <c:v>ENGIE</c:v>
                </c:pt>
                <c:pt idx="57">
                  <c:v>KALLPA</c:v>
                </c:pt>
                <c:pt idx="58">
                  <c:v>ENEL GENERACION PERU</c:v>
                </c:pt>
              </c:strCache>
            </c:strRef>
          </c:cat>
          <c:val>
            <c:numRef>
              <c:f>'9. Pot. Empresa'!$M$7:$M$65</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0.92884999999999995</c:v>
                </c:pt>
                <c:pt idx="13">
                  <c:v>1.2976700000000001</c:v>
                </c:pt>
                <c:pt idx="14">
                  <c:v>1.67876</c:v>
                </c:pt>
                <c:pt idx="15">
                  <c:v>2.51207</c:v>
                </c:pt>
                <c:pt idx="16">
                  <c:v>3.2</c:v>
                </c:pt>
                <c:pt idx="17">
                  <c:v>3.4058999999999999</c:v>
                </c:pt>
                <c:pt idx="18">
                  <c:v>6.4456100000000003</c:v>
                </c:pt>
                <c:pt idx="19">
                  <c:v>6.9636399999999998</c:v>
                </c:pt>
                <c:pt idx="20">
                  <c:v>7.7519999999999998</c:v>
                </c:pt>
                <c:pt idx="21">
                  <c:v>9.1999999999999993</c:v>
                </c:pt>
                <c:pt idx="22">
                  <c:v>9.4737799999999996</c:v>
                </c:pt>
                <c:pt idx="23">
                  <c:v>10.04608</c:v>
                </c:pt>
                <c:pt idx="24">
                  <c:v>10.76779</c:v>
                </c:pt>
                <c:pt idx="25">
                  <c:v>13.193709999999999</c:v>
                </c:pt>
                <c:pt idx="26">
                  <c:v>14.028790000000001</c:v>
                </c:pt>
                <c:pt idx="27">
                  <c:v>14.4101</c:v>
                </c:pt>
                <c:pt idx="28">
                  <c:v>14.41319</c:v>
                </c:pt>
                <c:pt idx="29">
                  <c:v>14.649089999999999</c:v>
                </c:pt>
                <c:pt idx="30">
                  <c:v>15.13064</c:v>
                </c:pt>
                <c:pt idx="31">
                  <c:v>15.652560000000001</c:v>
                </c:pt>
                <c:pt idx="32">
                  <c:v>18.126380000000001</c:v>
                </c:pt>
                <c:pt idx="33">
                  <c:v>18.783300000000001</c:v>
                </c:pt>
                <c:pt idx="34">
                  <c:v>18.862389999999998</c:v>
                </c:pt>
                <c:pt idx="35">
                  <c:v>20.56326</c:v>
                </c:pt>
                <c:pt idx="36">
                  <c:v>21.27542</c:v>
                </c:pt>
                <c:pt idx="37">
                  <c:v>24.19182</c:v>
                </c:pt>
                <c:pt idx="38">
                  <c:v>48.635449999999999</c:v>
                </c:pt>
                <c:pt idx="39">
                  <c:v>62.164230000000003</c:v>
                </c:pt>
                <c:pt idx="40">
                  <c:v>66.276679999999999</c:v>
                </c:pt>
                <c:pt idx="41">
                  <c:v>79.336179999999999</c:v>
                </c:pt>
                <c:pt idx="42">
                  <c:v>81.578920000000011</c:v>
                </c:pt>
                <c:pt idx="43">
                  <c:v>89.7654</c:v>
                </c:pt>
                <c:pt idx="44">
                  <c:v>90.948629999999994</c:v>
                </c:pt>
                <c:pt idx="45">
                  <c:v>91.335949999999997</c:v>
                </c:pt>
                <c:pt idx="46">
                  <c:v>91.851380000000006</c:v>
                </c:pt>
                <c:pt idx="47">
                  <c:v>122.34397</c:v>
                </c:pt>
                <c:pt idx="48">
                  <c:v>135.08025000000001</c:v>
                </c:pt>
                <c:pt idx="49">
                  <c:v>153.53910999999999</c:v>
                </c:pt>
                <c:pt idx="50">
                  <c:v>169.58043000000001</c:v>
                </c:pt>
                <c:pt idx="51">
                  <c:v>228.69901999999996</c:v>
                </c:pt>
                <c:pt idx="52">
                  <c:v>262.06700000000001</c:v>
                </c:pt>
                <c:pt idx="53">
                  <c:v>293.69004000000001</c:v>
                </c:pt>
                <c:pt idx="54">
                  <c:v>553.77355999999997</c:v>
                </c:pt>
                <c:pt idx="55">
                  <c:v>739.39296000000013</c:v>
                </c:pt>
                <c:pt idx="56">
                  <c:v>942.70697999999993</c:v>
                </c:pt>
                <c:pt idx="57">
                  <c:v>1084.7106000000001</c:v>
                </c:pt>
                <c:pt idx="58">
                  <c:v>1152.1727899999998</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0">
                  <c:v>TACNA SOLAR</c:v>
                </c:pt>
                <c:pt idx="1">
                  <c:v>SDF ENERGIA</c:v>
                </c:pt>
                <c:pt idx="2">
                  <c:v>SAMAY I</c:v>
                </c:pt>
                <c:pt idx="3">
                  <c:v>RIO DOBLE</c:v>
                </c:pt>
                <c:pt idx="4">
                  <c:v>PLANTA  ETEN</c:v>
                </c:pt>
                <c:pt idx="5">
                  <c:v>PANAMERICANA SOLAR</c:v>
                </c:pt>
                <c:pt idx="6">
                  <c:v>MOQUEGUA FV</c:v>
                </c:pt>
                <c:pt idx="7">
                  <c:v>IYEPSA</c:v>
                </c:pt>
                <c:pt idx="8">
                  <c:v>HYDRO PATAPO</c:v>
                </c:pt>
                <c:pt idx="9">
                  <c:v>GTS REPARTICION</c:v>
                </c:pt>
                <c:pt idx="10">
                  <c:v>GTS MAJES</c:v>
                </c:pt>
                <c:pt idx="11">
                  <c:v>CERRO VERDE</c:v>
                </c:pt>
                <c:pt idx="12">
                  <c:v>ELECTRICA SANTA ROSA / ATRIA</c:v>
                </c:pt>
                <c:pt idx="13">
                  <c:v>MAJA ENERGIA</c:v>
                </c:pt>
                <c:pt idx="14">
                  <c:v>EGECSAC</c:v>
                </c:pt>
                <c:pt idx="15">
                  <c:v>ELECTRICA YANAPAMPA</c:v>
                </c:pt>
                <c:pt idx="16">
                  <c:v>HIDROCAÑETE</c:v>
                </c:pt>
                <c:pt idx="17">
                  <c:v>ELECTRO ZAÑA</c:v>
                </c:pt>
                <c:pt idx="18">
                  <c:v>EMGE HUALLAGA</c:v>
                </c:pt>
                <c:pt idx="19">
                  <c:v>INVERSION DE ENERGÍA RENOVABLES</c:v>
                </c:pt>
                <c:pt idx="20">
                  <c:v>SAN JACINTO</c:v>
                </c:pt>
                <c:pt idx="21">
                  <c:v>BIOENERGIA</c:v>
                </c:pt>
                <c:pt idx="22">
                  <c:v>SHOUGESA</c:v>
                </c:pt>
                <c:pt idx="23">
                  <c:v>RIO BAÑOS</c:v>
                </c:pt>
                <c:pt idx="24">
                  <c:v>PETRAMAS</c:v>
                </c:pt>
                <c:pt idx="25">
                  <c:v>GENERACIÓN ANDINA</c:v>
                </c:pt>
                <c:pt idx="26">
                  <c:v>AIPSA</c:v>
                </c:pt>
                <c:pt idx="27">
                  <c:v>EMGE JUNÍN / SANTA CRUZ</c:v>
                </c:pt>
                <c:pt idx="28">
                  <c:v>HUAURA POWER</c:v>
                </c:pt>
                <c:pt idx="29">
                  <c:v>AGROAURORA</c:v>
                </c:pt>
                <c:pt idx="30">
                  <c:v>HIDROELECTRICA HUANCHOR</c:v>
                </c:pt>
                <c:pt idx="31">
                  <c:v>HIDROMARAÑON/ CELEPSA RENOVABLES</c:v>
                </c:pt>
                <c:pt idx="32">
                  <c:v>SANTA ANA</c:v>
                </c:pt>
                <c:pt idx="33">
                  <c:v>AGUA AZUL</c:v>
                </c:pt>
                <c:pt idx="34">
                  <c:v>SINERSA</c:v>
                </c:pt>
                <c:pt idx="35">
                  <c:v>ANDEAN POWER</c:v>
                </c:pt>
                <c:pt idx="36">
                  <c:v>P.E. MARCONA</c:v>
                </c:pt>
                <c:pt idx="37">
                  <c:v>GEPSA</c:v>
                </c:pt>
                <c:pt idx="38">
                  <c:v>EGESUR</c:v>
                </c:pt>
                <c:pt idx="39">
                  <c:v>ENEL GREEN POWER PERU</c:v>
                </c:pt>
                <c:pt idx="40">
                  <c:v>P.E. TRES HERMANAS</c:v>
                </c:pt>
                <c:pt idx="41">
                  <c:v>CHINANGO</c:v>
                </c:pt>
                <c:pt idx="42">
                  <c:v>INLAND</c:v>
                </c:pt>
                <c:pt idx="43">
                  <c:v>SAN GABAN</c:v>
                </c:pt>
                <c:pt idx="44">
                  <c:v>ENEL GENERACION PIURA</c:v>
                </c:pt>
                <c:pt idx="45">
                  <c:v>EMGE HUANZA</c:v>
                </c:pt>
                <c:pt idx="46">
                  <c:v>ENERGÍA EÓLICA</c:v>
                </c:pt>
                <c:pt idx="47">
                  <c:v>TERMOSELVA</c:v>
                </c:pt>
                <c:pt idx="48">
                  <c:v>CELEPSA</c:v>
                </c:pt>
                <c:pt idx="49">
                  <c:v>EGEMSA</c:v>
                </c:pt>
                <c:pt idx="50">
                  <c:v>EGASA</c:v>
                </c:pt>
                <c:pt idx="51">
                  <c:v>STATKRAFT</c:v>
                </c:pt>
                <c:pt idx="52">
                  <c:v>ORAZUL ENERGY PERÚ</c:v>
                </c:pt>
                <c:pt idx="53">
                  <c:v>TERMOCHILCA</c:v>
                </c:pt>
                <c:pt idx="54">
                  <c:v>FENIX POWER</c:v>
                </c:pt>
                <c:pt idx="55">
                  <c:v>ELECTROPERU</c:v>
                </c:pt>
                <c:pt idx="56">
                  <c:v>ENGIE</c:v>
                </c:pt>
                <c:pt idx="57">
                  <c:v>KALLPA</c:v>
                </c:pt>
                <c:pt idx="58">
                  <c:v>ENEL GENERACION PERU</c:v>
                </c:pt>
              </c:strCache>
            </c:strRef>
          </c:cat>
          <c:val>
            <c:numRef>
              <c:f>'9. Pot. Empresa'!$N$7:$N$65</c:f>
              <c:numCache>
                <c:formatCode>0</c:formatCode>
                <c:ptCount val="59"/>
                <c:pt idx="0">
                  <c:v>0</c:v>
                </c:pt>
                <c:pt idx="1">
                  <c:v>27.40108</c:v>
                </c:pt>
                <c:pt idx="2">
                  <c:v>0</c:v>
                </c:pt>
                <c:pt idx="3">
                  <c:v>10.399929999999999</c:v>
                </c:pt>
                <c:pt idx="4">
                  <c:v>0</c:v>
                </c:pt>
                <c:pt idx="5">
                  <c:v>0</c:v>
                </c:pt>
                <c:pt idx="6">
                  <c:v>0</c:v>
                </c:pt>
                <c:pt idx="7">
                  <c:v>0</c:v>
                </c:pt>
                <c:pt idx="8">
                  <c:v>0.56000000000000005</c:v>
                </c:pt>
                <c:pt idx="9">
                  <c:v>0</c:v>
                </c:pt>
                <c:pt idx="10">
                  <c:v>0</c:v>
                </c:pt>
                <c:pt idx="11">
                  <c:v>0</c:v>
                </c:pt>
                <c:pt idx="12">
                  <c:v>1.1189800000000001</c:v>
                </c:pt>
                <c:pt idx="13">
                  <c:v>2.6952499999999997</c:v>
                </c:pt>
                <c:pt idx="14">
                  <c:v>1.7013199999999999</c:v>
                </c:pt>
                <c:pt idx="15">
                  <c:v>2.73665</c:v>
                </c:pt>
                <c:pt idx="16">
                  <c:v>0</c:v>
                </c:pt>
                <c:pt idx="17">
                  <c:v>6.6226699999999994</c:v>
                </c:pt>
                <c:pt idx="18">
                  <c:v>458.63094000000001</c:v>
                </c:pt>
                <c:pt idx="20">
                  <c:v>8.3360000000000003</c:v>
                </c:pt>
                <c:pt idx="21">
                  <c:v>9.9375</c:v>
                </c:pt>
                <c:pt idx="22">
                  <c:v>0</c:v>
                </c:pt>
                <c:pt idx="23">
                  <c:v>10.07461</c:v>
                </c:pt>
                <c:pt idx="24">
                  <c:v>8.5490499999999994</c:v>
                </c:pt>
                <c:pt idx="25">
                  <c:v>5.4458000000000002</c:v>
                </c:pt>
                <c:pt idx="26">
                  <c:v>14.872479999999999</c:v>
                </c:pt>
                <c:pt idx="27">
                  <c:v>50.067230000000002</c:v>
                </c:pt>
                <c:pt idx="28">
                  <c:v>9.3701100000000004</c:v>
                </c:pt>
                <c:pt idx="29">
                  <c:v>0</c:v>
                </c:pt>
                <c:pt idx="30">
                  <c:v>19.254950000000001</c:v>
                </c:pt>
                <c:pt idx="31">
                  <c:v>19.05706</c:v>
                </c:pt>
                <c:pt idx="32">
                  <c:v>20.041840000000001</c:v>
                </c:pt>
                <c:pt idx="33">
                  <c:v>14.597280000000001</c:v>
                </c:pt>
                <c:pt idx="34">
                  <c:v>20.14378</c:v>
                </c:pt>
                <c:pt idx="35">
                  <c:v>17.055810000000001</c:v>
                </c:pt>
                <c:pt idx="36">
                  <c:v>1.74197</c:v>
                </c:pt>
                <c:pt idx="37">
                  <c:v>58.945390000000003</c:v>
                </c:pt>
                <c:pt idx="38">
                  <c:v>24.618000000000002</c:v>
                </c:pt>
                <c:pt idx="39">
                  <c:v>59.293509999999998</c:v>
                </c:pt>
                <c:pt idx="40">
                  <c:v>8.7609200000000005</c:v>
                </c:pt>
                <c:pt idx="41">
                  <c:v>145.34241</c:v>
                </c:pt>
                <c:pt idx="42">
                  <c:v>90.351039999999998</c:v>
                </c:pt>
                <c:pt idx="43">
                  <c:v>108.25024999999999</c:v>
                </c:pt>
                <c:pt idx="44">
                  <c:v>89.428550000000001</c:v>
                </c:pt>
                <c:pt idx="45">
                  <c:v>72.402080000000012</c:v>
                </c:pt>
                <c:pt idx="46">
                  <c:v>21.015439999999998</c:v>
                </c:pt>
                <c:pt idx="47">
                  <c:v>75.367959999999997</c:v>
                </c:pt>
                <c:pt idx="48">
                  <c:v>187.66856999999999</c:v>
                </c:pt>
                <c:pt idx="49">
                  <c:v>166.66448</c:v>
                </c:pt>
                <c:pt idx="50">
                  <c:v>150.49536000000001</c:v>
                </c:pt>
                <c:pt idx="51">
                  <c:v>320.75953999999996</c:v>
                </c:pt>
                <c:pt idx="52">
                  <c:v>333.50994000000003</c:v>
                </c:pt>
                <c:pt idx="53">
                  <c:v>0</c:v>
                </c:pt>
                <c:pt idx="54">
                  <c:v>271.5471</c:v>
                </c:pt>
                <c:pt idx="55">
                  <c:v>865.3152</c:v>
                </c:pt>
                <c:pt idx="56">
                  <c:v>958.68518000000006</c:v>
                </c:pt>
                <c:pt idx="57">
                  <c:v>1327.8401999999999</c:v>
                </c:pt>
                <c:pt idx="58">
                  <c:v>810.89432999999997</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formatCode="0.0">
                  <c:v>226.44200129999999</c:v>
                </c:pt>
                <c:pt idx="18" formatCode="0.0">
                  <c:v>227.14199830000001</c:v>
                </c:pt>
                <c:pt idx="19" formatCode="0.0">
                  <c:v>227.625</c:v>
                </c:pt>
                <c:pt idx="20" formatCode="0.0">
                  <c:v>227.75800000000001</c:v>
                </c:pt>
                <c:pt idx="21" formatCode="0.0">
                  <c:v>226.41700739999999</c:v>
                </c:pt>
                <c:pt idx="22" formatCode="0.0">
                  <c:v>224.4589996</c:v>
                </c:pt>
                <c:pt idx="23" formatCode="0.0">
                  <c:v>220.634994506835</c:v>
                </c:pt>
                <c:pt idx="24" formatCode="0.0">
                  <c:v>218.28599550000001</c:v>
                </c:pt>
                <c:pt idx="25" formatCode="0.0">
                  <c:v>214.90499879999999</c:v>
                </c:pt>
                <c:pt idx="26" formatCode="0.0">
                  <c:v>210.91799926757801</c:v>
                </c:pt>
                <c:pt idx="27" formatCode="0.0">
                  <c:v>207.96099849999999</c:v>
                </c:pt>
                <c:pt idx="28" formatCode="0.0">
                  <c:v>205.66700739999999</c:v>
                </c:pt>
                <c:pt idx="29" formatCode="0.0">
                  <c:v>197.3999939</c:v>
                </c:pt>
                <c:pt idx="30" formatCode="0.0">
                  <c:v>194.98199460000001</c:v>
                </c:pt>
                <c:pt idx="31" formatCode="General">
                  <c:v>190.13999938964801</c:v>
                </c:pt>
                <c:pt idx="32" formatCode="General">
                  <c:v>186.17300420000001</c:v>
                </c:pt>
                <c:pt idx="33" formatCode="General">
                  <c:v>183.14799500000001</c:v>
                </c:pt>
                <c:pt idx="34" formatCode="General">
                  <c:v>175.24000549316401</c:v>
                </c:pt>
                <c:pt idx="35" formatCode="General">
                  <c:v>171.61000061035099</c:v>
                </c:pt>
                <c:pt idx="36" formatCode="General">
                  <c:v>167.78999328613199</c:v>
                </c:pt>
                <c:pt idx="37" formatCode="General">
                  <c:v>170.03999328613199</c:v>
                </c:pt>
                <c:pt idx="38" formatCode="General">
                  <c:v>159.69</c:v>
                </c:pt>
                <c:pt idx="39" formatCode="General">
                  <c:v>150.2969971</c:v>
                </c:pt>
                <c:pt idx="40" formatCode="General">
                  <c:v>146.7689972</c:v>
                </c:pt>
                <c:pt idx="41" formatCode="General">
                  <c:v>142.69900512695301</c:v>
                </c:pt>
                <c:pt idx="42" formatCode="General">
                  <c:v>135.75</c:v>
                </c:pt>
                <c:pt idx="43" formatCode="General">
                  <c:v>130.27000430000001</c:v>
                </c:pt>
                <c:pt idx="44" formatCode="General">
                  <c:v>124.5780029</c:v>
                </c:pt>
                <c:pt idx="45" formatCode="General">
                  <c:v>120.7269974</c:v>
                </c:pt>
                <c:pt idx="46" formatCode="General">
                  <c:v>113.7900009</c:v>
                </c:pt>
                <c:pt idx="47" formatCode="General">
                  <c:v>104.1470032</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formatCode="General">
                  <c:v>296.54501340000002</c:v>
                </c:pt>
                <c:pt idx="14" formatCode="General">
                  <c:v>289.60299680000003</c:v>
                </c:pt>
                <c:pt idx="15" formatCode="General">
                  <c:v>285.006012</c:v>
                </c:pt>
                <c:pt idx="16" formatCode="General">
                  <c:v>285.00601196289</c:v>
                </c:pt>
                <c:pt idx="17" formatCode="General">
                  <c:v>285.006012</c:v>
                </c:pt>
                <c:pt idx="18" formatCode="General">
                  <c:v>314.7409973</c:v>
                </c:pt>
                <c:pt idx="19" formatCode="General">
                  <c:v>314.14801030000001</c:v>
                </c:pt>
                <c:pt idx="20" formatCode="0.000">
                  <c:v>312.37200927734301</c:v>
                </c:pt>
                <c:pt idx="21" formatCode="0.000">
                  <c:v>310.60000609999997</c:v>
                </c:pt>
                <c:pt idx="22" formatCode="0.000">
                  <c:v>307.06500240000003</c:v>
                </c:pt>
                <c:pt idx="23" formatCode="0.000">
                  <c:v>300.621002197265</c:v>
                </c:pt>
                <c:pt idx="24" formatCode="0.000">
                  <c:v>286.72698969999999</c:v>
                </c:pt>
                <c:pt idx="25" formatCode="0.000">
                  <c:v>266.86801150000002</c:v>
                </c:pt>
                <c:pt idx="26" formatCode="0.000">
                  <c:v>255.73500061035099</c:v>
                </c:pt>
                <c:pt idx="27" formatCode="0.000">
                  <c:v>244.7590027</c:v>
                </c:pt>
                <c:pt idx="28" formatCode="0.000">
                  <c:v>231.25799559999999</c:v>
                </c:pt>
                <c:pt idx="29" formatCode="0.000">
                  <c:v>219.58000179999999</c:v>
                </c:pt>
                <c:pt idx="30" formatCode="0.000">
                  <c:v>209.128006</c:v>
                </c:pt>
                <c:pt idx="31" formatCode="General">
                  <c:v>201.39199830000001</c:v>
                </c:pt>
                <c:pt idx="32" formatCode="General">
                  <c:v>189.6999969</c:v>
                </c:pt>
                <c:pt idx="33" formatCode="General">
                  <c:v>178.71099849999999</c:v>
                </c:pt>
                <c:pt idx="34" formatCode="General">
                  <c:v>167.91000366210901</c:v>
                </c:pt>
                <c:pt idx="35" formatCode="General">
                  <c:v>158.25599670410099</c:v>
                </c:pt>
                <c:pt idx="36" formatCode="General">
                  <c:v>147.34800720214801</c:v>
                </c:pt>
                <c:pt idx="37" formatCode="General">
                  <c:v>136.64599609375</c:v>
                </c:pt>
                <c:pt idx="38" formatCode="General">
                  <c:v>131.14500430000001</c:v>
                </c:pt>
                <c:pt idx="39" formatCode="General">
                  <c:v>120.7580032</c:v>
                </c:pt>
                <c:pt idx="40" formatCode="General">
                  <c:v>102.3249969</c:v>
                </c:pt>
                <c:pt idx="41" formatCode="General">
                  <c:v>92.944999694824205</c:v>
                </c:pt>
                <c:pt idx="42" formatCode="General">
                  <c:v>84.166999820000001</c:v>
                </c:pt>
                <c:pt idx="43" formatCode="General">
                  <c:v>82.51499939</c:v>
                </c:pt>
                <c:pt idx="44" formatCode="General">
                  <c:v>72.33000183</c:v>
                </c:pt>
                <c:pt idx="45" formatCode="General">
                  <c:v>57.318000789999999</c:v>
                </c:pt>
                <c:pt idx="46" formatCode="General">
                  <c:v>44.738998410000001</c:v>
                </c:pt>
                <c:pt idx="47" formatCode="General">
                  <c:v>34.763999939999998</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formatCode="General">
                  <c:v>398.93495940999998</c:v>
                </c:pt>
                <c:pt idx="14" formatCode="General">
                  <c:v>388.01895332999999</c:v>
                </c:pt>
                <c:pt idx="15" formatCode="General">
                  <c:v>383.39695458999995</c:v>
                </c:pt>
                <c:pt idx="16" formatCode="General">
                  <c:v>381.56399345397853</c:v>
                </c:pt>
                <c:pt idx="17" formatCode="General">
                  <c:v>379.87400246999994</c:v>
                </c:pt>
                <c:pt idx="18" formatCode="General">
                  <c:v>375.69400404000004</c:v>
                </c:pt>
                <c:pt idx="19" formatCode="General">
                  <c:v>370.56599616999995</c:v>
                </c:pt>
                <c:pt idx="20" formatCode="General">
                  <c:v>365.52200794219863</c:v>
                </c:pt>
                <c:pt idx="21" formatCode="General">
                  <c:v>359.19900507300002</c:v>
                </c:pt>
                <c:pt idx="22" formatCode="General">
                  <c:v>354.24799921000005</c:v>
                </c:pt>
                <c:pt idx="23" formatCode="General">
                  <c:v>348.87000203132561</c:v>
                </c:pt>
                <c:pt idx="24" formatCode="General">
                  <c:v>343.83099551700002</c:v>
                </c:pt>
                <c:pt idx="25" formatCode="General">
                  <c:v>338.47100355099997</c:v>
                </c:pt>
                <c:pt idx="26" formatCode="General">
                  <c:v>333.23996639251612</c:v>
                </c:pt>
                <c:pt idx="27" formatCode="General">
                  <c:v>327.71050074999999</c:v>
                </c:pt>
                <c:pt idx="28" formatCode="General">
                  <c:v>322.11699965099996</c:v>
                </c:pt>
                <c:pt idx="29" formatCode="General">
                  <c:v>316.39600081599997</c:v>
                </c:pt>
                <c:pt idx="30" formatCode="General">
                  <c:v>310.66199637099999</c:v>
                </c:pt>
                <c:pt idx="31" formatCode="General">
                  <c:v>304.63100243800005</c:v>
                </c:pt>
                <c:pt idx="32" formatCode="General">
                  <c:v>299.14499665</c:v>
                </c:pt>
                <c:pt idx="33" formatCode="General">
                  <c:v>293.22399712800001</c:v>
                </c:pt>
                <c:pt idx="34" formatCode="General">
                  <c:v>287.11000061035065</c:v>
                </c:pt>
                <c:pt idx="35" formatCode="General">
                  <c:v>280.34500217437699</c:v>
                </c:pt>
                <c:pt idx="36" formatCode="General">
                  <c:v>273.90200042724575</c:v>
                </c:pt>
                <c:pt idx="37" formatCode="General">
                  <c:v>267.16300058364783</c:v>
                </c:pt>
                <c:pt idx="38" formatCode="General">
                  <c:v>262.426999588</c:v>
                </c:pt>
                <c:pt idx="39" formatCode="General">
                  <c:v>258.968997</c:v>
                </c:pt>
                <c:pt idx="40" formatCode="General">
                  <c:v>255.76199719799999</c:v>
                </c:pt>
                <c:pt idx="41" formatCode="General">
                  <c:v>251.31199836730943</c:v>
                </c:pt>
                <c:pt idx="42" formatCode="General">
                  <c:v>245.88199755799999</c:v>
                </c:pt>
                <c:pt idx="43" formatCode="General">
                  <c:v>239.051002463</c:v>
                </c:pt>
                <c:pt idx="44" formatCode="General">
                  <c:v>232.679000852</c:v>
                </c:pt>
                <c:pt idx="45" formatCode="General">
                  <c:v>225.80399990800001</c:v>
                </c:pt>
                <c:pt idx="46" formatCode="General">
                  <c:v>219.24500608799997</c:v>
                </c:pt>
                <c:pt idx="47" formatCode="General">
                  <c:v>212.09200192</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2516.3963216349989</c:v>
                </c:pt>
                <c:pt idx="1">
                  <c:v>1648.7086983974998</c:v>
                </c:pt>
                <c:pt idx="2">
                  <c:v>0</c:v>
                </c:pt>
                <c:pt idx="3">
                  <c:v>3.3548431874999998</c:v>
                </c:pt>
                <c:pt idx="4">
                  <c:v>25.675913637500003</c:v>
                </c:pt>
                <c:pt idx="5">
                  <c:v>128.4353796625</c:v>
                </c:pt>
                <c:pt idx="6">
                  <c:v>75.155877332500012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2330.5435877549999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4.3830983974999995</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3.9043622649999996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37.985623459999999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156.66788605249999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81.511218932499986</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'12.Caudales'!$J$4:$K$208</c:f>
              <c:multiLvlStrCache>
                <c:ptCount val="205"/>
                <c:lvl>
                  <c:pt idx="0">
                    <c:v>1</c:v>
                  </c:pt>
                  <c:pt idx="7">
                    <c:v>8</c:v>
                  </c:pt>
                  <c:pt idx="15">
                    <c:v>16</c:v>
                  </c:pt>
                  <c:pt idx="23">
                    <c:v>24</c:v>
                  </c:pt>
                  <c:pt idx="31">
                    <c:v>32</c:v>
                  </c:pt>
                  <c:pt idx="39">
                    <c:v>40</c:v>
                  </c:pt>
                  <c:pt idx="47">
                    <c:v>48</c:v>
                  </c:pt>
                  <c:pt idx="51">
                    <c:v>52</c:v>
                  </c:pt>
                  <c:pt idx="52">
                    <c:v>1</c:v>
                  </c:pt>
                  <c:pt idx="59">
                    <c:v>8</c:v>
                  </c:pt>
                  <c:pt idx="67">
                    <c:v>16</c:v>
                  </c:pt>
                  <c:pt idx="75">
                    <c:v>24</c:v>
                  </c:pt>
                  <c:pt idx="83">
                    <c:v>32</c:v>
                  </c:pt>
                  <c:pt idx="91">
                    <c:v>40</c:v>
                  </c:pt>
                  <c:pt idx="103">
                    <c:v>52</c:v>
                  </c:pt>
                  <c:pt idx="104">
                    <c:v>1</c:v>
                  </c:pt>
                  <c:pt idx="111">
                    <c:v>8</c:v>
                  </c:pt>
                  <c:pt idx="119">
                    <c:v>16</c:v>
                  </c:pt>
                  <c:pt idx="129">
                    <c:v>26</c:v>
                  </c:pt>
                  <c:pt idx="137">
                    <c:v>34</c:v>
                  </c:pt>
                  <c:pt idx="147">
                    <c:v>44</c:v>
                  </c:pt>
                  <c:pt idx="155">
                    <c:v>52</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'12.Caudales'!$N$4:$N$208</c:f>
              <c:numCache>
                <c:formatCode>0.0</c:formatCode>
                <c:ptCount val="205"/>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pt idx="170">
                  <c:v>109.14457049285714</c:v>
                </c:pt>
                <c:pt idx="171">
                  <c:v>80.133571635714276</c:v>
                </c:pt>
                <c:pt idx="172">
                  <c:v>57.13714327142857</c:v>
                </c:pt>
                <c:pt idx="173">
                  <c:v>55.184285845075259</c:v>
                </c:pt>
                <c:pt idx="174">
                  <c:v>80.201000221428572</c:v>
                </c:pt>
                <c:pt idx="175">
                  <c:v>73.398713792857151</c:v>
                </c:pt>
                <c:pt idx="176">
                  <c:v>57.629714421428567</c:v>
                </c:pt>
                <c:pt idx="177">
                  <c:v>47.208427974155924</c:v>
                </c:pt>
                <c:pt idx="178">
                  <c:v>39.635571071428572</c:v>
                </c:pt>
                <c:pt idx="179">
                  <c:v>49.136857168571431</c:v>
                </c:pt>
                <c:pt idx="180">
                  <c:v>34.150428227015844</c:v>
                </c:pt>
                <c:pt idx="181">
                  <c:v>32.288857598571425</c:v>
                </c:pt>
                <c:pt idx="182">
                  <c:v>29.45585686714286</c:v>
                </c:pt>
                <c:pt idx="183">
                  <c:v>27.986428669520745</c:v>
                </c:pt>
                <c:pt idx="184">
                  <c:v>24.371857235714284</c:v>
                </c:pt>
                <c:pt idx="185">
                  <c:v>23.620857238571428</c:v>
                </c:pt>
                <c:pt idx="186">
                  <c:v>26.757428577142853</c:v>
                </c:pt>
                <c:pt idx="187">
                  <c:v>26.481285638571428</c:v>
                </c:pt>
                <c:pt idx="188">
                  <c:v>25.506571633475126</c:v>
                </c:pt>
                <c:pt idx="189">
                  <c:v>31.441428594285707</c:v>
                </c:pt>
                <c:pt idx="190">
                  <c:v>33.365713935714282</c:v>
                </c:pt>
                <c:pt idx="191">
                  <c:v>29.068999699183816</c:v>
                </c:pt>
                <c:pt idx="192">
                  <c:v>26.005428859165701</c:v>
                </c:pt>
                <c:pt idx="193">
                  <c:v>25.021857125418485</c:v>
                </c:pt>
                <c:pt idx="194">
                  <c:v>27.854714257376486</c:v>
                </c:pt>
                <c:pt idx="195">
                  <c:v>27.986571175714282</c:v>
                </c:pt>
                <c:pt idx="196">
                  <c:v>25.258999961428572</c:v>
                </c:pt>
                <c:pt idx="197">
                  <c:v>25.185571671428566</c:v>
                </c:pt>
                <c:pt idx="198">
                  <c:v>33.125999450683558</c:v>
                </c:pt>
                <c:pt idx="199">
                  <c:v>41.127143314285711</c:v>
                </c:pt>
                <c:pt idx="200">
                  <c:v>33.038428169999996</c:v>
                </c:pt>
                <c:pt idx="201">
                  <c:v>40.115713391428571</c:v>
                </c:pt>
                <c:pt idx="202">
                  <c:v>43.881571090000001</c:v>
                </c:pt>
                <c:pt idx="203">
                  <c:v>42.811571392857147</c:v>
                </c:pt>
                <c:pt idx="204">
                  <c:v>66.262570518571422</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'12.Caudales'!$J$4:$K$208</c:f>
              <c:multiLvlStrCache>
                <c:ptCount val="205"/>
                <c:lvl>
                  <c:pt idx="0">
                    <c:v>1</c:v>
                  </c:pt>
                  <c:pt idx="7">
                    <c:v>8</c:v>
                  </c:pt>
                  <c:pt idx="15">
                    <c:v>16</c:v>
                  </c:pt>
                  <c:pt idx="23">
                    <c:v>24</c:v>
                  </c:pt>
                  <c:pt idx="31">
                    <c:v>32</c:v>
                  </c:pt>
                  <c:pt idx="39">
                    <c:v>40</c:v>
                  </c:pt>
                  <c:pt idx="47">
                    <c:v>48</c:v>
                  </c:pt>
                  <c:pt idx="51">
                    <c:v>52</c:v>
                  </c:pt>
                  <c:pt idx="52">
                    <c:v>1</c:v>
                  </c:pt>
                  <c:pt idx="59">
                    <c:v>8</c:v>
                  </c:pt>
                  <c:pt idx="67">
                    <c:v>16</c:v>
                  </c:pt>
                  <c:pt idx="75">
                    <c:v>24</c:v>
                  </c:pt>
                  <c:pt idx="83">
                    <c:v>32</c:v>
                  </c:pt>
                  <c:pt idx="91">
                    <c:v>40</c:v>
                  </c:pt>
                  <c:pt idx="103">
                    <c:v>52</c:v>
                  </c:pt>
                  <c:pt idx="104">
                    <c:v>1</c:v>
                  </c:pt>
                  <c:pt idx="111">
                    <c:v>8</c:v>
                  </c:pt>
                  <c:pt idx="119">
                    <c:v>16</c:v>
                  </c:pt>
                  <c:pt idx="129">
                    <c:v>26</c:v>
                  </c:pt>
                  <c:pt idx="137">
                    <c:v>34</c:v>
                  </c:pt>
                  <c:pt idx="147">
                    <c:v>44</c:v>
                  </c:pt>
                  <c:pt idx="155">
                    <c:v>52</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'12.Caudales'!$O$4:$O$208</c:f>
              <c:numCache>
                <c:formatCode>0.0</c:formatCode>
                <c:ptCount val="205"/>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pt idx="170">
                  <c:v>82.626999985714278</c:v>
                </c:pt>
                <c:pt idx="171">
                  <c:v>89.91342707714287</c:v>
                </c:pt>
                <c:pt idx="172">
                  <c:v>73.487428932857142</c:v>
                </c:pt>
                <c:pt idx="173">
                  <c:v>80.585714067731558</c:v>
                </c:pt>
                <c:pt idx="174">
                  <c:v>93.131286082857144</c:v>
                </c:pt>
                <c:pt idx="175">
                  <c:v>43.960427964285714</c:v>
                </c:pt>
                <c:pt idx="176">
                  <c:v>29.038571492857141</c:v>
                </c:pt>
                <c:pt idx="177">
                  <c:v>20.747856957571798</c:v>
                </c:pt>
                <c:pt idx="178">
                  <c:v>28.597570964285715</c:v>
                </c:pt>
                <c:pt idx="179">
                  <c:v>19.104714530000003</c:v>
                </c:pt>
                <c:pt idx="180">
                  <c:v>14.211285591125442</c:v>
                </c:pt>
                <c:pt idx="181">
                  <c:v>11.628714288571429</c:v>
                </c:pt>
                <c:pt idx="182">
                  <c:v>11.67571422</c:v>
                </c:pt>
                <c:pt idx="183">
                  <c:v>27.48885754176543</c:v>
                </c:pt>
                <c:pt idx="184">
                  <c:v>32.395143782857147</c:v>
                </c:pt>
                <c:pt idx="185">
                  <c:v>14.974999971428572</c:v>
                </c:pt>
                <c:pt idx="186">
                  <c:v>14.12842846</c:v>
                </c:pt>
                <c:pt idx="187">
                  <c:v>10.121857098285714</c:v>
                </c:pt>
                <c:pt idx="188">
                  <c:v>7.7241428239004906</c:v>
                </c:pt>
                <c:pt idx="189">
                  <c:v>8.5772858349999996</c:v>
                </c:pt>
                <c:pt idx="190">
                  <c:v>6.7090001108571427</c:v>
                </c:pt>
                <c:pt idx="191">
                  <c:v>5.7295714105878517</c:v>
                </c:pt>
                <c:pt idx="192">
                  <c:v>5.6865714618137853</c:v>
                </c:pt>
                <c:pt idx="193">
                  <c:v>5.3568570954459016</c:v>
                </c:pt>
                <c:pt idx="194">
                  <c:v>6.9268571308680906</c:v>
                </c:pt>
                <c:pt idx="195" formatCode="General">
                  <c:v>9.9768571861428565</c:v>
                </c:pt>
                <c:pt idx="196">
                  <c:v>7.1328571184285705</c:v>
                </c:pt>
                <c:pt idx="197">
                  <c:v>4.9102856772857146</c:v>
                </c:pt>
                <c:pt idx="198">
                  <c:v>6.3367142677306969</c:v>
                </c:pt>
                <c:pt idx="199" formatCode="General">
                  <c:v>11.867142950714285</c:v>
                </c:pt>
                <c:pt idx="200" formatCode="General">
                  <c:v>5.2337141718571427</c:v>
                </c:pt>
                <c:pt idx="201" formatCode="General">
                  <c:v>5.0682858059999996</c:v>
                </c:pt>
                <c:pt idx="202" formatCode="General">
                  <c:v>4.7745714188571426</c:v>
                </c:pt>
                <c:pt idx="203" formatCode="General">
                  <c:v>5.635714394571429</c:v>
                </c:pt>
                <c:pt idx="204">
                  <c:v>27.02714340957143</c:v>
                </c:pt>
              </c:numCache>
            </c:numRef>
          </c:val>
          <c:extLst>
            <c:ext xmlns:c16="http://schemas.microsoft.com/office/drawing/2014/chart" uri="{C3380CC4-5D6E-409C-BE32-E72D297353CC}">
              <c16:uniqueId val="{00000001-B673-4AFB-8D65-573216AF8130}"/>
            </c:ext>
          </c:extLst>
        </c:ser>
        <c:ser>
          <c:idx val="1"/>
          <c:order val="2"/>
          <c:tx>
            <c:strRef>
              <c:f>'12.Caudales'!$M$3</c:f>
              <c:strCache>
                <c:ptCount val="1"/>
                <c:pt idx="0">
                  <c:v>PATIVILCA</c:v>
                </c:pt>
              </c:strCache>
            </c:strRef>
          </c:tx>
          <c:spPr>
            <a:solidFill>
              <a:schemeClr val="accent1">
                <a:alpha val="26000"/>
              </a:schemeClr>
            </a:solidFill>
            <a:ln w="31750">
              <a:solidFill>
                <a:schemeClr val="accent1">
                  <a:lumMod val="75000"/>
                </a:schemeClr>
              </a:solidFill>
            </a:ln>
          </c:spPr>
          <c:cat>
            <c:multiLvlStrRef>
              <c:f>'12.Caudales'!$J$4:$K$208</c:f>
              <c:multiLvlStrCache>
                <c:ptCount val="205"/>
                <c:lvl>
                  <c:pt idx="0">
                    <c:v>1</c:v>
                  </c:pt>
                  <c:pt idx="7">
                    <c:v>8</c:v>
                  </c:pt>
                  <c:pt idx="15">
                    <c:v>16</c:v>
                  </c:pt>
                  <c:pt idx="23">
                    <c:v>24</c:v>
                  </c:pt>
                  <c:pt idx="31">
                    <c:v>32</c:v>
                  </c:pt>
                  <c:pt idx="39">
                    <c:v>40</c:v>
                  </c:pt>
                  <c:pt idx="47">
                    <c:v>48</c:v>
                  </c:pt>
                  <c:pt idx="51">
                    <c:v>52</c:v>
                  </c:pt>
                  <c:pt idx="52">
                    <c:v>1</c:v>
                  </c:pt>
                  <c:pt idx="59">
                    <c:v>8</c:v>
                  </c:pt>
                  <c:pt idx="67">
                    <c:v>16</c:v>
                  </c:pt>
                  <c:pt idx="75">
                    <c:v>24</c:v>
                  </c:pt>
                  <c:pt idx="83">
                    <c:v>32</c:v>
                  </c:pt>
                  <c:pt idx="91">
                    <c:v>40</c:v>
                  </c:pt>
                  <c:pt idx="103">
                    <c:v>52</c:v>
                  </c:pt>
                  <c:pt idx="104">
                    <c:v>1</c:v>
                  </c:pt>
                  <c:pt idx="111">
                    <c:v>8</c:v>
                  </c:pt>
                  <c:pt idx="119">
                    <c:v>16</c:v>
                  </c:pt>
                  <c:pt idx="129">
                    <c:v>26</c:v>
                  </c:pt>
                  <c:pt idx="137">
                    <c:v>34</c:v>
                  </c:pt>
                  <c:pt idx="147">
                    <c:v>44</c:v>
                  </c:pt>
                  <c:pt idx="155">
                    <c:v>52</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'12.Caudales'!$M$4:$M$208</c:f>
              <c:numCache>
                <c:formatCode>0.0</c:formatCode>
                <c:ptCount val="205"/>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pt idx="170">
                  <c:v>57.796857017142862</c:v>
                </c:pt>
                <c:pt idx="171">
                  <c:v>44.430285317142861</c:v>
                </c:pt>
                <c:pt idx="172">
                  <c:v>30.701856885714285</c:v>
                </c:pt>
                <c:pt idx="173">
                  <c:v>24.932857240949314</c:v>
                </c:pt>
                <c:pt idx="174">
                  <c:v>46.867285591428576</c:v>
                </c:pt>
                <c:pt idx="175">
                  <c:v>39.880857740000003</c:v>
                </c:pt>
                <c:pt idx="176">
                  <c:v>34.332998821428575</c:v>
                </c:pt>
                <c:pt idx="177">
                  <c:v>28.39914212908057</c:v>
                </c:pt>
                <c:pt idx="178">
                  <c:v>19.016142710000004</c:v>
                </c:pt>
                <c:pt idx="179">
                  <c:v>16.323713982857143</c:v>
                </c:pt>
                <c:pt idx="180">
                  <c:v>14.458999906267413</c:v>
                </c:pt>
                <c:pt idx="181">
                  <c:v>13.476999827142858</c:v>
                </c:pt>
                <c:pt idx="182">
                  <c:v>14.175142699999999</c:v>
                </c:pt>
                <c:pt idx="183">
                  <c:v>12.859571456909155</c:v>
                </c:pt>
                <c:pt idx="184">
                  <c:v>11.472142902857144</c:v>
                </c:pt>
                <c:pt idx="185">
                  <c:v>11.32885715142857</c:v>
                </c:pt>
                <c:pt idx="186">
                  <c:v>11.152000155714285</c:v>
                </c:pt>
                <c:pt idx="187">
                  <c:v>10.852571488571428</c:v>
                </c:pt>
                <c:pt idx="188">
                  <c:v>10.338285718645329</c:v>
                </c:pt>
                <c:pt idx="189">
                  <c:v>11.413999967142857</c:v>
                </c:pt>
                <c:pt idx="190">
                  <c:v>11.662143027142859</c:v>
                </c:pt>
                <c:pt idx="191">
                  <c:v>11.541428702218141</c:v>
                </c:pt>
                <c:pt idx="192">
                  <c:v>13.286857196262856</c:v>
                </c:pt>
                <c:pt idx="193">
                  <c:v>15.49071434565947</c:v>
                </c:pt>
                <c:pt idx="194">
                  <c:v>16.166143281119158</c:v>
                </c:pt>
                <c:pt idx="195" formatCode="General">
                  <c:v>16.810999734285712</c:v>
                </c:pt>
                <c:pt idx="196">
                  <c:v>14.579285758571428</c:v>
                </c:pt>
                <c:pt idx="197">
                  <c:v>13.048857279999998</c:v>
                </c:pt>
                <c:pt idx="198">
                  <c:v>14.871000289916955</c:v>
                </c:pt>
                <c:pt idx="199" formatCode="General">
                  <c:v>21.991714477142857</c:v>
                </c:pt>
                <c:pt idx="200" formatCode="General">
                  <c:v>13.904857091428573</c:v>
                </c:pt>
                <c:pt idx="201" formatCode="General">
                  <c:v>13.184428621428571</c:v>
                </c:pt>
                <c:pt idx="202" formatCode="General">
                  <c:v>13.14228561857143</c:v>
                </c:pt>
                <c:pt idx="203" formatCode="General">
                  <c:v>15.124714305714289</c:v>
                </c:pt>
                <c:pt idx="204">
                  <c:v>27.692142758571432</c:v>
                </c:pt>
              </c:numCache>
            </c:numRef>
          </c:val>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axId val="351129984"/>
        <c:axId val="351131904"/>
      </c:area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midCat"/>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'13.Caudales'!$N$4:$O$208</c:f>
              <c:multiLvlStrCache>
                <c:ptCount val="205"/>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'13.Caudales'!$Q$4:$Q$208</c:f>
              <c:numCache>
                <c:formatCode>0.0</c:formatCode>
                <c:ptCount val="205"/>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pt idx="170">
                  <c:v>18.795857294285714</c:v>
                </c:pt>
                <c:pt idx="171" formatCode="0.00">
                  <c:v>16.380999974285714</c:v>
                </c:pt>
                <c:pt idx="172">
                  <c:v>15.142857142857142</c:v>
                </c:pt>
                <c:pt idx="173">
                  <c:v>14.535142626081141</c:v>
                </c:pt>
                <c:pt idx="174">
                  <c:v>15.919285638571427</c:v>
                </c:pt>
                <c:pt idx="175">
                  <c:v>16.148714472857144</c:v>
                </c:pt>
                <c:pt idx="176">
                  <c:v>13.91285719</c:v>
                </c:pt>
                <c:pt idx="177">
                  <c:v>12.832571710859</c:v>
                </c:pt>
                <c:pt idx="178">
                  <c:v>11.589857237142857</c:v>
                </c:pt>
                <c:pt idx="179">
                  <c:v>10.866000038571428</c:v>
                </c:pt>
                <c:pt idx="180">
                  <c:v>10.893428530011814</c:v>
                </c:pt>
                <c:pt idx="181">
                  <c:v>9.7685713087142858</c:v>
                </c:pt>
                <c:pt idx="182">
                  <c:v>9.3011428291428579</c:v>
                </c:pt>
                <c:pt idx="183">
                  <c:v>9.0898572376796078</c:v>
                </c:pt>
                <c:pt idx="184">
                  <c:v>8.3315715788571421</c:v>
                </c:pt>
                <c:pt idx="185">
                  <c:v>8.7399999755714273</c:v>
                </c:pt>
                <c:pt idx="186">
                  <c:v>8.2612857819999999</c:v>
                </c:pt>
                <c:pt idx="187">
                  <c:v>7.5295715331428577</c:v>
                </c:pt>
                <c:pt idx="188">
                  <c:v>7.1332857268197154</c:v>
                </c:pt>
                <c:pt idx="189">
                  <c:v>7.307000092</c:v>
                </c:pt>
                <c:pt idx="190">
                  <c:v>6.8864285605714288</c:v>
                </c:pt>
                <c:pt idx="191">
                  <c:v>6.9537143707275364</c:v>
                </c:pt>
                <c:pt idx="192">
                  <c:v>6.8990000316074882</c:v>
                </c:pt>
                <c:pt idx="193">
                  <c:v>6.6838571003505107</c:v>
                </c:pt>
                <c:pt idx="194">
                  <c:v>7.5399999618530247</c:v>
                </c:pt>
                <c:pt idx="195">
                  <c:v>6.875</c:v>
                </c:pt>
                <c:pt idx="196">
                  <c:v>6.0911429268571426</c:v>
                </c:pt>
                <c:pt idx="197">
                  <c:v>5.8652857372857152</c:v>
                </c:pt>
                <c:pt idx="198">
                  <c:v>6.6280000550406255</c:v>
                </c:pt>
                <c:pt idx="199">
                  <c:v>7.1351429394285715</c:v>
                </c:pt>
                <c:pt idx="200">
                  <c:v>6.1070000102857147</c:v>
                </c:pt>
                <c:pt idx="201">
                  <c:v>5.6735714502857144</c:v>
                </c:pt>
                <c:pt idx="202">
                  <c:v>5.9637143271428581</c:v>
                </c:pt>
                <c:pt idx="203">
                  <c:v>6.7792857034285712</c:v>
                </c:pt>
                <c:pt idx="204">
                  <c:v>8.2138571738571429</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'13.Caudales'!$N$4:$O$208</c:f>
              <c:multiLvlStrCache>
                <c:ptCount val="205"/>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'13.Caudales'!$R$4:$R$208</c:f>
              <c:numCache>
                <c:formatCode>0.0</c:formatCode>
                <c:ptCount val="205"/>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pt idx="170">
                  <c:v>18.168000220000003</c:v>
                </c:pt>
                <c:pt idx="171" formatCode="0.00">
                  <c:v>14.786285537142858</c:v>
                </c:pt>
                <c:pt idx="172">
                  <c:v>11.113285608857142</c:v>
                </c:pt>
                <c:pt idx="173">
                  <c:v>7.95871441704886</c:v>
                </c:pt>
                <c:pt idx="174">
                  <c:v>12.133857388142859</c:v>
                </c:pt>
                <c:pt idx="175">
                  <c:v>14.776714189999998</c:v>
                </c:pt>
                <c:pt idx="176">
                  <c:v>10.484285559</c:v>
                </c:pt>
                <c:pt idx="177">
                  <c:v>8.7072857448032899</c:v>
                </c:pt>
                <c:pt idx="178">
                  <c:v>7.6087141037142851</c:v>
                </c:pt>
                <c:pt idx="179">
                  <c:v>6.6898570742857144</c:v>
                </c:pt>
                <c:pt idx="180">
                  <c:v>6.3937142235892095</c:v>
                </c:pt>
                <c:pt idx="181">
                  <c:v>5.4858571460000007</c:v>
                </c:pt>
                <c:pt idx="182">
                  <c:v>5.6422856875714285</c:v>
                </c:pt>
                <c:pt idx="183">
                  <c:v>4.8411428587777223</c:v>
                </c:pt>
                <c:pt idx="184">
                  <c:v>4.0902857780000001</c:v>
                </c:pt>
                <c:pt idx="185">
                  <c:v>3.3690000857142857</c:v>
                </c:pt>
                <c:pt idx="186">
                  <c:v>3.9334286622857135</c:v>
                </c:pt>
                <c:pt idx="187">
                  <c:v>3.8718570981428577</c:v>
                </c:pt>
                <c:pt idx="188">
                  <c:v>3.9694285733359158</c:v>
                </c:pt>
                <c:pt idx="189">
                  <c:v>4.0542857307142848</c:v>
                </c:pt>
                <c:pt idx="190">
                  <c:v>3.8852857181428568</c:v>
                </c:pt>
                <c:pt idx="191">
                  <c:v>3.3560000147138283</c:v>
                </c:pt>
                <c:pt idx="192">
                  <c:v>3.1212857110159686</c:v>
                </c:pt>
                <c:pt idx="193">
                  <c:v>3.6978571414947474</c:v>
                </c:pt>
                <c:pt idx="194">
                  <c:v>4.336428608285714</c:v>
                </c:pt>
                <c:pt idx="195">
                  <c:v>3.7</c:v>
                </c:pt>
                <c:pt idx="196">
                  <c:v>3.501428569857143</c:v>
                </c:pt>
                <c:pt idx="197">
                  <c:v>4.2169999735714283</c:v>
                </c:pt>
                <c:pt idx="198">
                  <c:v>4.7599999564034556</c:v>
                </c:pt>
                <c:pt idx="199">
                  <c:v>5.693714175857143</c:v>
                </c:pt>
                <c:pt idx="200">
                  <c:v>4.3958570957142857</c:v>
                </c:pt>
                <c:pt idx="201">
                  <c:v>4.5134285178571432</c:v>
                </c:pt>
                <c:pt idx="202">
                  <c:v>5.3014286587142854</c:v>
                </c:pt>
                <c:pt idx="203">
                  <c:v>3.8094285555714285</c:v>
                </c:pt>
                <c:pt idx="204">
                  <c:v>5.0787143024285717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midCat"/>
      </c:valAx>
    </c:plotArea>
    <c:legend>
      <c:legendPos val="t"/>
      <c:layout>
        <c:manualLayout>
          <c:xMode val="edge"/>
          <c:yMode val="edge"/>
          <c:x val="0.34111515197232239"/>
          <c:y val="0.1710458958743877"/>
          <c:w val="0.27556210517433377"/>
          <c:h val="9.445908944519326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'13.Caudales'!$N$4:$O$1768</c:f>
              <c:multiLvlStrCache>
                <c:ptCount val="205"/>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'13.Caudales'!$S$4:$S$208</c:f>
              <c:numCache>
                <c:formatCode>0.0</c:formatCode>
                <c:ptCount val="205"/>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pt idx="170">
                  <c:v>298.48543221428571</c:v>
                </c:pt>
                <c:pt idx="171" formatCode="0.00">
                  <c:v>196.30642698571427</c:v>
                </c:pt>
                <c:pt idx="172">
                  <c:v>144.25785718571427</c:v>
                </c:pt>
                <c:pt idx="173">
                  <c:v>118.61742946079741</c:v>
                </c:pt>
                <c:pt idx="174">
                  <c:v>119.46943012857146</c:v>
                </c:pt>
                <c:pt idx="175">
                  <c:v>179.62085941428572</c:v>
                </c:pt>
                <c:pt idx="176">
                  <c:v>132.41042655714287</c:v>
                </c:pt>
                <c:pt idx="177">
                  <c:v>118.96285901750787</c:v>
                </c:pt>
                <c:pt idx="178">
                  <c:v>92.527713229999989</c:v>
                </c:pt>
                <c:pt idx="179">
                  <c:v>86.262142725714284</c:v>
                </c:pt>
                <c:pt idx="180">
                  <c:v>80.154999869210343</c:v>
                </c:pt>
                <c:pt idx="181">
                  <c:v>71.438000270000003</c:v>
                </c:pt>
                <c:pt idx="182">
                  <c:v>70.798141479999998</c:v>
                </c:pt>
                <c:pt idx="183">
                  <c:v>72.323284694126613</c:v>
                </c:pt>
                <c:pt idx="184">
                  <c:v>70.352427891428562</c:v>
                </c:pt>
                <c:pt idx="185">
                  <c:v>69.363000051428585</c:v>
                </c:pt>
                <c:pt idx="186">
                  <c:v>68.101856775714282</c:v>
                </c:pt>
                <c:pt idx="187">
                  <c:v>66.163572037142856</c:v>
                </c:pt>
                <c:pt idx="188">
                  <c:v>69.589143480573355</c:v>
                </c:pt>
                <c:pt idx="189">
                  <c:v>67.52914374142857</c:v>
                </c:pt>
                <c:pt idx="190">
                  <c:v>67.307859692857136</c:v>
                </c:pt>
                <c:pt idx="191">
                  <c:v>62.870428357805473</c:v>
                </c:pt>
                <c:pt idx="192">
                  <c:v>65.621286119733483</c:v>
                </c:pt>
                <c:pt idx="193">
                  <c:v>65.927430289132204</c:v>
                </c:pt>
                <c:pt idx="194">
                  <c:v>68.259427751813561</c:v>
                </c:pt>
                <c:pt idx="195">
                  <c:v>75.159429278571437</c:v>
                </c:pt>
                <c:pt idx="196">
                  <c:v>73.523286004285723</c:v>
                </c:pt>
                <c:pt idx="197">
                  <c:v>67.761285509999993</c:v>
                </c:pt>
                <c:pt idx="198">
                  <c:v>71.132857186453606</c:v>
                </c:pt>
                <c:pt idx="199">
                  <c:v>76.869857788571409</c:v>
                </c:pt>
                <c:pt idx="200">
                  <c:v>68.664999825714276</c:v>
                </c:pt>
                <c:pt idx="201">
                  <c:v>62.049999781428575</c:v>
                </c:pt>
                <c:pt idx="202">
                  <c:v>57.546571460000003</c:v>
                </c:pt>
                <c:pt idx="203">
                  <c:v>56.944714135714285</c:v>
                </c:pt>
                <c:pt idx="204">
                  <c:v>56.829999651428572</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'13.Caudales'!$N$4:$O$1768</c:f>
              <c:multiLvlStrCache>
                <c:ptCount val="205"/>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'13.Caudales'!$T$4:$T$208</c:f>
              <c:numCache>
                <c:formatCode>0.0</c:formatCode>
                <c:ptCount val="205"/>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pt idx="170">
                  <c:v>156.28586031428571</c:v>
                </c:pt>
                <c:pt idx="171" formatCode="0.00">
                  <c:v>126.20242854857143</c:v>
                </c:pt>
                <c:pt idx="172">
                  <c:v>112.32742854857143</c:v>
                </c:pt>
                <c:pt idx="173">
                  <c:v>86.636999947684131</c:v>
                </c:pt>
                <c:pt idx="174">
                  <c:v>95.79771531714286</c:v>
                </c:pt>
                <c:pt idx="175">
                  <c:v>63.654857091428575</c:v>
                </c:pt>
                <c:pt idx="176">
                  <c:v>63.017857142857146</c:v>
                </c:pt>
                <c:pt idx="177">
                  <c:v>55.553428649902308</c:v>
                </c:pt>
                <c:pt idx="178">
                  <c:v>48.85114288285714</c:v>
                </c:pt>
                <c:pt idx="179">
                  <c:v>49.02971431142857</c:v>
                </c:pt>
                <c:pt idx="180">
                  <c:v>39.363000052315797</c:v>
                </c:pt>
                <c:pt idx="181">
                  <c:v>31.88514287142857</c:v>
                </c:pt>
                <c:pt idx="182">
                  <c:v>29.80342864857143</c:v>
                </c:pt>
                <c:pt idx="183">
                  <c:v>28.875142778669062</c:v>
                </c:pt>
                <c:pt idx="184">
                  <c:v>27.071428571428573</c:v>
                </c:pt>
                <c:pt idx="185">
                  <c:v>26.369142805714286</c:v>
                </c:pt>
                <c:pt idx="186">
                  <c:v>23.077571325714285</c:v>
                </c:pt>
                <c:pt idx="187">
                  <c:v>20.36314283098493</c:v>
                </c:pt>
                <c:pt idx="188">
                  <c:v>20.36</c:v>
                </c:pt>
                <c:pt idx="189">
                  <c:v>23.369000025714286</c:v>
                </c:pt>
                <c:pt idx="190">
                  <c:v>24.434428622857144</c:v>
                </c:pt>
                <c:pt idx="191">
                  <c:v>21.077428545270632</c:v>
                </c:pt>
                <c:pt idx="192">
                  <c:v>23.857142857142815</c:v>
                </c:pt>
                <c:pt idx="193">
                  <c:v>21.696428571428545</c:v>
                </c:pt>
                <c:pt idx="194">
                  <c:v>32.958285740443614</c:v>
                </c:pt>
                <c:pt idx="195">
                  <c:v>41.827428545714284</c:v>
                </c:pt>
                <c:pt idx="196">
                  <c:v>30.178571428571427</c:v>
                </c:pt>
                <c:pt idx="197">
                  <c:v>24.547571454285713</c:v>
                </c:pt>
                <c:pt idx="198">
                  <c:v>41.773857116699205</c:v>
                </c:pt>
                <c:pt idx="199">
                  <c:v>39.60114288285714</c:v>
                </c:pt>
                <c:pt idx="200">
                  <c:v>36.702285765714286</c:v>
                </c:pt>
                <c:pt idx="201">
                  <c:v>27.797571454285713</c:v>
                </c:pt>
                <c:pt idx="202">
                  <c:v>32.208285740000001</c:v>
                </c:pt>
                <c:pt idx="203">
                  <c:v>25.351285662857144</c:v>
                </c:pt>
                <c:pt idx="204">
                  <c:v>37.994142805714283</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'13.Caudales'!$N$4:$O$208</c:f>
              <c:multiLvlStrCache>
                <c:ptCount val="205"/>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'13.Caudales'!$U$4:$U$208</c:f>
              <c:numCache>
                <c:formatCode>0.0</c:formatCode>
                <c:ptCount val="205"/>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pt idx="170">
                  <c:v>40.567142485714285</c:v>
                </c:pt>
                <c:pt idx="171" formatCode="0.00">
                  <c:v>27.609000341428576</c:v>
                </c:pt>
                <c:pt idx="172">
                  <c:v>23.319143022857144</c:v>
                </c:pt>
                <c:pt idx="173">
                  <c:v>19.662570953369116</c:v>
                </c:pt>
                <c:pt idx="174">
                  <c:v>21.329571314285715</c:v>
                </c:pt>
                <c:pt idx="175">
                  <c:v>18.961428234285709</c:v>
                </c:pt>
                <c:pt idx="176">
                  <c:v>17.724285941428572</c:v>
                </c:pt>
                <c:pt idx="177">
                  <c:v>14.547714369637587</c:v>
                </c:pt>
                <c:pt idx="178">
                  <c:v>12.851142882857143</c:v>
                </c:pt>
                <c:pt idx="179">
                  <c:v>13.300571305714286</c:v>
                </c:pt>
                <c:pt idx="180">
                  <c:v>11.205857140677287</c:v>
                </c:pt>
                <c:pt idx="181">
                  <c:v>9.1724285395714276</c:v>
                </c:pt>
                <c:pt idx="182">
                  <c:v>8.6642858641428564</c:v>
                </c:pt>
                <c:pt idx="183">
                  <c:v>8.3150001253400507</c:v>
                </c:pt>
                <c:pt idx="184">
                  <c:v>7.9792855807142846</c:v>
                </c:pt>
                <c:pt idx="185">
                  <c:v>7.2952857698571441</c:v>
                </c:pt>
                <c:pt idx="186">
                  <c:v>7.5452858379999999</c:v>
                </c:pt>
                <c:pt idx="187">
                  <c:v>7.1267142297142865</c:v>
                </c:pt>
                <c:pt idx="188">
                  <c:v>6.828428472791396</c:v>
                </c:pt>
                <c:pt idx="189">
                  <c:v>6.6690000125714279</c:v>
                </c:pt>
                <c:pt idx="190">
                  <c:v>6.6477142742857138</c:v>
                </c:pt>
                <c:pt idx="191">
                  <c:v>6.0071428843906904</c:v>
                </c:pt>
                <c:pt idx="192">
                  <c:v>6.0528572627476231</c:v>
                </c:pt>
                <c:pt idx="193">
                  <c:v>5.992857115609298</c:v>
                </c:pt>
                <c:pt idx="194">
                  <c:v>6.3054285049438423</c:v>
                </c:pt>
                <c:pt idx="195">
                  <c:v>7.6855713981428568</c:v>
                </c:pt>
                <c:pt idx="196">
                  <c:v>7.8047143392857157</c:v>
                </c:pt>
                <c:pt idx="197">
                  <c:v>6.762428624428571</c:v>
                </c:pt>
                <c:pt idx="198">
                  <c:v>7.8334286553519048</c:v>
                </c:pt>
                <c:pt idx="199">
                  <c:v>6.4934286387142857</c:v>
                </c:pt>
                <c:pt idx="200">
                  <c:v>5.6301428931428577</c:v>
                </c:pt>
                <c:pt idx="201">
                  <c:v>5.3054286411428562</c:v>
                </c:pt>
                <c:pt idx="202">
                  <c:v>5.1785714285714288</c:v>
                </c:pt>
                <c:pt idx="203">
                  <c:v>6.1274285315714279</c:v>
                </c:pt>
                <c:pt idx="204">
                  <c:v>8.188285623714286</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midCat"/>
      </c:valAx>
    </c:plotArea>
    <c:legend>
      <c:legendPos val="t"/>
      <c:layout>
        <c:manualLayout>
          <c:xMode val="edge"/>
          <c:yMode val="edge"/>
          <c:x val="0.52348384361815492"/>
          <c:y val="0.11450845005374818"/>
          <c:w val="0.33267347813702164"/>
          <c:h val="6.840111987746215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9177940934877804"/>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'13.Caudales'!$N$4:$O$208</c:f>
              <c:multiLvlStrCache>
                <c:ptCount val="205"/>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'13.Caudales'!$V$4:$V$208</c:f>
              <c:numCache>
                <c:formatCode>0.0</c:formatCode>
                <c:ptCount val="205"/>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pt idx="170">
                  <c:v>21.36</c:v>
                </c:pt>
                <c:pt idx="171" formatCode="0.00">
                  <c:v>23.601429802857144</c:v>
                </c:pt>
                <c:pt idx="172">
                  <c:v>16.145714351428573</c:v>
                </c:pt>
                <c:pt idx="173">
                  <c:v>14.007261548723459</c:v>
                </c:pt>
                <c:pt idx="174">
                  <c:v>12.484048571428572</c:v>
                </c:pt>
                <c:pt idx="175">
                  <c:v>11.436902861999998</c:v>
                </c:pt>
                <c:pt idx="176">
                  <c:v>12.01881</c:v>
                </c:pt>
                <c:pt idx="177">
                  <c:v>11.963334356035457</c:v>
                </c:pt>
                <c:pt idx="178">
                  <c:v>11.972144264285713</c:v>
                </c:pt>
                <c:pt idx="179">
                  <c:v>12.060297148571431</c:v>
                </c:pt>
                <c:pt idx="180">
                  <c:v>12.025059972490542</c:v>
                </c:pt>
                <c:pt idx="181">
                  <c:v>11.867550168571428</c:v>
                </c:pt>
                <c:pt idx="182">
                  <c:v>11.961507115714285</c:v>
                </c:pt>
                <c:pt idx="183">
                  <c:v>12.125935554504371</c:v>
                </c:pt>
                <c:pt idx="184">
                  <c:v>12.036131450000001</c:v>
                </c:pt>
                <c:pt idx="185">
                  <c:v>12.01250158142857</c:v>
                </c:pt>
                <c:pt idx="186">
                  <c:v>12.065415654285715</c:v>
                </c:pt>
                <c:pt idx="187">
                  <c:v>12.064045632857143</c:v>
                </c:pt>
                <c:pt idx="188">
                  <c:v>11.89809417724604</c:v>
                </c:pt>
                <c:pt idx="189">
                  <c:v>11.954105787142856</c:v>
                </c:pt>
                <c:pt idx="190">
                  <c:v>11.958392961428572</c:v>
                </c:pt>
                <c:pt idx="191">
                  <c:v>12.309941428048228</c:v>
                </c:pt>
                <c:pt idx="192">
                  <c:v>12.697084290640644</c:v>
                </c:pt>
                <c:pt idx="193">
                  <c:v>12.722499983651257</c:v>
                </c:pt>
                <c:pt idx="194">
                  <c:v>12.757261548723429</c:v>
                </c:pt>
                <c:pt idx="195">
                  <c:v>12.744882855714284</c:v>
                </c:pt>
                <c:pt idx="196">
                  <c:v>13.59601129857143</c:v>
                </c:pt>
                <c:pt idx="197">
                  <c:v>13.258037294285714</c:v>
                </c:pt>
                <c:pt idx="198">
                  <c:v>12.748987061636742</c:v>
                </c:pt>
                <c:pt idx="199">
                  <c:v>12.771309988571426</c:v>
                </c:pt>
                <c:pt idx="200">
                  <c:v>13.156308445714286</c:v>
                </c:pt>
                <c:pt idx="201">
                  <c:v>12.687737055714285</c:v>
                </c:pt>
                <c:pt idx="202">
                  <c:v>13.157975741428572</c:v>
                </c:pt>
                <c:pt idx="203">
                  <c:v>12.246785572857144</c:v>
                </c:pt>
                <c:pt idx="204">
                  <c:v>13.367501529999998</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'13.Caudales'!$N$4:$O$208</c:f>
              <c:multiLvlStrCache>
                <c:ptCount val="205"/>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pt idx="204">
                    <c:v>48</c:v>
                  </c:pt>
                </c:lvl>
                <c:lvl>
                  <c:pt idx="0">
                    <c:v>2017</c:v>
                  </c:pt>
                  <c:pt idx="52">
                    <c:v>2018</c:v>
                  </c:pt>
                  <c:pt idx="104">
                    <c:v>2019</c:v>
                  </c:pt>
                  <c:pt idx="157">
                    <c:v>2020</c:v>
                  </c:pt>
                </c:lvl>
              </c:multiLvlStrCache>
            </c:multiLvlStrRef>
          </c:cat>
          <c:val>
            <c:numRef>
              <c:f>'13.Caudales'!$W$4:$W$208</c:f>
              <c:numCache>
                <c:formatCode>0.0</c:formatCode>
                <c:ptCount val="205"/>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pt idx="170">
                  <c:v>4.6619999238571435</c:v>
                </c:pt>
                <c:pt idx="171" formatCode="0.00">
                  <c:v>2.5870000464285714</c:v>
                </c:pt>
                <c:pt idx="172">
                  <c:v>1.9568571534285717</c:v>
                </c:pt>
                <c:pt idx="173">
                  <c:v>2.0897142546517471</c:v>
                </c:pt>
                <c:pt idx="174">
                  <c:v>2.074857081857143</c:v>
                </c:pt>
                <c:pt idx="175">
                  <c:v>1.6491428614285712</c:v>
                </c:pt>
                <c:pt idx="176">
                  <c:v>1.6491428614285712</c:v>
                </c:pt>
                <c:pt idx="177">
                  <c:v>1.6175714560917398</c:v>
                </c:pt>
                <c:pt idx="178">
                  <c:v>1.7258571555714286</c:v>
                </c:pt>
                <c:pt idx="179">
                  <c:v>2.2755714314285713</c:v>
                </c:pt>
                <c:pt idx="180">
                  <c:v>2.2755714314324473</c:v>
                </c:pt>
                <c:pt idx="181">
                  <c:v>1.7577142885714285</c:v>
                </c:pt>
                <c:pt idx="182">
                  <c:v>1.7387143204285713</c:v>
                </c:pt>
                <c:pt idx="183">
                  <c:v>2.0545714242117699</c:v>
                </c:pt>
                <c:pt idx="184">
                  <c:v>1.862857103571429</c:v>
                </c:pt>
                <c:pt idx="185">
                  <c:v>2.1428571427142855</c:v>
                </c:pt>
                <c:pt idx="186">
                  <c:v>2.0148571899999999</c:v>
                </c:pt>
                <c:pt idx="187">
                  <c:v>2.0708571672857143</c:v>
                </c:pt>
                <c:pt idx="188">
                  <c:v>1.7728571551186658</c:v>
                </c:pt>
                <c:pt idx="189">
                  <c:v>1.7154285907142857</c:v>
                </c:pt>
                <c:pt idx="190">
                  <c:v>2.26100002</c:v>
                </c:pt>
                <c:pt idx="191">
                  <c:v>1.5178571258272411</c:v>
                </c:pt>
                <c:pt idx="192">
                  <c:v>1.0650000040020247</c:v>
                </c:pt>
                <c:pt idx="193">
                  <c:v>1.5737142903464156</c:v>
                </c:pt>
                <c:pt idx="194">
                  <c:v>1.6808571304593714</c:v>
                </c:pt>
                <c:pt idx="195">
                  <c:v>1.6871428661428571</c:v>
                </c:pt>
                <c:pt idx="196">
                  <c:v>1.6130000010000001</c:v>
                </c:pt>
                <c:pt idx="197">
                  <c:v>1.8452857051428571</c:v>
                </c:pt>
                <c:pt idx="198">
                  <c:v>1.9990000043596503</c:v>
                </c:pt>
                <c:pt idx="199">
                  <c:v>1.5481428758571429</c:v>
                </c:pt>
                <c:pt idx="200">
                  <c:v>1.4392857041428573</c:v>
                </c:pt>
                <c:pt idx="201">
                  <c:v>1.380714297142857</c:v>
                </c:pt>
                <c:pt idx="202">
                  <c:v>1.3845714331428574</c:v>
                </c:pt>
                <c:pt idx="203">
                  <c:v>1.5065714290000003</c:v>
                </c:pt>
                <c:pt idx="204">
                  <c:v>1.0268571504285715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'13.Caudales'!$Y$4:$Y$208</c:f>
              <c:numCache>
                <c:formatCode>0.0</c:formatCode>
                <c:ptCount val="205"/>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pt idx="170">
                  <c:v>87.023999895714283</c:v>
                </c:pt>
                <c:pt idx="171" formatCode="0.00">
                  <c:v>56.692000798571428</c:v>
                </c:pt>
                <c:pt idx="172">
                  <c:v>41.578285762857142</c:v>
                </c:pt>
                <c:pt idx="173">
                  <c:v>32.277857099260544</c:v>
                </c:pt>
                <c:pt idx="174">
                  <c:v>27.218570980000003</c:v>
                </c:pt>
                <c:pt idx="175">
                  <c:v>23.996714454285712</c:v>
                </c:pt>
                <c:pt idx="176">
                  <c:v>27.218570980000003</c:v>
                </c:pt>
                <c:pt idx="177">
                  <c:v>17.639571326119512</c:v>
                </c:pt>
                <c:pt idx="178">
                  <c:v>13.389714241428573</c:v>
                </c:pt>
                <c:pt idx="179">
                  <c:v>13.06000001</c:v>
                </c:pt>
                <c:pt idx="180">
                  <c:v>10.094714164733857</c:v>
                </c:pt>
                <c:pt idx="181">
                  <c:v>9.1595716474285691</c:v>
                </c:pt>
                <c:pt idx="182">
                  <c:v>8.8348572594285706</c:v>
                </c:pt>
                <c:pt idx="183">
                  <c:v>8.4665715353829452</c:v>
                </c:pt>
                <c:pt idx="184">
                  <c:v>7.6952857290000001</c:v>
                </c:pt>
                <c:pt idx="185">
                  <c:v>7.1297142847142867</c:v>
                </c:pt>
                <c:pt idx="186">
                  <c:v>8.1214285577142853</c:v>
                </c:pt>
                <c:pt idx="187">
                  <c:v>8.1097143717142863</c:v>
                </c:pt>
                <c:pt idx="188">
                  <c:v>10.538714272635294</c:v>
                </c:pt>
                <c:pt idx="189">
                  <c:v>6.1292857952857149</c:v>
                </c:pt>
                <c:pt idx="190">
                  <c:v>6.0765714645714288</c:v>
                </c:pt>
                <c:pt idx="191">
                  <c:v>5.9287142923900031</c:v>
                </c:pt>
                <c:pt idx="192">
                  <c:v>6.6625714302062962</c:v>
                </c:pt>
                <c:pt idx="193">
                  <c:v>6.7525714465549971</c:v>
                </c:pt>
                <c:pt idx="194">
                  <c:v>6.3287143026079411</c:v>
                </c:pt>
                <c:pt idx="195">
                  <c:v>7.4534285069999999</c:v>
                </c:pt>
                <c:pt idx="196">
                  <c:v>6.0369999748571432</c:v>
                </c:pt>
                <c:pt idx="197">
                  <c:v>6.8767141612857143</c:v>
                </c:pt>
                <c:pt idx="198">
                  <c:v>6.4478571755545433</c:v>
                </c:pt>
                <c:pt idx="199">
                  <c:v>6.2457143240000006</c:v>
                </c:pt>
                <c:pt idx="200">
                  <c:v>6.5374285491428568</c:v>
                </c:pt>
                <c:pt idx="201">
                  <c:v>6.183142798285715</c:v>
                </c:pt>
                <c:pt idx="202">
                  <c:v>7.3267143794285712</c:v>
                </c:pt>
                <c:pt idx="203">
                  <c:v>9.6325714934285713</c:v>
                </c:pt>
                <c:pt idx="204">
                  <c:v>13.102857045714286</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'13.Caudales'!$X$4:$X$208</c:f>
              <c:numCache>
                <c:formatCode>0.0</c:formatCode>
                <c:ptCount val="205"/>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pt idx="170">
                  <c:v>272.16142927142863</c:v>
                </c:pt>
                <c:pt idx="171" formatCode="0.00">
                  <c:v>174.17928642857143</c:v>
                </c:pt>
                <c:pt idx="172">
                  <c:v>124.01500048571428</c:v>
                </c:pt>
                <c:pt idx="173">
                  <c:v>109.72071402413471</c:v>
                </c:pt>
                <c:pt idx="174">
                  <c:v>121.69785745714287</c:v>
                </c:pt>
                <c:pt idx="175">
                  <c:v>98.23285565285714</c:v>
                </c:pt>
                <c:pt idx="176">
                  <c:v>74.486427307142861</c:v>
                </c:pt>
                <c:pt idx="177">
                  <c:v>66.354285648890865</c:v>
                </c:pt>
                <c:pt idx="178">
                  <c:v>60.742857795714293</c:v>
                </c:pt>
                <c:pt idx="179">
                  <c:v>60.932143074285719</c:v>
                </c:pt>
                <c:pt idx="180">
                  <c:v>56.771429334367994</c:v>
                </c:pt>
                <c:pt idx="181">
                  <c:v>51.780714305714291</c:v>
                </c:pt>
                <c:pt idx="182">
                  <c:v>47.265713828571435</c:v>
                </c:pt>
                <c:pt idx="183">
                  <c:v>44.601428440638877</c:v>
                </c:pt>
                <c:pt idx="184">
                  <c:v>42.742857252857149</c:v>
                </c:pt>
                <c:pt idx="185">
                  <c:v>40.262857164285712</c:v>
                </c:pt>
                <c:pt idx="186">
                  <c:v>39.827141895714291</c:v>
                </c:pt>
                <c:pt idx="187">
                  <c:v>37.761428834285709</c:v>
                </c:pt>
                <c:pt idx="188">
                  <c:v>37.760714394705587</c:v>
                </c:pt>
                <c:pt idx="189">
                  <c:v>38.402142115714284</c:v>
                </c:pt>
                <c:pt idx="190">
                  <c:v>36.792856487142856</c:v>
                </c:pt>
                <c:pt idx="191">
                  <c:v>37.991428375244077</c:v>
                </c:pt>
                <c:pt idx="192">
                  <c:v>40.24999999999995</c:v>
                </c:pt>
                <c:pt idx="193">
                  <c:v>41.220714024135006</c:v>
                </c:pt>
                <c:pt idx="194">
                  <c:v>38.451428549630243</c:v>
                </c:pt>
                <c:pt idx="195">
                  <c:v>41.307143075714286</c:v>
                </c:pt>
                <c:pt idx="196">
                  <c:v>45.036428724285713</c:v>
                </c:pt>
                <c:pt idx="197">
                  <c:v>44.255714417142862</c:v>
                </c:pt>
                <c:pt idx="198">
                  <c:v>49.407857077462303</c:v>
                </c:pt>
                <c:pt idx="199">
                  <c:v>49.056428090000004</c:v>
                </c:pt>
                <c:pt idx="200">
                  <c:v>48.241428374285711</c:v>
                </c:pt>
                <c:pt idx="201">
                  <c:v>46.33071463571428</c:v>
                </c:pt>
                <c:pt idx="202">
                  <c:v>44.693571362857142</c:v>
                </c:pt>
                <c:pt idx="203">
                  <c:v>42.967857361428564</c:v>
                </c:pt>
                <c:pt idx="204">
                  <c:v>63.644285474285716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625393880"/>
        <c:scaling>
          <c:orientation val="minMax"/>
        </c:scaling>
        <c:delete val="0"/>
        <c:axPos val="r"/>
        <c:numFmt formatCode="0.0" sourceLinked="1"/>
        <c:majorTickMark val="out"/>
        <c:minorTickMark val="none"/>
        <c:tickLblPos val="nextTo"/>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7.4282128616697765E-2"/>
          <c:y val="0.12071755064387545"/>
          <c:w val="0.86657836712676428"/>
          <c:h val="6.3582727286523422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18.409932116228138</c:v>
                </c:pt>
                <c:pt idx="1">
                  <c:v>18.230842679285985</c:v>
                </c:pt>
                <c:pt idx="2">
                  <c:v>17.809051228647256</c:v>
                </c:pt>
                <c:pt idx="3">
                  <c:v>17.650094211680543</c:v>
                </c:pt>
                <c:pt idx="4">
                  <c:v>17.987165376077332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16.900311528547224</c:v>
                </c:pt>
                <c:pt idx="1">
                  <c:v>16.851576821137254</c:v>
                </c:pt>
                <c:pt idx="2">
                  <c:v>16.927269677785453</c:v>
                </c:pt>
                <c:pt idx="3">
                  <c:v>16.762711615689465</c:v>
                </c:pt>
                <c:pt idx="4">
                  <c:v>17.189858678054804</c:v>
                </c:pt>
                <c:pt idx="5">
                  <c:v>16.855184612188378</c:v>
                </c:pt>
                <c:pt idx="6">
                  <c:v>16.850454335757192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18.84366506501997</c:v>
                </c:pt>
                <c:pt idx="1">
                  <c:v>18.153032114689164</c:v>
                </c:pt>
                <c:pt idx="2">
                  <c:v>18.095630329332103</c:v>
                </c:pt>
                <c:pt idx="3">
                  <c:v>18.358993125384643</c:v>
                </c:pt>
                <c:pt idx="4">
                  <c:v>17.720489256694378</c:v>
                </c:pt>
                <c:pt idx="5">
                  <c:v>17.514578839642944</c:v>
                </c:pt>
                <c:pt idx="6">
                  <c:v>17.563134636426618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69856504737218861"/>
        </c:manualLayout>
      </c:layout>
      <c:barChart>
        <c:barDir val="col"/>
        <c:grouping val="clustered"/>
        <c:varyColors val="0"/>
        <c:ser>
          <c:idx val="2"/>
          <c:order val="0"/>
          <c:tx>
            <c:strRef>
              <c:f>'16. Congestiones'!$F$6</c:f>
              <c:strCache>
                <c:ptCount val="1"/>
                <c:pt idx="0">
                  <c:v>NOVIEMBRE
 2018</c:v>
                </c:pt>
              </c:strCache>
            </c:strRef>
          </c:tx>
          <c:spPr>
            <a:solidFill>
              <a:schemeClr val="accent6"/>
            </a:solidFill>
          </c:spPr>
          <c:invertIfNegative val="0"/>
          <c:cat>
            <c:strRef>
              <c:f>'16. Congestiones'!$C$7:$C$19</c:f>
              <c:strCache>
                <c:ptCount val="13"/>
                <c:pt idx="0">
                  <c:v>PARAGSHA II - CONOCOCHA</c:v>
                </c:pt>
                <c:pt idx="1">
                  <c:v>SAN JUAN - LOS INDUSTRIALES</c:v>
                </c:pt>
                <c:pt idx="2">
                  <c:v>SAN JUAN - SANTA ROSA N.</c:v>
                </c:pt>
                <c:pt idx="3">
                  <c:v>SANTA ROSA N. - LOS INDUSTRIALES</c:v>
                </c:pt>
                <c:pt idx="4">
                  <c:v>HUANZA-CARABAYLLO</c:v>
                </c:pt>
                <c:pt idx="5">
                  <c:v>CAMPO ARMIÑO - HUANCAVELICA</c:v>
                </c:pt>
                <c:pt idx="6">
                  <c:v>POMACOCHA - SAN JUAN</c:v>
                </c:pt>
                <c:pt idx="7">
                  <c:v>POMACOCHA - CARHUAMAYO</c:v>
                </c:pt>
                <c:pt idx="8">
                  <c:v>CARHUAMAYO - OROYA NUEVA</c:v>
                </c:pt>
                <c:pt idx="9">
                  <c:v>MARCONA - SAN NICOLÁS</c:v>
                </c:pt>
                <c:pt idx="10">
                  <c:v>INDEPENDENCIA</c:v>
                </c:pt>
                <c:pt idx="11">
                  <c:v>MARCONA</c:v>
                </c:pt>
                <c:pt idx="12">
                  <c:v>CHILCA - ASIA</c:v>
                </c:pt>
              </c:strCache>
            </c:strRef>
          </c:cat>
          <c:val>
            <c:numRef>
              <c:f>'16. Congestiones'!$F$7:$F$19</c:f>
              <c:numCache>
                <c:formatCode>#,##0.00</c:formatCode>
                <c:ptCount val="13"/>
                <c:pt idx="0">
                  <c:v>3.0000000000000013</c:v>
                </c:pt>
                <c:pt idx="4">
                  <c:v>2.2666666666666679</c:v>
                </c:pt>
                <c:pt idx="5">
                  <c:v>19.283333333333331</c:v>
                </c:pt>
                <c:pt idx="6">
                  <c:v>102.2</c:v>
                </c:pt>
                <c:pt idx="8">
                  <c:v>2.4333333333333336</c:v>
                </c:pt>
                <c:pt idx="9">
                  <c:v>18.966666666666669</c:v>
                </c:pt>
                <c:pt idx="10">
                  <c:v>13.3</c:v>
                </c:pt>
                <c:pt idx="11">
                  <c:v>7.4833333333333343</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NOVIEMBRE
 2019</c:v>
                </c:pt>
              </c:strCache>
            </c:strRef>
          </c:tx>
          <c:invertIfNegative val="0"/>
          <c:cat>
            <c:strRef>
              <c:f>'16. Congestiones'!$C$7:$C$19</c:f>
              <c:strCache>
                <c:ptCount val="13"/>
                <c:pt idx="0">
                  <c:v>PARAGSHA II - CONOCOCHA</c:v>
                </c:pt>
                <c:pt idx="1">
                  <c:v>SAN JUAN - LOS INDUSTRIALES</c:v>
                </c:pt>
                <c:pt idx="2">
                  <c:v>SAN JUAN - SANTA ROSA N.</c:v>
                </c:pt>
                <c:pt idx="3">
                  <c:v>SANTA ROSA N. - LOS INDUSTRIALES</c:v>
                </c:pt>
                <c:pt idx="4">
                  <c:v>HUANZA-CARABAYLLO</c:v>
                </c:pt>
                <c:pt idx="5">
                  <c:v>CAMPO ARMIÑO - HUANCAVELICA</c:v>
                </c:pt>
                <c:pt idx="6">
                  <c:v>POMACOCHA - SAN JUAN</c:v>
                </c:pt>
                <c:pt idx="7">
                  <c:v>POMACOCHA - CARHUAMAYO</c:v>
                </c:pt>
                <c:pt idx="8">
                  <c:v>CARHUAMAYO - OROYA NUEVA</c:v>
                </c:pt>
                <c:pt idx="9">
                  <c:v>MARCONA - SAN NICOLÁS</c:v>
                </c:pt>
                <c:pt idx="10">
                  <c:v>INDEPENDENCIA</c:v>
                </c:pt>
                <c:pt idx="11">
                  <c:v>MARCONA</c:v>
                </c:pt>
                <c:pt idx="12">
                  <c:v>CHILCA - ASIA</c:v>
                </c:pt>
              </c:strCache>
            </c:strRef>
          </c:cat>
          <c:val>
            <c:numRef>
              <c:f>'16. Congestiones'!$E$7:$E$19</c:f>
              <c:numCache>
                <c:formatCode>#,##0.00</c:formatCode>
                <c:ptCount val="13"/>
                <c:pt idx="1">
                  <c:v>6.6333333333333355</c:v>
                </c:pt>
                <c:pt idx="2">
                  <c:v>1.4500000000000002</c:v>
                </c:pt>
                <c:pt idx="3">
                  <c:v>1.4500000000000002</c:v>
                </c:pt>
                <c:pt idx="7">
                  <c:v>5.3166666666666682</c:v>
                </c:pt>
                <c:pt idx="9">
                  <c:v>49.066666666666663</c:v>
                </c:pt>
                <c:pt idx="10">
                  <c:v>193.09999999999997</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NOVIEMBRE
 2020</c:v>
                </c:pt>
              </c:strCache>
            </c:strRef>
          </c:tx>
          <c:invertIfNegative val="0"/>
          <c:cat>
            <c:strRef>
              <c:f>'16. Congestiones'!$C$7:$C$19</c:f>
              <c:strCache>
                <c:ptCount val="13"/>
                <c:pt idx="0">
                  <c:v>PARAGSHA II - CONOCOCHA</c:v>
                </c:pt>
                <c:pt idx="1">
                  <c:v>SAN JUAN - LOS INDUSTRIALES</c:v>
                </c:pt>
                <c:pt idx="2">
                  <c:v>SAN JUAN - SANTA ROSA N.</c:v>
                </c:pt>
                <c:pt idx="3">
                  <c:v>SANTA ROSA N. - LOS INDUSTRIALES</c:v>
                </c:pt>
                <c:pt idx="4">
                  <c:v>HUANZA-CARABAYLLO</c:v>
                </c:pt>
                <c:pt idx="5">
                  <c:v>CAMPO ARMIÑO - HUANCAVELICA</c:v>
                </c:pt>
                <c:pt idx="6">
                  <c:v>POMACOCHA - SAN JUAN</c:v>
                </c:pt>
                <c:pt idx="7">
                  <c:v>POMACOCHA - CARHUAMAYO</c:v>
                </c:pt>
                <c:pt idx="8">
                  <c:v>CARHUAMAYO - OROYA NUEVA</c:v>
                </c:pt>
                <c:pt idx="9">
                  <c:v>MARCONA - SAN NICOLÁS</c:v>
                </c:pt>
                <c:pt idx="10">
                  <c:v>INDEPENDENCIA</c:v>
                </c:pt>
                <c:pt idx="11">
                  <c:v>MARCONA</c:v>
                </c:pt>
                <c:pt idx="12">
                  <c:v>CHILCA - ASIA</c:v>
                </c:pt>
              </c:strCache>
            </c:strRef>
          </c:cat>
          <c:val>
            <c:numRef>
              <c:f>'16. Congestiones'!$D$7:$D$19</c:f>
              <c:numCache>
                <c:formatCode>#,##0.00</c:formatCode>
                <c:ptCount val="13"/>
                <c:pt idx="9">
                  <c:v>22.133333333333329</c:v>
                </c:pt>
                <c:pt idx="10">
                  <c:v>23.983333333333334</c:v>
                </c:pt>
                <c:pt idx="11">
                  <c:v>8.0500000000000025</c:v>
                </c:pt>
                <c:pt idx="12">
                  <c:v>2.6833333333333331</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0192827961679777"/>
          <c:y val="2.8140265465367892E-3"/>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0.1626345469097086"/>
                  <c:y val="-6.9835177240913223E-3"/>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5107800859"/>
                      <c:h val="0.10918085346579363"/>
                    </c:manualLayout>
                  </c15:layout>
                </c:ext>
                <c:ext xmlns:c16="http://schemas.microsoft.com/office/drawing/2014/chart" uri="{C3380CC4-5D6E-409C-BE32-E72D297353CC}">
                  <c16:uniqueId val="{00000003-E0CC-4AD3-904F-2124A98CD904}"/>
                </c:ext>
              </c:extLst>
            </c:dLbl>
            <c:dLbl>
              <c:idx val="2"/>
              <c:layout>
                <c:manualLayout>
                  <c:x val="-1.5402456552985758E-3"/>
                  <c:y val="4.4890494468277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6.0373627042322187E-2"/>
                  <c:y val="1.94184583728196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4.081283483601212E-2"/>
                  <c:y val="-4.51799503273877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14750383836404035"/>
                  <c:y val="-3.1055317227365088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16</c:v>
                </c:pt>
                <c:pt idx="1">
                  <c:v>9</c:v>
                </c:pt>
                <c:pt idx="2">
                  <c:v>4</c:v>
                </c:pt>
                <c:pt idx="3">
                  <c:v>4</c:v>
                </c:pt>
                <c:pt idx="4">
                  <c:v>12</c:v>
                </c:pt>
                <c:pt idx="5">
                  <c:v>4</c:v>
                </c:pt>
                <c:pt idx="6">
                  <c:v>2</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Eventos'!$A$7:$A$10</c:f>
              <c:strCache>
                <c:ptCount val="4"/>
                <c:pt idx="0">
                  <c:v>LINEA DE TRANSMISION</c:v>
                </c:pt>
                <c:pt idx="1">
                  <c:v>TRANSFORMADOR 3D</c:v>
                </c:pt>
                <c:pt idx="2">
                  <c:v>BARRA</c:v>
                </c:pt>
                <c:pt idx="3">
                  <c:v>CELDA</c:v>
                </c:pt>
              </c:strCache>
            </c:strRef>
          </c:cat>
          <c:val>
            <c:numRef>
              <c:f>'17. Eventos'!$J$7:$J$10</c:f>
              <c:numCache>
                <c:formatCode>#,##0.00</c:formatCode>
                <c:ptCount val="4"/>
                <c:pt idx="0">
                  <c:v>549.73</c:v>
                </c:pt>
                <c:pt idx="1">
                  <c:v>90.91</c:v>
                </c:pt>
                <c:pt idx="2">
                  <c:v>5.78</c:v>
                </c:pt>
                <c:pt idx="3">
                  <c:v>16.41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generación'!$B$27:$C$27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generación'!$D$26:$E$26</c:f>
              <c:strCache>
                <c:ptCount val="2"/>
                <c:pt idx="0">
                  <c:v>NOVIEMBRE 2020</c:v>
                </c:pt>
                <c:pt idx="1">
                  <c:v>NOVIEMBRE 2019</c:v>
                </c:pt>
              </c:strCache>
            </c:strRef>
          </c:cat>
          <c:val>
            <c:numRef>
              <c:f>'2. Oferta de generación'!$D$27:$E$27</c:f>
              <c:numCache>
                <c:formatCode>#,##0.0</c:formatCode>
                <c:ptCount val="2"/>
                <c:pt idx="0">
                  <c:v>5183.1192474999998</c:v>
                </c:pt>
                <c:pt idx="1">
                  <c:v>5132.3492474999994</c:v>
                </c:pt>
              </c:numCache>
            </c:numRef>
          </c:val>
          <c:extLst>
            <c:ext xmlns:c16="http://schemas.microsoft.com/office/drawing/2014/chart" uri="{C3380CC4-5D6E-409C-BE32-E72D297353CC}">
              <c16:uniqueId val="{00000004-54B0-402D-913D-0304413B844F}"/>
            </c:ext>
          </c:extLst>
        </c:ser>
        <c:ser>
          <c:idx val="1"/>
          <c:order val="1"/>
          <c:tx>
            <c:strRef>
              <c:f>'2. Oferta de generación'!$B$28:$C$28</c:f>
              <c:strCache>
                <c:ptCount val="2"/>
                <c:pt idx="0">
                  <c:v>TERMOELÉCTRICA</c:v>
                </c:pt>
              </c:strCache>
            </c:strRef>
          </c:tx>
          <c:spPr>
            <a:solidFill>
              <a:schemeClr val="accent2"/>
            </a:solidFill>
          </c:spPr>
          <c:invertIfNegative val="0"/>
          <c:cat>
            <c:strRef>
              <c:f>'2. Oferta de generación'!$D$26:$E$26</c:f>
              <c:strCache>
                <c:ptCount val="2"/>
                <c:pt idx="0">
                  <c:v>NOVIEMBRE 2020</c:v>
                </c:pt>
                <c:pt idx="1">
                  <c:v>NOVIEMBRE 2019</c:v>
                </c:pt>
              </c:strCache>
            </c:strRef>
          </c:cat>
          <c:val>
            <c:numRef>
              <c:f>'2. Oferta de generación'!$D$28:$E$28</c:f>
              <c:numCache>
                <c:formatCode>#,##0.0</c:formatCode>
                <c:ptCount val="2"/>
                <c:pt idx="0">
                  <c:v>7398.3644999999997</c:v>
                </c:pt>
                <c:pt idx="1">
                  <c:v>7431.6745000000001</c:v>
                </c:pt>
              </c:numCache>
            </c:numRef>
          </c:val>
          <c:extLst>
            <c:ext xmlns:c16="http://schemas.microsoft.com/office/drawing/2014/chart" uri="{C3380CC4-5D6E-409C-BE32-E72D297353CC}">
              <c16:uniqueId val="{00000005-54B0-402D-913D-0304413B844F}"/>
            </c:ext>
          </c:extLst>
        </c:ser>
        <c:ser>
          <c:idx val="2"/>
          <c:order val="2"/>
          <c:tx>
            <c:strRef>
              <c:f>'2. Oferta de generación'!$B$29:$C$29</c:f>
              <c:strCache>
                <c:ptCount val="2"/>
                <c:pt idx="0">
                  <c:v>EÓLICA</c:v>
                </c:pt>
              </c:strCache>
            </c:strRef>
          </c:tx>
          <c:spPr>
            <a:solidFill>
              <a:srgbClr val="6DA6D9"/>
            </a:solidFill>
          </c:spPr>
          <c:invertIfNegative val="0"/>
          <c:cat>
            <c:strRef>
              <c:f>'2. Oferta de generación'!$D$26:$E$26</c:f>
              <c:strCache>
                <c:ptCount val="2"/>
                <c:pt idx="0">
                  <c:v>NOVIEMBRE 2020</c:v>
                </c:pt>
                <c:pt idx="1">
                  <c:v>NOVIEMBRE 2019</c:v>
                </c:pt>
              </c:strCache>
            </c:strRef>
          </c:cat>
          <c:val>
            <c:numRef>
              <c:f>'2. Oferta de generación'!$D$29:$E$29</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generación'!$B$30:$C$30</c:f>
              <c:strCache>
                <c:ptCount val="2"/>
                <c:pt idx="0">
                  <c:v>SOLAR</c:v>
                </c:pt>
              </c:strCache>
            </c:strRef>
          </c:tx>
          <c:invertIfNegative val="0"/>
          <c:cat>
            <c:strRef>
              <c:f>'2. Oferta de generación'!$D$26:$E$26</c:f>
              <c:strCache>
                <c:ptCount val="2"/>
                <c:pt idx="0">
                  <c:v>NOVIEMBRE 2020</c:v>
                </c:pt>
                <c:pt idx="1">
                  <c:v>NOVIEMBRE 2019</c:v>
                </c:pt>
              </c:strCache>
            </c:strRef>
          </c:cat>
          <c:val>
            <c:numRef>
              <c:f>'2. Oferta de generación'!$D$30:$E$30</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TRANSFORMADOR 3D</c:v>
                </c:pt>
                <c:pt idx="2">
                  <c:v>BARRA</c:v>
                </c:pt>
                <c:pt idx="3">
                  <c:v>CELDA</c:v>
                </c:pt>
              </c:strCache>
            </c:strRef>
          </c:cat>
          <c:val>
            <c:numRef>
              <c:f>'17. Eventos'!$B$7:$B$10</c:f>
              <c:numCache>
                <c:formatCode>General</c:formatCode>
                <c:ptCount val="4"/>
                <c:pt idx="0">
                  <c:v>16</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TRANSFORMADOR 3D</c:v>
                </c:pt>
                <c:pt idx="2">
                  <c:v>BARRA</c:v>
                </c:pt>
                <c:pt idx="3">
                  <c:v>CELDA</c:v>
                </c:pt>
              </c:strCache>
            </c:strRef>
          </c:cat>
          <c:val>
            <c:numRef>
              <c:f>'17. Eventos'!$C$7:$C$10</c:f>
              <c:numCache>
                <c:formatCode>General</c:formatCode>
                <c:ptCount val="4"/>
                <c:pt idx="0">
                  <c:v>9</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TRANSFORMADOR 3D</c:v>
                </c:pt>
                <c:pt idx="2">
                  <c:v>BARRA</c:v>
                </c:pt>
                <c:pt idx="3">
                  <c:v>CELDA</c:v>
                </c:pt>
              </c:strCache>
            </c:strRef>
          </c:cat>
          <c:val>
            <c:numRef>
              <c:f>'17. Eventos'!$D$7:$D$10</c:f>
              <c:numCache>
                <c:formatCode>General</c:formatCode>
                <c:ptCount val="4"/>
                <c:pt idx="0">
                  <c:v>2</c:v>
                </c:pt>
                <c:pt idx="1">
                  <c:v>1</c:v>
                </c:pt>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TRANSFORMADOR 3D</c:v>
                </c:pt>
                <c:pt idx="2">
                  <c:v>BARRA</c:v>
                </c:pt>
                <c:pt idx="3">
                  <c:v>CELDA</c:v>
                </c:pt>
              </c:strCache>
            </c:strRef>
          </c:cat>
          <c:val>
            <c:numRef>
              <c:f>'17. Eventos'!$E$7:$E$10</c:f>
              <c:numCache>
                <c:formatCode>General</c:formatCode>
                <c:ptCount val="4"/>
                <c:pt idx="0">
                  <c:v>3</c:v>
                </c:pt>
                <c:pt idx="3">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TRANSFORMADOR 3D</c:v>
                </c:pt>
                <c:pt idx="2">
                  <c:v>BARRA</c:v>
                </c:pt>
                <c:pt idx="3">
                  <c:v>CELDA</c:v>
                </c:pt>
              </c:strCache>
            </c:strRef>
          </c:cat>
          <c:val>
            <c:numRef>
              <c:f>'17. Eventos'!$F$7:$F$10</c:f>
              <c:numCache>
                <c:formatCode>General</c:formatCode>
                <c:ptCount val="4"/>
                <c:pt idx="0">
                  <c:v>12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TRANSFORMADOR 3D</c:v>
                </c:pt>
                <c:pt idx="2">
                  <c:v>BARRA</c:v>
                </c:pt>
                <c:pt idx="3">
                  <c:v>CELDA</c:v>
                </c:pt>
              </c:strCache>
            </c:strRef>
          </c:cat>
          <c:val>
            <c:numRef>
              <c:f>'17. Eventos'!$G$7:$G$10</c:f>
              <c:numCache>
                <c:formatCode>General</c:formatCode>
                <c:ptCount val="4"/>
                <c:pt idx="0">
                  <c:v>1</c:v>
                </c:pt>
                <c:pt idx="1">
                  <c:v>2</c:v>
                </c:pt>
                <c:pt idx="3">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TRANSFORMADOR 3D</c:v>
                </c:pt>
                <c:pt idx="2">
                  <c:v>BARRA</c:v>
                </c:pt>
                <c:pt idx="3">
                  <c:v>CELDA</c:v>
                </c:pt>
              </c:strCache>
            </c:strRef>
          </c:cat>
          <c:val>
            <c:numRef>
              <c:f>'17. Eventos'!$H$7:$H$10</c:f>
              <c:numCache>
                <c:formatCode>General</c:formatCode>
                <c:ptCount val="4"/>
                <c:pt idx="1">
                  <c:v>1</c:v>
                </c:pt>
                <c:pt idx="2">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generación'!$L$9:$L$13</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generación'!$L$9:$L$13</c:f>
              <c:strCache>
                <c:ptCount val="5"/>
                <c:pt idx="0">
                  <c:v>Central Solar</c:v>
                </c:pt>
                <c:pt idx="1">
                  <c:v>Central Hidroeléctrica</c:v>
                </c:pt>
                <c:pt idx="2">
                  <c:v>Turbina de Vapor</c:v>
                </c:pt>
                <c:pt idx="3">
                  <c:v>Central Eólica</c:v>
                </c:pt>
                <c:pt idx="4">
                  <c:v>Central a Biogás</c:v>
                </c:pt>
              </c:strCache>
            </c:strRef>
          </c:cat>
          <c:val>
            <c:numRef>
              <c:f>'2. Oferta de generación'!$M$9:$M$13</c:f>
              <c:numCache>
                <c:formatCode>General</c:formatCode>
                <c:ptCount val="5"/>
                <c:pt idx="1">
                  <c:v>20</c:v>
                </c:pt>
                <c:pt idx="2">
                  <c:v>0</c:v>
                </c:pt>
                <c:pt idx="3">
                  <c:v>0</c:v>
                </c:pt>
                <c:pt idx="4">
                  <c:v>2.4</c:v>
                </c:pt>
              </c:numCache>
            </c:numRef>
          </c:val>
          <c:extLst>
            <c:ext xmlns:c16="http://schemas.microsoft.com/office/drawing/2014/chart" uri="{C3380CC4-5D6E-409C-BE32-E72D297353CC}">
              <c16:uniqueId val="{00000000-0EAF-4A51-B4A1-B2457F36CE6D}"/>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26921.703891377503</c:v>
                </c:pt>
                <c:pt idx="1">
                  <c:v>17376.667773597495</c:v>
                </c:pt>
                <c:pt idx="2">
                  <c:v>1353.7738505875</c:v>
                </c:pt>
                <c:pt idx="3">
                  <c:v>668.55536168499998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27019.037981810008</c:v>
                </c:pt>
                <c:pt idx="1">
                  <c:v>19079.572094312498</c:v>
                </c:pt>
                <c:pt idx="2">
                  <c:v>1515.0845001474997</c:v>
                </c:pt>
                <c:pt idx="3">
                  <c:v>684.22581149499979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26569.690650339995</c:v>
                </c:pt>
                <c:pt idx="1">
                  <c:v>15673.5124584475</c:v>
                </c:pt>
                <c:pt idx="2">
                  <c:v>1655.9700048724999</c:v>
                </c:pt>
                <c:pt idx="3">
                  <c:v>704.21008915749997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26569.690650339995</c:v>
                </c:pt>
                <c:pt idx="1">
                  <c:v>14709.255205424999</c:v>
                </c:pt>
                <c:pt idx="2">
                  <c:v>558.49028785249993</c:v>
                </c:pt>
                <c:pt idx="3">
                  <c:v>71.959946437500008</c:v>
                </c:pt>
                <c:pt idx="4">
                  <c:v>0</c:v>
                </c:pt>
                <c:pt idx="5">
                  <c:v>13.023314237500001</c:v>
                </c:pt>
                <c:pt idx="6">
                  <c:v>7.357447950000001</c:v>
                </c:pt>
                <c:pt idx="7">
                  <c:v>0</c:v>
                </c:pt>
                <c:pt idx="8">
                  <c:v>41.989352365000002</c:v>
                </c:pt>
                <c:pt idx="9">
                  <c:v>219.09993689999999</c:v>
                </c:pt>
                <c:pt idx="10">
                  <c:v>52.336967279999996</c:v>
                </c:pt>
                <c:pt idx="11">
                  <c:v>704.21008915749997</c:v>
                </c:pt>
                <c:pt idx="12">
                  <c:v>1655.9700048724999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27019.037981810008</c:v>
                </c:pt>
                <c:pt idx="1">
                  <c:v>17773.669020042031</c:v>
                </c:pt>
                <c:pt idx="2">
                  <c:v>565.86203602749993</c:v>
                </c:pt>
                <c:pt idx="3">
                  <c:v>322.03854341500005</c:v>
                </c:pt>
                <c:pt idx="4">
                  <c:v>0</c:v>
                </c:pt>
                <c:pt idx="5">
                  <c:v>36.149195487499995</c:v>
                </c:pt>
                <c:pt idx="6">
                  <c:v>45.301100559999995</c:v>
                </c:pt>
                <c:pt idx="7">
                  <c:v>0.282469725</c:v>
                </c:pt>
                <c:pt idx="8">
                  <c:v>108.85206748046878</c:v>
                </c:pt>
                <c:pt idx="9">
                  <c:v>166.44856336250001</c:v>
                </c:pt>
                <c:pt idx="10">
                  <c:v>60.9690982125</c:v>
                </c:pt>
                <c:pt idx="11">
                  <c:v>684.22581149499979</c:v>
                </c:pt>
                <c:pt idx="12">
                  <c:v>1515.0845001474997</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26921.703891377503</c:v>
                </c:pt>
                <c:pt idx="1">
                  <c:v>16192.648391297498</c:v>
                </c:pt>
                <c:pt idx="2">
                  <c:v>543.83640492749998</c:v>
                </c:pt>
                <c:pt idx="3">
                  <c:v>348.28843219749996</c:v>
                </c:pt>
                <c:pt idx="4">
                  <c:v>0</c:v>
                </c:pt>
                <c:pt idx="5">
                  <c:v>43.120710160000002</c:v>
                </c:pt>
                <c:pt idx="6">
                  <c:v>11.322517775</c:v>
                </c:pt>
                <c:pt idx="7">
                  <c:v>2.6571829249999994</c:v>
                </c:pt>
                <c:pt idx="8">
                  <c:v>106.994350135</c:v>
                </c:pt>
                <c:pt idx="9">
                  <c:v>82.917381684999995</c:v>
                </c:pt>
                <c:pt idx="10">
                  <c:v>44.882402494999994</c:v>
                </c:pt>
                <c:pt idx="11">
                  <c:v>668.55536168499998</c:v>
                </c:pt>
                <c:pt idx="12">
                  <c:v>1353.7738505875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1152.4751999150001</c:v>
                </c:pt>
                <c:pt idx="1">
                  <c:v>1353.7738505875</c:v>
                </c:pt>
                <c:pt idx="2">
                  <c:v>668.55536168499998</c:v>
                </c:pt>
                <c:pt idx="3">
                  <c:v>82.917381684999995</c:v>
                </c:pt>
                <c:pt idx="4">
                  <c:v>44.882402494999994</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1610.3864647425003</c:v>
                </c:pt>
                <c:pt idx="1">
                  <c:v>1515.0845001474997</c:v>
                </c:pt>
                <c:pt idx="2">
                  <c:v>684.22581149499979</c:v>
                </c:pt>
                <c:pt idx="3">
                  <c:v>166.44856336250001</c:v>
                </c:pt>
                <c:pt idx="4">
                  <c:v>60.9690982125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1853.6392323774999</c:v>
                </c:pt>
                <c:pt idx="1">
                  <c:v>1655.9700048724999</c:v>
                </c:pt>
                <c:pt idx="2">
                  <c:v>704.21008915749997</c:v>
                </c:pt>
                <c:pt idx="3">
                  <c:v>219.09993689999999</c:v>
                </c:pt>
                <c:pt idx="4">
                  <c:v>52.336967279999996</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7916562201958622E-2"/>
                  <c:y val="6.609824574505136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8,911%</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3994.5978599024997</c:v>
                </c:pt>
                <c:pt idx="1">
                  <c:v>114.60069452250002</c:v>
                </c:pt>
                <c:pt idx="2">
                  <c:v>156.66788605249999</c:v>
                </c:pt>
                <c:pt idx="3">
                  <c:v>81.511218932499986</c:v>
                </c:pt>
                <c:pt idx="4">
                  <c:v>31.081331372499999</c:v>
                </c:pt>
                <c:pt idx="5">
                  <c:v>6.9042920875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RENOVANDES H1</c:v>
                </c:pt>
                <c:pt idx="1">
                  <c:v>C.H. CARHUAC</c:v>
                </c:pt>
                <c:pt idx="2">
                  <c:v>C.H. YARUCAYA</c:v>
                </c:pt>
                <c:pt idx="3">
                  <c:v>C.H. CHANCAY</c:v>
                </c:pt>
                <c:pt idx="4">
                  <c:v>C.H. RUCUY</c:v>
                </c:pt>
                <c:pt idx="5">
                  <c:v>C.H. 8 DE AGOSTO</c:v>
                </c:pt>
                <c:pt idx="6">
                  <c:v>C.H. CARHUAQUERO IV</c:v>
                </c:pt>
                <c:pt idx="7">
                  <c:v>C.H. POTRERO</c:v>
                </c:pt>
                <c:pt idx="8">
                  <c:v>C.H. MANTA I</c:v>
                </c:pt>
                <c:pt idx="9">
                  <c:v>C.H. ÁNGEL III</c:v>
                </c:pt>
                <c:pt idx="10">
                  <c:v>C.H. ÁNGEL II</c:v>
                </c:pt>
                <c:pt idx="11">
                  <c:v>C.H. LA JOYA</c:v>
                </c:pt>
                <c:pt idx="12">
                  <c:v>C.H. RUNATULLO III</c:v>
                </c:pt>
                <c:pt idx="13">
                  <c:v>C.H. ÁNGEL I</c:v>
                </c:pt>
                <c:pt idx="14">
                  <c:v>C.H. EL CARMEN</c:v>
                </c:pt>
                <c:pt idx="15">
                  <c:v>C.H. ZAÑA</c:v>
                </c:pt>
                <c:pt idx="16">
                  <c:v>C.H. RUNATULLO II</c:v>
                </c:pt>
                <c:pt idx="17">
                  <c:v>C.H. CANCHAYLLO</c:v>
                </c:pt>
                <c:pt idx="18">
                  <c:v>C.H. POECHOS II</c:v>
                </c:pt>
                <c:pt idx="19">
                  <c:v>C.H. SANTA CRUZ II</c:v>
                </c:pt>
                <c:pt idx="20">
                  <c:v>C.H. IMPERIAL</c:v>
                </c:pt>
                <c:pt idx="21">
                  <c:v>C.H. YANAPAMPA</c:v>
                </c:pt>
                <c:pt idx="22">
                  <c:v>C.H. LAS PIZARRAS</c:v>
                </c:pt>
                <c:pt idx="23">
                  <c:v>C.H. SANTA CRUZ I</c:v>
                </c:pt>
                <c:pt idx="24">
                  <c:v>C.H. HUASAHUASI II</c:v>
                </c:pt>
                <c:pt idx="25">
                  <c:v>C.H. CAÑA BRAVA</c:v>
                </c:pt>
                <c:pt idx="26">
                  <c:v>C.H. HUASAHUASI I</c:v>
                </c:pt>
                <c:pt idx="27">
                  <c:v>C.H. RONCADOR</c:v>
                </c:pt>
                <c:pt idx="28">
                  <c:v>C.H. HER 1</c:v>
                </c:pt>
                <c:pt idx="29">
                  <c:v>C.H. PURMACANA</c:v>
                </c:pt>
              </c:strCache>
            </c:strRef>
          </c:cat>
          <c:val>
            <c:numRef>
              <c:f>'6. FP RER'!$O$6:$O$35</c:f>
              <c:numCache>
                <c:formatCode>0.00</c:formatCode>
                <c:ptCount val="30"/>
                <c:pt idx="0">
                  <c:v>12.1902930775</c:v>
                </c:pt>
                <c:pt idx="1">
                  <c:v>11.46072899</c:v>
                </c:pt>
                <c:pt idx="2">
                  <c:v>11.098966087499999</c:v>
                </c:pt>
                <c:pt idx="3">
                  <c:v>10.366761287500001</c:v>
                </c:pt>
                <c:pt idx="4">
                  <c:v>7.3958688199999996</c:v>
                </c:pt>
                <c:pt idx="5">
                  <c:v>5.9519829350000002</c:v>
                </c:pt>
                <c:pt idx="6">
                  <c:v>5.0867412500000002</c:v>
                </c:pt>
                <c:pt idx="7">
                  <c:v>4.5175307350000002</c:v>
                </c:pt>
                <c:pt idx="8">
                  <c:v>4.1305157025000003</c:v>
                </c:pt>
                <c:pt idx="9">
                  <c:v>3.9675468624999999</c:v>
                </c:pt>
                <c:pt idx="10">
                  <c:v>3.8795359575000004</c:v>
                </c:pt>
                <c:pt idx="11">
                  <c:v>3.4591920699999998</c:v>
                </c:pt>
                <c:pt idx="12">
                  <c:v>3.3511670174999999</c:v>
                </c:pt>
                <c:pt idx="13">
                  <c:v>3.0001448125000003</c:v>
                </c:pt>
                <c:pt idx="14">
                  <c:v>2.7181955375000002</c:v>
                </c:pt>
                <c:pt idx="15">
                  <c:v>2.345134195</c:v>
                </c:pt>
                <c:pt idx="16">
                  <c:v>2.2691413100000002</c:v>
                </c:pt>
                <c:pt idx="17">
                  <c:v>2.2056392874999999</c:v>
                </c:pt>
                <c:pt idx="18">
                  <c:v>2.0425044925</c:v>
                </c:pt>
                <c:pt idx="19">
                  <c:v>1.9336297199999999</c:v>
                </c:pt>
                <c:pt idx="20">
                  <c:v>1.778</c:v>
                </c:pt>
                <c:pt idx="21">
                  <c:v>1.752275695</c:v>
                </c:pt>
                <c:pt idx="22">
                  <c:v>1.6509693974999999</c:v>
                </c:pt>
                <c:pt idx="23">
                  <c:v>1.6165722924999999</c:v>
                </c:pt>
                <c:pt idx="24">
                  <c:v>1.1925310174999999</c:v>
                </c:pt>
                <c:pt idx="25">
                  <c:v>0.87772499999999998</c:v>
                </c:pt>
                <c:pt idx="26">
                  <c:v>0.85005789749999994</c:v>
                </c:pt>
                <c:pt idx="27">
                  <c:v>0.78010133500000001</c:v>
                </c:pt>
                <c:pt idx="28">
                  <c:v>0.41760679499999998</c:v>
                </c:pt>
                <c:pt idx="29">
                  <c:v>0.313634945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RENOVANDES H1</c:v>
                </c:pt>
                <c:pt idx="1">
                  <c:v>C.H. CARHUAC</c:v>
                </c:pt>
                <c:pt idx="2">
                  <c:v>C.H. YARUCAYA</c:v>
                </c:pt>
                <c:pt idx="3">
                  <c:v>C.H. CHANCAY</c:v>
                </c:pt>
                <c:pt idx="4">
                  <c:v>C.H. RUCUY</c:v>
                </c:pt>
                <c:pt idx="5">
                  <c:v>C.H. 8 DE AGOSTO</c:v>
                </c:pt>
                <c:pt idx="6">
                  <c:v>C.H. CARHUAQUERO IV</c:v>
                </c:pt>
                <c:pt idx="7">
                  <c:v>C.H. POTRERO</c:v>
                </c:pt>
                <c:pt idx="8">
                  <c:v>C.H. MANTA I</c:v>
                </c:pt>
                <c:pt idx="9">
                  <c:v>C.H. ÁNGEL III</c:v>
                </c:pt>
                <c:pt idx="10">
                  <c:v>C.H. ÁNGEL II</c:v>
                </c:pt>
                <c:pt idx="11">
                  <c:v>C.H. LA JOYA</c:v>
                </c:pt>
                <c:pt idx="12">
                  <c:v>C.H. RUNATULLO III</c:v>
                </c:pt>
                <c:pt idx="13">
                  <c:v>C.H. ÁNGEL I</c:v>
                </c:pt>
                <c:pt idx="14">
                  <c:v>C.H. EL CARMEN</c:v>
                </c:pt>
                <c:pt idx="15">
                  <c:v>C.H. ZAÑA</c:v>
                </c:pt>
                <c:pt idx="16">
                  <c:v>C.H. RUNATULLO II</c:v>
                </c:pt>
                <c:pt idx="17">
                  <c:v>C.H. CANCHAYLLO</c:v>
                </c:pt>
                <c:pt idx="18">
                  <c:v>C.H. POECHOS II</c:v>
                </c:pt>
                <c:pt idx="19">
                  <c:v>C.H. SANTA CRUZ II</c:v>
                </c:pt>
                <c:pt idx="20">
                  <c:v>C.H. IMPERIAL</c:v>
                </c:pt>
                <c:pt idx="21">
                  <c:v>C.H. YANAPAMPA</c:v>
                </c:pt>
                <c:pt idx="22">
                  <c:v>C.H. LAS PIZARRAS</c:v>
                </c:pt>
                <c:pt idx="23">
                  <c:v>C.H. SANTA CRUZ I</c:v>
                </c:pt>
                <c:pt idx="24">
                  <c:v>C.H. HUASAHUASI II</c:v>
                </c:pt>
                <c:pt idx="25">
                  <c:v>C.H. CAÑA BRAVA</c:v>
                </c:pt>
                <c:pt idx="26">
                  <c:v>C.H. HUASAHUASI I</c:v>
                </c:pt>
                <c:pt idx="27">
                  <c:v>C.H. RONCADOR</c:v>
                </c:pt>
                <c:pt idx="28">
                  <c:v>C.H. HER 1</c:v>
                </c:pt>
                <c:pt idx="29">
                  <c:v>C.H. PURMACANA</c:v>
                </c:pt>
              </c:strCache>
            </c:strRef>
          </c:cat>
          <c:val>
            <c:numRef>
              <c:f>'6. FP RER'!$P$6:$P$35</c:f>
              <c:numCache>
                <c:formatCode>0.00</c:formatCode>
                <c:ptCount val="30"/>
                <c:pt idx="0">
                  <c:v>0.83574611188582026</c:v>
                </c:pt>
                <c:pt idx="1">
                  <c:v>0.77021028158602145</c:v>
                </c:pt>
                <c:pt idx="2">
                  <c:v>0.9945310114247311</c:v>
                </c:pt>
                <c:pt idx="3">
                  <c:v>0.69669094674059151</c:v>
                </c:pt>
                <c:pt idx="4">
                  <c:v>0.49703419489247308</c:v>
                </c:pt>
                <c:pt idx="5">
                  <c:v>0.42105142437747595</c:v>
                </c:pt>
                <c:pt idx="6">
                  <c:v>0.68486605320442595</c:v>
                </c:pt>
                <c:pt idx="7">
                  <c:v>0.30512311118765878</c:v>
                </c:pt>
                <c:pt idx="8">
                  <c:v>0.27758842086693553</c:v>
                </c:pt>
                <c:pt idx="9">
                  <c:v>0.26452005345008744</c:v>
                </c:pt>
                <c:pt idx="10">
                  <c:v>0.25865228424619174</c:v>
                </c:pt>
                <c:pt idx="11">
                  <c:v>0.60031655351701063</c:v>
                </c:pt>
                <c:pt idx="12">
                  <c:v>0.22559635099427089</c:v>
                </c:pt>
                <c:pt idx="13">
                  <c:v>0.20002245560382531</c:v>
                </c:pt>
                <c:pt idx="14">
                  <c:v>0.43493912210381463</c:v>
                </c:pt>
                <c:pt idx="15">
                  <c:v>0.2387925825798306</c:v>
                </c:pt>
                <c:pt idx="16">
                  <c:v>0.15274809012828158</c:v>
                </c:pt>
                <c:pt idx="17">
                  <c:v>0.57131796778027133</c:v>
                </c:pt>
                <c:pt idx="18">
                  <c:v>0.28698533736474835</c:v>
                </c:pt>
                <c:pt idx="19">
                  <c:v>0.35007606107480532</c:v>
                </c:pt>
                <c:pt idx="20">
                  <c:v>0.60287208532708358</c:v>
                </c:pt>
                <c:pt idx="21">
                  <c:v>0.60140014643574224</c:v>
                </c:pt>
                <c:pt idx="22">
                  <c:v>0.11557826449193485</c:v>
                </c:pt>
                <c:pt idx="23">
                  <c:v>0.31227539826130357</c:v>
                </c:pt>
                <c:pt idx="24">
                  <c:v>0.15680534834996412</c:v>
                </c:pt>
                <c:pt idx="25">
                  <c:v>0.20806664959890769</c:v>
                </c:pt>
                <c:pt idx="26">
                  <c:v>0.115995019035533</c:v>
                </c:pt>
                <c:pt idx="27">
                  <c:v>0.30129979877332841</c:v>
                </c:pt>
                <c:pt idx="28">
                  <c:v>0.80185636520737325</c:v>
                </c:pt>
                <c:pt idx="29">
                  <c:v>0.24594652592188307</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14 de diciembre</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Noviembre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INFSGI-MES-11-2020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(17,99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(18,23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(17,65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(18,41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(17,51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(17,72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(17,81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(18,36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(16,93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(18,15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(17,56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(17,19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(16,85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(18,84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(16,86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(16,76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(16,85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(18,1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157108</xdr:colOff>
      <xdr:row>24</xdr:row>
      <xdr:rowOff>68580</xdr:rowOff>
    </xdr:from>
    <xdr:to>
      <xdr:col>7</xdr:col>
      <xdr:colOff>461176</xdr:colOff>
      <xdr:row>53</xdr:row>
      <xdr:rowOff>91440</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41932</xdr:colOff>
      <xdr:row>16</xdr:row>
      <xdr:rowOff>62670</xdr:rowOff>
    </xdr:from>
    <xdr:to>
      <xdr:col>3</xdr:col>
      <xdr:colOff>153604</xdr:colOff>
      <xdr:row>31</xdr:row>
      <xdr:rowOff>79093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36</xdr:row>
      <xdr:rowOff>5953</xdr:rowOff>
    </xdr:from>
    <xdr:to>
      <xdr:col>8</xdr:col>
      <xdr:colOff>71437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15</xdr:row>
      <xdr:rowOff>54428</xdr:rowOff>
    </xdr:from>
    <xdr:to>
      <xdr:col>9</xdr:col>
      <xdr:colOff>571499</xdr:colOff>
      <xdr:row>32</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43543</xdr:rowOff>
    </xdr:from>
    <xdr:to>
      <xdr:col>9</xdr:col>
      <xdr:colOff>581525</xdr:colOff>
      <xdr:row>45</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597776</xdr:colOff>
      <xdr:row>11</xdr:row>
      <xdr:rowOff>229913</xdr:rowOff>
    </xdr:from>
    <xdr:to>
      <xdr:col>8</xdr:col>
      <xdr:colOff>315294</xdr:colOff>
      <xdr:row>22</xdr:row>
      <xdr:rowOff>78827</xdr:rowOff>
    </xdr:to>
    <xdr:graphicFrame macro="">
      <xdr:nvGraphicFramePr>
        <xdr:cNvPr id="3" name="Chart 2">
          <a:extLst>
            <a:ext uri="{FF2B5EF4-FFF2-40B4-BE49-F238E27FC236}">
              <a16:creationId xmlns:a16="http://schemas.microsoft.com/office/drawing/2014/main" id="{66D0FF3D-0083-4A48-800E-90332BB6F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170793</xdr:colOff>
      <xdr:row>11</xdr:row>
      <xdr:rowOff>190500</xdr:rowOff>
    </xdr:from>
    <xdr:to>
      <xdr:col>1</xdr:col>
      <xdr:colOff>522484</xdr:colOff>
      <xdr:row>11</xdr:row>
      <xdr:rowOff>363385</xdr:rowOff>
    </xdr:to>
    <xdr:sp macro="" textlink="">
      <xdr:nvSpPr>
        <xdr:cNvPr id="4" name="Rectangle 3">
          <a:extLst>
            <a:ext uri="{FF2B5EF4-FFF2-40B4-BE49-F238E27FC236}">
              <a16:creationId xmlns:a16="http://schemas.microsoft.com/office/drawing/2014/main" id="{5CAF75DB-0808-4ED5-8221-746950134588}"/>
            </a:ext>
          </a:extLst>
        </xdr:cNvPr>
        <xdr:cNvSpPr/>
      </xdr:nvSpPr>
      <xdr:spPr>
        <a:xfrm>
          <a:off x="853965" y="3139966"/>
          <a:ext cx="351691" cy="172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64</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view="pageBreakPreview" zoomScale="70" zoomScaleNormal="70" zoomScaleSheetLayoutView="70" zoomScalePageLayoutView="115" workbookViewId="0">
      <selection activeCell="T44" sqref="T44"/>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463"/>
    </row>
    <row r="12" spans="9:9" ht="15.6">
      <c r="I12" s="463"/>
    </row>
    <row r="13" spans="9:9" ht="15.6">
      <c r="I13" s="463"/>
    </row>
    <row r="14" spans="9:9" ht="15.6">
      <c r="I14" s="463"/>
    </row>
    <row r="15" spans="9:9" ht="15.6">
      <c r="I15" s="463"/>
    </row>
  </sheetData>
  <pageMargins left="0.59055118110236227" right="0.39370078740157483" top="0.5500000000000000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T44" sqref="T44"/>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937" t="s">
        <v>246</v>
      </c>
      <c r="B2" s="937"/>
      <c r="C2" s="937"/>
      <c r="D2" s="937"/>
      <c r="E2" s="937"/>
      <c r="F2" s="937"/>
      <c r="G2" s="937"/>
      <c r="H2" s="937"/>
      <c r="I2" s="937"/>
      <c r="J2" s="937"/>
      <c r="K2" s="937"/>
    </row>
    <row r="3" spans="1:12" ht="11.25" customHeight="1">
      <c r="A3" s="17"/>
      <c r="B3" s="17"/>
      <c r="C3" s="17"/>
      <c r="D3" s="17"/>
      <c r="E3" s="17"/>
      <c r="F3" s="17"/>
      <c r="G3" s="17"/>
      <c r="H3" s="17"/>
      <c r="I3" s="17"/>
      <c r="J3" s="17"/>
      <c r="K3" s="17"/>
      <c r="L3" s="36"/>
    </row>
    <row r="4" spans="1:12" ht="11.25" customHeight="1">
      <c r="A4" s="938" t="s">
        <v>383</v>
      </c>
      <c r="B4" s="938"/>
      <c r="C4" s="938"/>
      <c r="D4" s="938"/>
      <c r="E4" s="938"/>
      <c r="F4" s="938"/>
      <c r="G4" s="938"/>
      <c r="H4" s="938"/>
      <c r="I4" s="938"/>
      <c r="J4" s="938"/>
      <c r="K4" s="938"/>
      <c r="L4" s="36"/>
    </row>
    <row r="5" spans="1:12" ht="11.25" customHeight="1">
      <c r="A5" s="17"/>
      <c r="B5" s="67"/>
      <c r="C5" s="68"/>
      <c r="D5" s="69"/>
      <c r="E5" s="69"/>
      <c r="F5" s="69"/>
      <c r="G5" s="69"/>
      <c r="H5" s="70"/>
      <c r="I5" s="66"/>
      <c r="J5" s="66"/>
      <c r="K5" s="71"/>
      <c r="L5" s="8"/>
    </row>
    <row r="6" spans="1:12" ht="12.75" customHeight="1">
      <c r="A6" s="944" t="s">
        <v>214</v>
      </c>
      <c r="B6" s="939" t="s">
        <v>249</v>
      </c>
      <c r="C6" s="940"/>
      <c r="D6" s="940"/>
      <c r="E6" s="940" t="s">
        <v>34</v>
      </c>
      <c r="F6" s="940"/>
      <c r="G6" s="941" t="s">
        <v>248</v>
      </c>
      <c r="H6" s="941"/>
      <c r="I6" s="941"/>
      <c r="J6" s="941"/>
      <c r="K6" s="941"/>
      <c r="L6" s="15"/>
    </row>
    <row r="7" spans="1:12" ht="12.75" customHeight="1">
      <c r="A7" s="944"/>
      <c r="B7" s="566">
        <v>44098.802083333336</v>
      </c>
      <c r="C7" s="566">
        <v>44127.78125</v>
      </c>
      <c r="D7" s="566">
        <v>44163.854166666664</v>
      </c>
      <c r="E7" s="566">
        <v>43790.833333333336</v>
      </c>
      <c r="F7" s="942" t="s">
        <v>122</v>
      </c>
      <c r="G7" s="821">
        <v>2020</v>
      </c>
      <c r="H7" s="821">
        <v>2019</v>
      </c>
      <c r="I7" s="942" t="s">
        <v>476</v>
      </c>
      <c r="J7" s="821">
        <v>2018</v>
      </c>
      <c r="K7" s="942" t="s">
        <v>423</v>
      </c>
      <c r="L7" s="13"/>
    </row>
    <row r="8" spans="1:12" ht="12.75" customHeight="1">
      <c r="A8" s="944"/>
      <c r="B8" s="567">
        <v>44098.802083333336</v>
      </c>
      <c r="C8" s="567">
        <v>44127.78125</v>
      </c>
      <c r="D8" s="567">
        <v>44163.854166666664</v>
      </c>
      <c r="E8" s="567">
        <v>43790.833333333336</v>
      </c>
      <c r="F8" s="943"/>
      <c r="G8" s="568">
        <v>43886.8125</v>
      </c>
      <c r="H8" s="568">
        <v>43549.791666666664</v>
      </c>
      <c r="I8" s="943"/>
      <c r="J8" s="568">
        <v>43214.78125</v>
      </c>
      <c r="K8" s="943"/>
      <c r="L8" s="14"/>
    </row>
    <row r="9" spans="1:12" ht="12.75" customHeight="1">
      <c r="A9" s="944"/>
      <c r="B9" s="569">
        <v>44098.802083333336</v>
      </c>
      <c r="C9" s="569">
        <v>44127.78125</v>
      </c>
      <c r="D9" s="569">
        <v>44163.854166666664</v>
      </c>
      <c r="E9" s="569">
        <v>43790.833333333336</v>
      </c>
      <c r="F9" s="943"/>
      <c r="G9" s="570">
        <v>43886.8125</v>
      </c>
      <c r="H9" s="570">
        <v>43549.791666666664</v>
      </c>
      <c r="I9" s="943"/>
      <c r="J9" s="570">
        <v>43214.78125</v>
      </c>
      <c r="K9" s="943"/>
      <c r="L9" s="14"/>
    </row>
    <row r="10" spans="1:12" ht="12.75" customHeight="1">
      <c r="A10" s="571" t="s">
        <v>36</v>
      </c>
      <c r="B10" s="572">
        <v>3199.9412500000012</v>
      </c>
      <c r="C10" s="573">
        <v>3489.791639999999</v>
      </c>
      <c r="D10" s="574">
        <v>2832.9457099999981</v>
      </c>
      <c r="E10" s="572">
        <v>4046.8120399999989</v>
      </c>
      <c r="F10" s="575">
        <f>+IF(E10=0,"",D10/E10-1)</f>
        <v>-0.29995619218331704</v>
      </c>
      <c r="G10" s="572">
        <v>4604.1638600000006</v>
      </c>
      <c r="H10" s="573">
        <v>4580.6239199999991</v>
      </c>
      <c r="I10" s="575">
        <f>+IF(H10=0,"",G10/H10-1)</f>
        <v>5.1390248165148478E-3</v>
      </c>
      <c r="J10" s="572">
        <v>4457.8647499999988</v>
      </c>
      <c r="K10" s="575">
        <f t="shared" ref="K10:K18" si="0">+IF(J10=0,"",H10/J10-1)</f>
        <v>2.7537661388224111E-2</v>
      </c>
      <c r="L10" s="14"/>
    </row>
    <row r="11" spans="1:12" ht="12.75" customHeight="1">
      <c r="A11" s="576" t="s">
        <v>37</v>
      </c>
      <c r="B11" s="577">
        <v>3106.0741000000003</v>
      </c>
      <c r="C11" s="578">
        <v>3022.2060699999993</v>
      </c>
      <c r="D11" s="579">
        <v>3762.088909999999</v>
      </c>
      <c r="E11" s="577">
        <v>2749.9438599999999</v>
      </c>
      <c r="F11" s="580">
        <f>+IF(E11=0,"",D11/E11-1)</f>
        <v>0.36806025923743735</v>
      </c>
      <c r="G11" s="577">
        <v>2265.9101700000001</v>
      </c>
      <c r="H11" s="578">
        <v>2106.5043700000006</v>
      </c>
      <c r="I11" s="580">
        <f>+IF(H11=0,"",G11/H11-1)</f>
        <v>7.567313995175784E-2</v>
      </c>
      <c r="J11" s="577">
        <v>1943.7948299999998</v>
      </c>
      <c r="K11" s="580">
        <f>+IF(J11=0,"",H11/J11-1)</f>
        <v>8.3707157509005592E-2</v>
      </c>
      <c r="L11" s="14"/>
    </row>
    <row r="12" spans="1:12" ht="12.75" customHeight="1">
      <c r="A12" s="581" t="s">
        <v>38</v>
      </c>
      <c r="B12" s="582">
        <v>301.51338999999996</v>
      </c>
      <c r="C12" s="583">
        <v>323.64121</v>
      </c>
      <c r="D12" s="584">
        <v>241.56771000000001</v>
      </c>
      <c r="E12" s="582">
        <v>90.811839999999989</v>
      </c>
      <c r="F12" s="585">
        <f>+IF(E12=0,"",D12/E12-1)</f>
        <v>1.6600904683794542</v>
      </c>
      <c r="G12" s="582">
        <v>255.22534999999999</v>
      </c>
      <c r="H12" s="583">
        <v>303.54068999999998</v>
      </c>
      <c r="I12" s="585">
        <f>+IF(H12=0,"",G12/H12-1)</f>
        <v>-0.15917253136638776</v>
      </c>
      <c r="J12" s="582">
        <v>309.01528000000002</v>
      </c>
      <c r="K12" s="585">
        <f>+IF(J12=0,"",H12/J12-1)</f>
        <v>-1.7716243675717336E-2</v>
      </c>
      <c r="L12" s="13"/>
    </row>
    <row r="13" spans="1:12" ht="12.75" customHeight="1">
      <c r="A13" s="586" t="s">
        <v>30</v>
      </c>
      <c r="B13" s="587">
        <v>0</v>
      </c>
      <c r="C13" s="588">
        <v>0</v>
      </c>
      <c r="D13" s="589">
        <v>0</v>
      </c>
      <c r="E13" s="587">
        <v>0</v>
      </c>
      <c r="F13" s="590" t="str">
        <f>+IF(E13=0,"",D13/E13-1)</f>
        <v/>
      </c>
      <c r="G13" s="587">
        <v>0</v>
      </c>
      <c r="H13" s="588">
        <v>0</v>
      </c>
      <c r="I13" s="590" t="str">
        <f>+IF(H13=0,"",G13/H13-1)</f>
        <v/>
      </c>
      <c r="J13" s="587">
        <v>0</v>
      </c>
      <c r="K13" s="590" t="str">
        <f t="shared" si="0"/>
        <v/>
      </c>
      <c r="L13" s="14"/>
    </row>
    <row r="14" spans="1:12" ht="12.75" customHeight="1">
      <c r="A14" s="591" t="s">
        <v>42</v>
      </c>
      <c r="B14" s="562">
        <f>+SUM(B10:B13)</f>
        <v>6607.5287400000016</v>
      </c>
      <c r="C14" s="563">
        <f t="shared" ref="C14:J14" si="1">+SUM(C10:C13)</f>
        <v>6835.6389199999976</v>
      </c>
      <c r="D14" s="564">
        <f t="shared" si="1"/>
        <v>6836.602329999997</v>
      </c>
      <c r="E14" s="562">
        <f t="shared" si="1"/>
        <v>6887.5677399999986</v>
      </c>
      <c r="F14" s="620">
        <f>+IF(E14=0,"",D14/E14-1)</f>
        <v>-7.3996237748801263E-3</v>
      </c>
      <c r="G14" s="617">
        <f t="shared" si="1"/>
        <v>7125.2993800000004</v>
      </c>
      <c r="H14" s="563">
        <f t="shared" si="1"/>
        <v>6990.6689799999995</v>
      </c>
      <c r="I14" s="620">
        <f>+IF(H14=0,"",G14/H14-1)</f>
        <v>1.9258586035924896E-2</v>
      </c>
      <c r="J14" s="562">
        <f t="shared" si="1"/>
        <v>6710.6748599999983</v>
      </c>
      <c r="K14" s="620">
        <f>+IF(J14=0,"",H14/J14-1)</f>
        <v>4.1723690365174537E-2</v>
      </c>
      <c r="L14" s="14"/>
    </row>
    <row r="15" spans="1:12" ht="6.75" customHeight="1">
      <c r="A15" s="592"/>
      <c r="B15" s="592"/>
      <c r="C15" s="592"/>
      <c r="D15" s="592"/>
      <c r="E15" s="592"/>
      <c r="F15" s="593"/>
      <c r="G15" s="592"/>
      <c r="H15" s="592"/>
      <c r="I15" s="593"/>
      <c r="J15" s="592"/>
      <c r="K15" s="593"/>
      <c r="L15" s="14"/>
    </row>
    <row r="16" spans="1:12" ht="12.75" customHeight="1">
      <c r="A16" s="594" t="s">
        <v>39</v>
      </c>
      <c r="B16" s="595">
        <v>0</v>
      </c>
      <c r="C16" s="596">
        <v>0</v>
      </c>
      <c r="D16" s="597">
        <v>0</v>
      </c>
      <c r="E16" s="595">
        <v>40.659999999999997</v>
      </c>
      <c r="F16" s="597">
        <v>0</v>
      </c>
      <c r="G16" s="595">
        <v>0</v>
      </c>
      <c r="H16" s="596">
        <v>0</v>
      </c>
      <c r="I16" s="597">
        <v>0</v>
      </c>
      <c r="J16" s="595">
        <v>0</v>
      </c>
      <c r="K16" s="598" t="str">
        <f t="shared" si="0"/>
        <v/>
      </c>
      <c r="L16" s="15"/>
    </row>
    <row r="17" spans="1:12" ht="12.75" customHeight="1">
      <c r="A17" s="599" t="s">
        <v>40</v>
      </c>
      <c r="B17" s="600">
        <v>0</v>
      </c>
      <c r="C17" s="601">
        <v>0</v>
      </c>
      <c r="D17" s="602">
        <v>0</v>
      </c>
      <c r="E17" s="600">
        <v>0</v>
      </c>
      <c r="F17" s="602">
        <v>0</v>
      </c>
      <c r="G17" s="600">
        <v>0</v>
      </c>
      <c r="H17" s="601">
        <v>0</v>
      </c>
      <c r="I17" s="602">
        <v>0</v>
      </c>
      <c r="J17" s="600">
        <v>0</v>
      </c>
      <c r="K17" s="603" t="str">
        <f t="shared" si="0"/>
        <v/>
      </c>
      <c r="L17" s="15"/>
    </row>
    <row r="18" spans="1:12" ht="24" customHeight="1">
      <c r="A18" s="604" t="s">
        <v>41</v>
      </c>
      <c r="B18" s="605">
        <f t="shared" ref="B18:J18" si="2">+B17-B16</f>
        <v>0</v>
      </c>
      <c r="C18" s="606">
        <f t="shared" si="2"/>
        <v>0</v>
      </c>
      <c r="D18" s="607">
        <f t="shared" si="2"/>
        <v>0</v>
      </c>
      <c r="E18" s="605">
        <f t="shared" si="2"/>
        <v>-40.659999999999997</v>
      </c>
      <c r="F18" s="607">
        <f t="shared" si="2"/>
        <v>0</v>
      </c>
      <c r="G18" s="605">
        <f t="shared" si="2"/>
        <v>0</v>
      </c>
      <c r="H18" s="606">
        <f t="shared" si="2"/>
        <v>0</v>
      </c>
      <c r="I18" s="607">
        <f t="shared" si="2"/>
        <v>0</v>
      </c>
      <c r="J18" s="605">
        <f t="shared" si="2"/>
        <v>0</v>
      </c>
      <c r="K18" s="608" t="str">
        <f t="shared" si="0"/>
        <v/>
      </c>
      <c r="L18" s="15"/>
    </row>
    <row r="19" spans="1:12" ht="6" customHeight="1">
      <c r="A19" s="609"/>
      <c r="B19" s="609"/>
      <c r="C19" s="609"/>
      <c r="D19" s="609"/>
      <c r="E19" s="609"/>
      <c r="F19" s="610"/>
      <c r="G19" s="609"/>
      <c r="H19" s="609"/>
      <c r="I19" s="610"/>
      <c r="J19" s="609"/>
      <c r="K19" s="610"/>
      <c r="L19" s="15"/>
    </row>
    <row r="20" spans="1:12" ht="24" customHeight="1">
      <c r="A20" s="611" t="s">
        <v>247</v>
      </c>
      <c r="B20" s="612">
        <f>+B14-B18</f>
        <v>6607.5287400000016</v>
      </c>
      <c r="C20" s="613">
        <f t="shared" ref="C20" si="3">+C14-C18</f>
        <v>6835.6389199999976</v>
      </c>
      <c r="D20" s="616">
        <f>+D14-D18</f>
        <v>6836.602329999997</v>
      </c>
      <c r="E20" s="612">
        <f>+E14-E18</f>
        <v>6928.2277399999984</v>
      </c>
      <c r="F20" s="565">
        <f>+IF(E20=0,"",D20/E20-1)</f>
        <v>-1.3224941996494155E-2</v>
      </c>
      <c r="G20" s="758">
        <f>+G14-G18</f>
        <v>7125.2993800000004</v>
      </c>
      <c r="H20" s="612">
        <f>+H14-H18</f>
        <v>6990.6689799999995</v>
      </c>
      <c r="I20" s="565">
        <f>+IF(H20=0,"",G20/H20-1)</f>
        <v>1.9258586035924896E-2</v>
      </c>
      <c r="J20" s="612">
        <f>+J14-J18</f>
        <v>6710.6748599999983</v>
      </c>
      <c r="K20" s="565">
        <f>+IF(J20=0,"",H20/J20-1)</f>
        <v>4.1723690365174537E-2</v>
      </c>
      <c r="L20" s="15"/>
    </row>
    <row r="21" spans="1:12" ht="11.25" customHeight="1">
      <c r="A21" s="264" t="s">
        <v>405</v>
      </c>
      <c r="B21" s="138"/>
      <c r="C21" s="138"/>
      <c r="D21" s="138"/>
      <c r="E21" s="138"/>
      <c r="F21" s="138"/>
      <c r="G21" s="138"/>
      <c r="H21" s="138"/>
      <c r="I21" s="138"/>
      <c r="J21" s="138"/>
      <c r="K21" s="138"/>
      <c r="L21" s="16"/>
    </row>
    <row r="22" spans="1:12" ht="17.25" customHeight="1">
      <c r="A22" s="935"/>
      <c r="B22" s="935"/>
      <c r="C22" s="935"/>
      <c r="D22" s="935"/>
      <c r="E22" s="935"/>
      <c r="F22" s="935"/>
      <c r="G22" s="935"/>
      <c r="H22" s="935"/>
      <c r="I22" s="935"/>
      <c r="J22" s="935"/>
      <c r="K22" s="935"/>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936" t="str">
        <f>"Gráfico N° 11: Comparación de la máxima potencia coincidente de potencia (MW) por tipo de generación en el SEIN en "&amp;'1. Resumen'!Q4</f>
        <v>Gráfico N° 11: Comparación de la máxima potencia coincidente de potencia (MW) por tipo de generación en el SEIN en noviembre</v>
      </c>
      <c r="B58" s="936"/>
      <c r="C58" s="936"/>
      <c r="D58" s="936"/>
      <c r="E58" s="936"/>
      <c r="F58" s="936"/>
      <c r="G58" s="936"/>
      <c r="H58" s="936"/>
      <c r="I58" s="936"/>
      <c r="J58" s="936"/>
      <c r="K58" s="936"/>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69"/>
  <sheetViews>
    <sheetView showGridLines="0" tabSelected="1" view="pageBreakPreview" zoomScaleNormal="100" zoomScaleSheetLayoutView="100" zoomScalePageLayoutView="115" workbookViewId="0">
      <selection activeCell="A63" sqref="A63"/>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417" customWidth="1"/>
    <col min="13" max="14" width="9.28515625" style="625"/>
    <col min="15" max="15" width="9.28515625" style="702"/>
  </cols>
  <sheetData>
    <row r="1" spans="1:15" ht="25.5" customHeight="1">
      <c r="A1" s="947" t="s">
        <v>251</v>
      </c>
      <c r="B1" s="947"/>
      <c r="C1" s="947"/>
      <c r="D1" s="947"/>
      <c r="E1" s="947"/>
      <c r="F1" s="947"/>
      <c r="G1" s="947"/>
      <c r="H1" s="947"/>
      <c r="I1" s="947"/>
      <c r="J1" s="947"/>
    </row>
    <row r="2" spans="1:15" ht="7.5" customHeight="1">
      <c r="A2" s="74"/>
      <c r="B2" s="73"/>
      <c r="C2" s="73"/>
      <c r="D2" s="73"/>
      <c r="E2" s="73"/>
      <c r="F2" s="73"/>
      <c r="G2" s="73"/>
      <c r="H2" s="73"/>
      <c r="I2" s="73"/>
      <c r="J2" s="73"/>
      <c r="K2" s="36"/>
      <c r="L2" s="739"/>
    </row>
    <row r="3" spans="1:15" ht="11.25" customHeight="1">
      <c r="A3" s="948" t="s">
        <v>123</v>
      </c>
      <c r="B3" s="950" t="str">
        <f>+'1. Resumen'!Q4</f>
        <v>noviembre</v>
      </c>
      <c r="C3" s="951"/>
      <c r="D3" s="952"/>
      <c r="E3" s="138"/>
      <c r="F3" s="138"/>
      <c r="G3" s="953" t="s">
        <v>478</v>
      </c>
      <c r="H3" s="953"/>
      <c r="I3" s="953"/>
      <c r="J3" s="138"/>
      <c r="K3" s="148"/>
      <c r="L3" s="739"/>
    </row>
    <row r="4" spans="1:15" ht="11.25" customHeight="1">
      <c r="A4" s="948"/>
      <c r="B4" s="475">
        <v>2020</v>
      </c>
      <c r="C4" s="476">
        <v>2019</v>
      </c>
      <c r="D4" s="952" t="s">
        <v>35</v>
      </c>
      <c r="E4" s="138"/>
      <c r="F4" s="138"/>
      <c r="G4" s="138"/>
      <c r="H4" s="138"/>
      <c r="I4" s="138"/>
      <c r="J4" s="138"/>
      <c r="K4" s="24"/>
      <c r="L4" s="740"/>
    </row>
    <row r="5" spans="1:15" ht="11.25" customHeight="1">
      <c r="A5" s="948"/>
      <c r="B5" s="477">
        <f>+'8. Max Potencia'!D8</f>
        <v>44163.854166666664</v>
      </c>
      <c r="C5" s="477">
        <f>+'8. Max Potencia'!E8</f>
        <v>43790.833333333336</v>
      </c>
      <c r="D5" s="952"/>
      <c r="E5" s="138"/>
      <c r="F5" s="138"/>
      <c r="G5" s="138"/>
      <c r="H5" s="138"/>
      <c r="I5" s="138"/>
      <c r="J5" s="138"/>
      <c r="K5" s="24"/>
      <c r="L5" s="741"/>
    </row>
    <row r="6" spans="1:15" ht="11.25" customHeight="1" thickBot="1">
      <c r="A6" s="949"/>
      <c r="B6" s="478">
        <f>+'8. Max Potencia'!D9</f>
        <v>44163.854166666664</v>
      </c>
      <c r="C6" s="478">
        <f>+'8. Max Potencia'!E9</f>
        <v>43790.833333333336</v>
      </c>
      <c r="D6" s="954"/>
      <c r="E6" s="138"/>
      <c r="F6" s="138"/>
      <c r="G6" s="138"/>
      <c r="H6" s="138"/>
      <c r="I6" s="138"/>
      <c r="J6" s="138"/>
      <c r="K6" s="25"/>
      <c r="L6" s="740" t="s">
        <v>250</v>
      </c>
      <c r="M6" s="417">
        <v>2020</v>
      </c>
      <c r="N6" s="417">
        <v>2019</v>
      </c>
    </row>
    <row r="7" spans="1:15" ht="9.75" customHeight="1">
      <c r="A7" s="364" t="s">
        <v>88</v>
      </c>
      <c r="B7" s="365">
        <v>1152.1727899999998</v>
      </c>
      <c r="C7" s="365">
        <v>810.89432999999997</v>
      </c>
      <c r="D7" s="366">
        <f>IF(C7=0,"",B7/C7-1)</f>
        <v>0.42086674844550931</v>
      </c>
      <c r="E7" s="138"/>
      <c r="F7" s="138"/>
      <c r="G7" s="138"/>
      <c r="H7" s="138"/>
      <c r="I7" s="138"/>
      <c r="J7" s="138"/>
      <c r="K7" s="23"/>
      <c r="L7" s="742" t="s">
        <v>109</v>
      </c>
      <c r="M7" s="755">
        <v>0</v>
      </c>
      <c r="N7" s="755">
        <v>0</v>
      </c>
      <c r="O7" s="703"/>
    </row>
    <row r="8" spans="1:15" ht="9.75" customHeight="1">
      <c r="A8" s="367" t="s">
        <v>410</v>
      </c>
      <c r="B8" s="368">
        <v>1084.7106000000001</v>
      </c>
      <c r="C8" s="368">
        <v>1327.8401999999999</v>
      </c>
      <c r="D8" s="369">
        <f t="shared" ref="D8:D63" si="0">IF(C8=0,"",B8/C8-1)</f>
        <v>-0.18310155092457647</v>
      </c>
      <c r="E8" s="138"/>
      <c r="F8" s="138"/>
      <c r="G8" s="138"/>
      <c r="H8" s="138"/>
      <c r="I8" s="138"/>
      <c r="J8" s="138"/>
      <c r="K8" s="26"/>
      <c r="L8" s="742" t="s">
        <v>102</v>
      </c>
      <c r="M8" s="755">
        <v>0</v>
      </c>
      <c r="N8" s="755">
        <v>27.40108</v>
      </c>
      <c r="O8" s="703"/>
    </row>
    <row r="9" spans="1:15" ht="9.75" customHeight="1">
      <c r="A9" s="370" t="s">
        <v>87</v>
      </c>
      <c r="B9" s="371">
        <v>942.70697999999993</v>
      </c>
      <c r="C9" s="371">
        <v>958.68518000000006</v>
      </c>
      <c r="D9" s="372">
        <f t="shared" si="0"/>
        <v>-1.666678523183196E-2</v>
      </c>
      <c r="E9" s="398"/>
      <c r="F9" s="138"/>
      <c r="G9" s="138"/>
      <c r="H9" s="138"/>
      <c r="I9" s="138"/>
      <c r="J9" s="138"/>
      <c r="K9" s="25"/>
      <c r="L9" s="742" t="s">
        <v>244</v>
      </c>
      <c r="M9" s="755">
        <v>0</v>
      </c>
      <c r="N9" s="755">
        <v>0</v>
      </c>
      <c r="O9" s="703"/>
    </row>
    <row r="10" spans="1:15" ht="9.75" customHeight="1">
      <c r="A10" s="367" t="s">
        <v>89</v>
      </c>
      <c r="B10" s="368">
        <v>739.39296000000013</v>
      </c>
      <c r="C10" s="368">
        <v>865.3152</v>
      </c>
      <c r="D10" s="369">
        <f t="shared" si="0"/>
        <v>-0.14552181678999732</v>
      </c>
      <c r="E10" s="138"/>
      <c r="F10" s="138"/>
      <c r="G10" s="138"/>
      <c r="H10" s="138"/>
      <c r="I10" s="138"/>
      <c r="J10" s="138"/>
      <c r="K10" s="25"/>
      <c r="L10" s="742" t="s">
        <v>104</v>
      </c>
      <c r="M10" s="741">
        <v>0</v>
      </c>
      <c r="N10" s="741">
        <v>10.399929999999999</v>
      </c>
      <c r="O10" s="703"/>
    </row>
    <row r="11" spans="1:15" ht="9.75" customHeight="1">
      <c r="A11" s="370" t="s">
        <v>239</v>
      </c>
      <c r="B11" s="371">
        <v>553.77355999999997</v>
      </c>
      <c r="C11" s="371">
        <v>271.5471</v>
      </c>
      <c r="D11" s="372">
        <f t="shared" si="0"/>
        <v>1.0393278366810028</v>
      </c>
      <c r="E11" s="138"/>
      <c r="F11" s="138"/>
      <c r="G11" s="138"/>
      <c r="H11" s="138"/>
      <c r="I11" s="138"/>
      <c r="J11" s="138"/>
      <c r="K11" s="25"/>
      <c r="L11" s="742" t="s">
        <v>243</v>
      </c>
      <c r="M11" s="741">
        <v>0</v>
      </c>
      <c r="N11" s="741">
        <v>0</v>
      </c>
      <c r="O11" s="703"/>
    </row>
    <row r="12" spans="1:15" ht="9.75" customHeight="1">
      <c r="A12" s="367" t="s">
        <v>100</v>
      </c>
      <c r="B12" s="368">
        <v>293.69004000000001</v>
      </c>
      <c r="C12" s="368">
        <v>0</v>
      </c>
      <c r="D12" s="369" t="str">
        <f t="shared" si="0"/>
        <v/>
      </c>
      <c r="E12" s="138"/>
      <c r="F12" s="138"/>
      <c r="G12" s="138"/>
      <c r="H12" s="138"/>
      <c r="I12" s="138"/>
      <c r="J12" s="138"/>
      <c r="K12" s="23"/>
      <c r="L12" s="742" t="s">
        <v>107</v>
      </c>
      <c r="M12" s="755">
        <v>0</v>
      </c>
      <c r="N12" s="755">
        <v>0</v>
      </c>
      <c r="O12" s="703"/>
    </row>
    <row r="13" spans="1:15" ht="9.75" customHeight="1">
      <c r="A13" s="370" t="s">
        <v>241</v>
      </c>
      <c r="B13" s="371">
        <v>262.06700000000001</v>
      </c>
      <c r="C13" s="371">
        <v>333.50994000000003</v>
      </c>
      <c r="D13" s="372">
        <f t="shared" si="0"/>
        <v>-0.21421532443680691</v>
      </c>
      <c r="E13" s="138"/>
      <c r="F13" s="138"/>
      <c r="G13" s="138"/>
      <c r="H13" s="138"/>
      <c r="I13" s="138"/>
      <c r="J13" s="138"/>
      <c r="K13" s="26"/>
      <c r="L13" s="742" t="s">
        <v>110</v>
      </c>
      <c r="M13" s="741">
        <v>0</v>
      </c>
      <c r="N13" s="741">
        <v>0</v>
      </c>
      <c r="O13" s="703"/>
    </row>
    <row r="14" spans="1:15" ht="9.75" customHeight="1">
      <c r="A14" s="367" t="s">
        <v>90</v>
      </c>
      <c r="B14" s="368">
        <v>228.69901999999996</v>
      </c>
      <c r="C14" s="368">
        <v>320.75953999999996</v>
      </c>
      <c r="D14" s="369">
        <f t="shared" si="0"/>
        <v>-0.28700789382601066</v>
      </c>
      <c r="E14" s="138"/>
      <c r="F14" s="138"/>
      <c r="G14" s="138"/>
      <c r="H14" s="138"/>
      <c r="I14" s="138"/>
      <c r="J14" s="138"/>
      <c r="K14" s="26"/>
      <c r="L14" s="742" t="s">
        <v>118</v>
      </c>
      <c r="M14" s="741">
        <v>0</v>
      </c>
      <c r="N14" s="741">
        <v>0</v>
      </c>
      <c r="O14" s="703"/>
    </row>
    <row r="15" spans="1:15" ht="9.75" customHeight="1">
      <c r="A15" s="370" t="s">
        <v>91</v>
      </c>
      <c r="B15" s="371">
        <v>169.58043000000001</v>
      </c>
      <c r="C15" s="371">
        <v>150.49536000000001</v>
      </c>
      <c r="D15" s="372">
        <f t="shared" si="0"/>
        <v>0.12681500612377694</v>
      </c>
      <c r="E15" s="138"/>
      <c r="F15" s="138"/>
      <c r="G15" s="138"/>
      <c r="H15" s="138"/>
      <c r="I15" s="138"/>
      <c r="J15" s="138"/>
      <c r="K15" s="26"/>
      <c r="L15" s="742" t="s">
        <v>412</v>
      </c>
      <c r="M15" s="741">
        <v>0</v>
      </c>
      <c r="N15" s="741">
        <v>0.56000000000000005</v>
      </c>
      <c r="O15" s="703"/>
    </row>
    <row r="16" spans="1:15" ht="9.75" customHeight="1">
      <c r="A16" s="367" t="s">
        <v>92</v>
      </c>
      <c r="B16" s="368">
        <v>153.53910999999999</v>
      </c>
      <c r="C16" s="368">
        <v>166.66448</v>
      </c>
      <c r="D16" s="369">
        <f t="shared" si="0"/>
        <v>-7.8753253242682564E-2</v>
      </c>
      <c r="E16" s="138"/>
      <c r="F16" s="138"/>
      <c r="G16" s="138"/>
      <c r="H16" s="138"/>
      <c r="I16" s="138"/>
      <c r="J16" s="138"/>
      <c r="K16" s="26"/>
      <c r="L16" s="742" t="s">
        <v>112</v>
      </c>
      <c r="M16" s="741">
        <v>0</v>
      </c>
      <c r="N16" s="741">
        <v>0</v>
      </c>
      <c r="O16" s="703"/>
    </row>
    <row r="17" spans="1:15" ht="9.75" customHeight="1">
      <c r="A17" s="370" t="s">
        <v>94</v>
      </c>
      <c r="B17" s="371">
        <v>135.08025000000001</v>
      </c>
      <c r="C17" s="371">
        <v>187.66856999999999</v>
      </c>
      <c r="D17" s="372">
        <f t="shared" si="0"/>
        <v>-0.28021911180971848</v>
      </c>
      <c r="E17" s="138"/>
      <c r="F17" s="138"/>
      <c r="G17" s="138"/>
      <c r="H17" s="138"/>
      <c r="I17" s="138"/>
      <c r="J17" s="138"/>
      <c r="K17" s="26"/>
      <c r="L17" s="742" t="s">
        <v>111</v>
      </c>
      <c r="M17" s="755">
        <v>0</v>
      </c>
      <c r="N17" s="755">
        <v>0</v>
      </c>
      <c r="O17" s="703"/>
    </row>
    <row r="18" spans="1:15" ht="9.75" customHeight="1">
      <c r="A18" s="367" t="s">
        <v>105</v>
      </c>
      <c r="B18" s="368">
        <v>122.34397</v>
      </c>
      <c r="C18" s="368">
        <v>75.367959999999997</v>
      </c>
      <c r="D18" s="369">
        <f t="shared" si="0"/>
        <v>0.62328886173912634</v>
      </c>
      <c r="E18" s="138"/>
      <c r="F18" s="138"/>
      <c r="G18" s="138"/>
      <c r="H18" s="138"/>
      <c r="I18" s="138"/>
      <c r="J18" s="138"/>
      <c r="K18" s="26"/>
      <c r="L18" s="742" t="s">
        <v>236</v>
      </c>
      <c r="M18" s="741">
        <v>0</v>
      </c>
      <c r="N18" s="741">
        <v>0</v>
      </c>
      <c r="O18" s="703"/>
    </row>
    <row r="19" spans="1:15" ht="9.75" customHeight="1">
      <c r="A19" s="370" t="s">
        <v>97</v>
      </c>
      <c r="B19" s="371">
        <v>91.851380000000006</v>
      </c>
      <c r="C19" s="371">
        <v>21.015439999999998</v>
      </c>
      <c r="D19" s="372">
        <f t="shared" si="0"/>
        <v>3.3706617610671019</v>
      </c>
      <c r="E19" s="138"/>
      <c r="F19" s="138"/>
      <c r="G19" s="138"/>
      <c r="H19" s="138"/>
      <c r="I19" s="138"/>
      <c r="J19" s="138"/>
      <c r="K19" s="26"/>
      <c r="L19" s="742" t="s">
        <v>453</v>
      </c>
      <c r="M19" s="741">
        <v>0.92884999999999995</v>
      </c>
      <c r="N19" s="741">
        <v>1.1189800000000001</v>
      </c>
      <c r="O19" s="703"/>
    </row>
    <row r="20" spans="1:15" ht="9.75" customHeight="1">
      <c r="A20" s="367" t="s">
        <v>238</v>
      </c>
      <c r="B20" s="368">
        <v>91.335949999999997</v>
      </c>
      <c r="C20" s="368">
        <v>72.402080000000012</v>
      </c>
      <c r="D20" s="369">
        <f t="shared" si="0"/>
        <v>0.26151002844117155</v>
      </c>
      <c r="E20" s="138"/>
      <c r="F20" s="138"/>
      <c r="G20" s="138"/>
      <c r="H20" s="138"/>
      <c r="I20" s="138"/>
      <c r="J20" s="138"/>
      <c r="K20" s="29"/>
      <c r="L20" s="742" t="s">
        <v>117</v>
      </c>
      <c r="M20" s="741">
        <v>1.2976700000000001</v>
      </c>
      <c r="N20" s="741">
        <v>2.6952499999999997</v>
      </c>
      <c r="O20" s="703"/>
    </row>
    <row r="21" spans="1:15" ht="9.75" customHeight="1">
      <c r="A21" s="370" t="s">
        <v>96</v>
      </c>
      <c r="B21" s="371">
        <v>90.948629999999994</v>
      </c>
      <c r="C21" s="371">
        <v>89.428550000000001</v>
      </c>
      <c r="D21" s="372">
        <f t="shared" si="0"/>
        <v>1.6997703753443227E-2</v>
      </c>
      <c r="E21" s="138"/>
      <c r="F21" s="138"/>
      <c r="G21" s="138"/>
      <c r="H21" s="138"/>
      <c r="I21" s="138"/>
      <c r="J21" s="138"/>
      <c r="K21" s="26"/>
      <c r="L21" s="742" t="s">
        <v>114</v>
      </c>
      <c r="M21" s="755">
        <v>1.67876</v>
      </c>
      <c r="N21" s="755">
        <v>1.7013199999999999</v>
      </c>
      <c r="O21" s="703"/>
    </row>
    <row r="22" spans="1:15" ht="9.75" customHeight="1">
      <c r="A22" s="367" t="s">
        <v>95</v>
      </c>
      <c r="B22" s="368">
        <v>89.7654</v>
      </c>
      <c r="C22" s="368">
        <v>108.25024999999999</v>
      </c>
      <c r="D22" s="369">
        <f t="shared" si="0"/>
        <v>-0.17076034466433099</v>
      </c>
      <c r="E22" s="138"/>
      <c r="F22" s="138"/>
      <c r="G22" s="138"/>
      <c r="H22" s="138"/>
      <c r="I22" s="138"/>
      <c r="J22" s="138"/>
      <c r="K22" s="26"/>
      <c r="L22" s="742" t="s">
        <v>115</v>
      </c>
      <c r="M22" s="755">
        <v>2.51207</v>
      </c>
      <c r="N22" s="755">
        <v>2.73665</v>
      </c>
      <c r="O22" s="703"/>
    </row>
    <row r="23" spans="1:15" ht="9.75" customHeight="1">
      <c r="A23" s="370" t="s">
        <v>430</v>
      </c>
      <c r="B23" s="371">
        <v>81.578920000000011</v>
      </c>
      <c r="C23" s="371">
        <v>90.351039999999998</v>
      </c>
      <c r="D23" s="372">
        <f t="shared" si="0"/>
        <v>-9.708930854586717E-2</v>
      </c>
      <c r="E23" s="138"/>
      <c r="F23" s="138"/>
      <c r="G23" s="138"/>
      <c r="H23" s="138"/>
      <c r="I23" s="138"/>
      <c r="J23" s="138"/>
      <c r="K23" s="26"/>
      <c r="L23" s="742" t="s">
        <v>116</v>
      </c>
      <c r="M23" s="741">
        <v>3.2</v>
      </c>
      <c r="N23" s="741">
        <v>0</v>
      </c>
      <c r="O23" s="703"/>
    </row>
    <row r="24" spans="1:15" ht="9.75" customHeight="1">
      <c r="A24" s="367" t="s">
        <v>93</v>
      </c>
      <c r="B24" s="368">
        <v>79.336179999999999</v>
      </c>
      <c r="C24" s="368">
        <v>145.34241</v>
      </c>
      <c r="D24" s="369">
        <f t="shared" si="0"/>
        <v>-0.45414294423767987</v>
      </c>
      <c r="E24" s="138"/>
      <c r="F24" s="138"/>
      <c r="G24" s="138"/>
      <c r="H24" s="138"/>
      <c r="I24" s="138"/>
      <c r="J24" s="138"/>
      <c r="K24" s="29"/>
      <c r="L24" s="742" t="s">
        <v>421</v>
      </c>
      <c r="M24" s="741">
        <v>3.4058999999999999</v>
      </c>
      <c r="N24" s="741">
        <v>6.6226699999999994</v>
      </c>
      <c r="O24" s="703"/>
    </row>
    <row r="25" spans="1:15" ht="9.75" customHeight="1">
      <c r="A25" s="370" t="s">
        <v>99</v>
      </c>
      <c r="B25" s="371">
        <v>66.276679999999999</v>
      </c>
      <c r="C25" s="371">
        <v>8.7609200000000005</v>
      </c>
      <c r="D25" s="372">
        <f t="shared" si="0"/>
        <v>6.5650365486729703</v>
      </c>
      <c r="E25" s="138"/>
      <c r="F25" s="138"/>
      <c r="G25" s="138"/>
      <c r="H25" s="138"/>
      <c r="I25" s="138"/>
      <c r="J25" s="138"/>
      <c r="K25" s="26"/>
      <c r="L25" s="742" t="s">
        <v>237</v>
      </c>
      <c r="M25" s="755">
        <v>6.4456100000000003</v>
      </c>
      <c r="N25" s="755">
        <v>458.63094000000001</v>
      </c>
      <c r="O25" s="703"/>
    </row>
    <row r="26" spans="1:15" ht="9.75" customHeight="1">
      <c r="A26" s="367" t="s">
        <v>98</v>
      </c>
      <c r="B26" s="368">
        <v>62.164230000000003</v>
      </c>
      <c r="C26" s="368">
        <v>59.293509999999998</v>
      </c>
      <c r="D26" s="369">
        <f t="shared" si="0"/>
        <v>4.8415416796880661E-2</v>
      </c>
      <c r="E26" s="138"/>
      <c r="F26" s="138"/>
      <c r="G26" s="138"/>
      <c r="H26" s="138"/>
      <c r="I26" s="138"/>
      <c r="J26" s="138"/>
      <c r="K26" s="26"/>
      <c r="L26" s="742" t="s">
        <v>486</v>
      </c>
      <c r="M26" s="741">
        <v>6.9636399999999998</v>
      </c>
      <c r="N26" s="741"/>
      <c r="O26" s="703"/>
    </row>
    <row r="27" spans="1:15" ht="9.75" customHeight="1">
      <c r="A27" s="370" t="s">
        <v>101</v>
      </c>
      <c r="B27" s="371">
        <v>48.635449999999999</v>
      </c>
      <c r="C27" s="371">
        <v>24.618000000000002</v>
      </c>
      <c r="D27" s="372">
        <f t="shared" si="0"/>
        <v>0.97560524819237937</v>
      </c>
      <c r="E27" s="138"/>
      <c r="F27" s="138"/>
      <c r="G27" s="138"/>
      <c r="H27" s="138"/>
      <c r="I27" s="138"/>
      <c r="J27" s="138"/>
      <c r="K27" s="26"/>
      <c r="L27" s="742" t="s">
        <v>431</v>
      </c>
      <c r="M27" s="741">
        <v>7.7519999999999998</v>
      </c>
      <c r="N27" s="741">
        <v>8.3360000000000003</v>
      </c>
      <c r="O27" s="703"/>
    </row>
    <row r="28" spans="1:15" ht="9.75" customHeight="1">
      <c r="A28" s="367" t="s">
        <v>108</v>
      </c>
      <c r="B28" s="368">
        <v>24.19182</v>
      </c>
      <c r="C28" s="368">
        <v>58.945390000000003</v>
      </c>
      <c r="D28" s="369">
        <f t="shared" si="0"/>
        <v>-0.58958927916161041</v>
      </c>
      <c r="E28" s="138"/>
      <c r="F28" s="138"/>
      <c r="G28" s="138"/>
      <c r="H28" s="138"/>
      <c r="I28" s="138"/>
      <c r="J28" s="138"/>
      <c r="K28" s="26"/>
      <c r="L28" s="742" t="s">
        <v>457</v>
      </c>
      <c r="M28" s="741">
        <v>9.1999999999999993</v>
      </c>
      <c r="N28" s="741">
        <v>9.9375</v>
      </c>
      <c r="O28" s="703"/>
    </row>
    <row r="29" spans="1:15" ht="9.75" customHeight="1">
      <c r="A29" s="373" t="s">
        <v>242</v>
      </c>
      <c r="B29" s="374">
        <v>21.27542</v>
      </c>
      <c r="C29" s="374">
        <v>1.74197</v>
      </c>
      <c r="D29" s="375">
        <f t="shared" si="0"/>
        <v>11.213425030281808</v>
      </c>
      <c r="E29" s="138"/>
      <c r="F29" s="138"/>
      <c r="G29" s="138"/>
      <c r="H29" s="138"/>
      <c r="I29" s="138"/>
      <c r="J29" s="138"/>
      <c r="K29" s="26"/>
      <c r="L29" s="742" t="s">
        <v>119</v>
      </c>
      <c r="M29" s="741">
        <v>9.4737799999999996</v>
      </c>
      <c r="N29" s="741">
        <v>0</v>
      </c>
      <c r="O29" s="703"/>
    </row>
    <row r="30" spans="1:15" ht="9.75" customHeight="1">
      <c r="A30" s="376" t="s">
        <v>418</v>
      </c>
      <c r="B30" s="377">
        <v>20.56326</v>
      </c>
      <c r="C30" s="377">
        <v>17.055810000000001</v>
      </c>
      <c r="D30" s="378">
        <f t="shared" si="0"/>
        <v>0.20564546626633384</v>
      </c>
      <c r="E30" s="138"/>
      <c r="F30" s="138"/>
      <c r="G30" s="138"/>
      <c r="H30" s="138"/>
      <c r="I30" s="138"/>
      <c r="J30" s="138"/>
      <c r="K30" s="26"/>
      <c r="L30" s="742" t="s">
        <v>446</v>
      </c>
      <c r="M30" s="741">
        <v>10.04608</v>
      </c>
      <c r="N30" s="741">
        <v>10.07461</v>
      </c>
      <c r="O30" s="703"/>
    </row>
    <row r="31" spans="1:15" ht="9.75" customHeight="1">
      <c r="A31" s="379" t="s">
        <v>113</v>
      </c>
      <c r="B31" s="380">
        <v>18.862389999999998</v>
      </c>
      <c r="C31" s="380">
        <v>20.14378</v>
      </c>
      <c r="D31" s="381">
        <f t="shared" si="0"/>
        <v>-6.3612191952056807E-2</v>
      </c>
      <c r="E31" s="138"/>
      <c r="F31" s="138"/>
      <c r="G31" s="138"/>
      <c r="H31" s="138"/>
      <c r="I31" s="138"/>
      <c r="J31" s="138"/>
      <c r="K31" s="26"/>
      <c r="L31" s="742" t="s">
        <v>411</v>
      </c>
      <c r="M31" s="741">
        <v>10.76779</v>
      </c>
      <c r="N31" s="741">
        <v>8.5490499999999994</v>
      </c>
      <c r="O31" s="703"/>
    </row>
    <row r="32" spans="1:15" ht="9.75" customHeight="1">
      <c r="A32" s="376" t="s">
        <v>120</v>
      </c>
      <c r="B32" s="377">
        <v>18.783300000000001</v>
      </c>
      <c r="C32" s="377">
        <v>14.597280000000001</v>
      </c>
      <c r="D32" s="378">
        <f t="shared" si="0"/>
        <v>0.28676712373812108</v>
      </c>
      <c r="E32" s="138"/>
      <c r="F32" s="138"/>
      <c r="G32" s="138"/>
      <c r="H32" s="138"/>
      <c r="I32" s="138"/>
      <c r="J32" s="138"/>
      <c r="K32" s="26"/>
      <c r="L32" s="742" t="s">
        <v>458</v>
      </c>
      <c r="M32" s="741">
        <v>13.193709999999999</v>
      </c>
      <c r="N32" s="741">
        <v>5.4458000000000002</v>
      </c>
      <c r="O32" s="703"/>
    </row>
    <row r="33" spans="1:15" ht="13.5" customHeight="1">
      <c r="A33" s="527" t="s">
        <v>402</v>
      </c>
      <c r="B33" s="380">
        <v>18.126380000000001</v>
      </c>
      <c r="C33" s="380">
        <v>20.041840000000001</v>
      </c>
      <c r="D33" s="381">
        <f t="shared" si="0"/>
        <v>-9.5573061156061456E-2</v>
      </c>
      <c r="E33" s="138"/>
      <c r="F33" s="138"/>
      <c r="G33" s="138"/>
      <c r="H33" s="138"/>
      <c r="I33" s="138"/>
      <c r="J33" s="138"/>
      <c r="K33" s="26"/>
      <c r="L33" s="742" t="s">
        <v>106</v>
      </c>
      <c r="M33" s="741">
        <v>14.028790000000001</v>
      </c>
      <c r="N33" s="741">
        <v>14.872479999999999</v>
      </c>
      <c r="O33" s="703"/>
    </row>
    <row r="34" spans="1:15" ht="22.2" customHeight="1">
      <c r="A34" s="736" t="s">
        <v>425</v>
      </c>
      <c r="B34" s="377">
        <v>15.652560000000001</v>
      </c>
      <c r="C34" s="377">
        <v>19.05706</v>
      </c>
      <c r="D34" s="378">
        <f t="shared" si="0"/>
        <v>-0.1786477032658762</v>
      </c>
      <c r="E34" s="138"/>
      <c r="F34" s="138"/>
      <c r="G34" s="138"/>
      <c r="H34" s="138"/>
      <c r="I34" s="138"/>
      <c r="J34" s="138"/>
      <c r="K34" s="26"/>
      <c r="L34" s="742" t="s">
        <v>455</v>
      </c>
      <c r="M34" s="741">
        <v>14.4101</v>
      </c>
      <c r="N34" s="741">
        <v>50.067230000000002</v>
      </c>
      <c r="O34" s="703"/>
    </row>
    <row r="35" spans="1:15" ht="13.5" customHeight="1">
      <c r="A35" s="527" t="s">
        <v>103</v>
      </c>
      <c r="B35" s="380">
        <v>15.13064</v>
      </c>
      <c r="C35" s="380">
        <v>19.254950000000001</v>
      </c>
      <c r="D35" s="381">
        <f t="shared" si="0"/>
        <v>-0.21419479146920672</v>
      </c>
      <c r="E35" s="138"/>
      <c r="F35" s="138"/>
      <c r="G35" s="138"/>
      <c r="H35" s="138"/>
      <c r="I35" s="138"/>
      <c r="J35" s="138"/>
      <c r="K35" s="26"/>
      <c r="L35" s="742" t="s">
        <v>240</v>
      </c>
      <c r="M35" s="741">
        <v>14.41319</v>
      </c>
      <c r="N35" s="741">
        <v>9.3701100000000004</v>
      </c>
      <c r="O35" s="703"/>
    </row>
    <row r="36" spans="1:15" ht="11.25" customHeight="1">
      <c r="A36" s="376" t="s">
        <v>121</v>
      </c>
      <c r="B36" s="377">
        <v>14.649089999999999</v>
      </c>
      <c r="C36" s="377">
        <v>0</v>
      </c>
      <c r="D36" s="378" t="str">
        <f t="shared" si="0"/>
        <v/>
      </c>
      <c r="E36" s="138"/>
      <c r="F36" s="138"/>
      <c r="G36" s="138"/>
      <c r="H36" s="138"/>
      <c r="I36" s="138"/>
      <c r="J36" s="138"/>
      <c r="K36" s="34"/>
      <c r="L36" s="742" t="s">
        <v>121</v>
      </c>
      <c r="M36" s="741">
        <v>14.649089999999999</v>
      </c>
      <c r="N36" s="741">
        <v>0</v>
      </c>
      <c r="O36" s="703"/>
    </row>
    <row r="37" spans="1:15" ht="11.25" customHeight="1">
      <c r="A37" s="527" t="s">
        <v>240</v>
      </c>
      <c r="B37" s="380">
        <v>14.41319</v>
      </c>
      <c r="C37" s="380">
        <v>9.3701100000000004</v>
      </c>
      <c r="D37" s="381">
        <f t="shared" si="0"/>
        <v>0.5382092632850628</v>
      </c>
      <c r="E37" s="138"/>
      <c r="F37" s="138"/>
      <c r="G37" s="138"/>
      <c r="H37" s="138"/>
      <c r="I37" s="138"/>
      <c r="J37" s="138"/>
      <c r="K37" s="34"/>
      <c r="L37" s="742" t="s">
        <v>103</v>
      </c>
      <c r="M37" s="755">
        <v>15.13064</v>
      </c>
      <c r="N37" s="755">
        <v>19.254950000000001</v>
      </c>
      <c r="O37" s="703"/>
    </row>
    <row r="38" spans="1:15" ht="13.8" customHeight="1">
      <c r="A38" s="736" t="s">
        <v>455</v>
      </c>
      <c r="B38" s="377">
        <v>14.4101</v>
      </c>
      <c r="C38" s="377">
        <v>50.067230000000002</v>
      </c>
      <c r="D38" s="378">
        <f t="shared" si="0"/>
        <v>-0.71218499605430541</v>
      </c>
      <c r="E38" s="138"/>
      <c r="F38" s="138"/>
      <c r="G38" s="138"/>
      <c r="H38" s="138"/>
      <c r="I38" s="138"/>
      <c r="J38" s="138"/>
      <c r="K38" s="29"/>
      <c r="L38" s="742" t="s">
        <v>425</v>
      </c>
      <c r="M38" s="741">
        <v>15.652560000000001</v>
      </c>
      <c r="N38" s="741">
        <v>19.05706</v>
      </c>
      <c r="O38" s="703"/>
    </row>
    <row r="39" spans="1:15" ht="11.25" customHeight="1">
      <c r="A39" s="527" t="s">
        <v>106</v>
      </c>
      <c r="B39" s="380">
        <v>14.028790000000001</v>
      </c>
      <c r="C39" s="380">
        <v>14.872479999999999</v>
      </c>
      <c r="D39" s="381">
        <f t="shared" si="0"/>
        <v>-5.6728265897819208E-2</v>
      </c>
      <c r="E39" s="138"/>
      <c r="F39" s="138"/>
      <c r="G39" s="138"/>
      <c r="H39" s="138"/>
      <c r="I39" s="138"/>
      <c r="J39" s="138"/>
      <c r="K39" s="29"/>
      <c r="L39" s="742" t="s">
        <v>402</v>
      </c>
      <c r="M39" s="741">
        <v>18.126380000000001</v>
      </c>
      <c r="N39" s="741">
        <v>20.041840000000001</v>
      </c>
      <c r="O39" s="703"/>
    </row>
    <row r="40" spans="1:15" ht="11.25" customHeight="1">
      <c r="A40" s="737" t="s">
        <v>458</v>
      </c>
      <c r="B40" s="377">
        <v>13.193709999999999</v>
      </c>
      <c r="C40" s="377">
        <v>5.4458000000000002</v>
      </c>
      <c r="D40" s="378">
        <f t="shared" si="0"/>
        <v>1.4227312791509052</v>
      </c>
      <c r="E40" s="138"/>
      <c r="F40" s="138"/>
      <c r="G40" s="138"/>
      <c r="H40" s="138"/>
      <c r="I40" s="138"/>
      <c r="J40" s="138"/>
      <c r="K40" s="29"/>
      <c r="L40" s="742" t="s">
        <v>120</v>
      </c>
      <c r="M40" s="741">
        <v>18.783300000000001</v>
      </c>
      <c r="N40" s="741">
        <v>14.597280000000001</v>
      </c>
      <c r="O40" s="703"/>
    </row>
    <row r="41" spans="1:15" ht="9.75" customHeight="1">
      <c r="A41" s="379" t="s">
        <v>411</v>
      </c>
      <c r="B41" s="380">
        <v>10.76779</v>
      </c>
      <c r="C41" s="380">
        <v>8.5490499999999994</v>
      </c>
      <c r="D41" s="381">
        <f t="shared" si="0"/>
        <v>0.25953059111831145</v>
      </c>
      <c r="E41" s="138"/>
      <c r="F41" s="138"/>
      <c r="G41" s="138"/>
      <c r="H41" s="138"/>
      <c r="I41" s="138"/>
      <c r="J41" s="138"/>
      <c r="K41" s="34"/>
      <c r="L41" s="742" t="s">
        <v>113</v>
      </c>
      <c r="M41" s="741">
        <v>18.862389999999998</v>
      </c>
      <c r="N41" s="741">
        <v>20.14378</v>
      </c>
      <c r="O41" s="703"/>
    </row>
    <row r="42" spans="1:15" ht="9.75" customHeight="1">
      <c r="A42" s="376" t="s">
        <v>446</v>
      </c>
      <c r="B42" s="377">
        <v>10.04608</v>
      </c>
      <c r="C42" s="377">
        <v>10.07461</v>
      </c>
      <c r="D42" s="378">
        <f t="shared" si="0"/>
        <v>-2.8318714074291318E-3</v>
      </c>
      <c r="E42" s="138"/>
      <c r="F42" s="138"/>
      <c r="G42" s="138"/>
      <c r="H42" s="138"/>
      <c r="I42" s="138"/>
      <c r="J42" s="138"/>
      <c r="K42" s="34"/>
      <c r="L42" s="742" t="s">
        <v>418</v>
      </c>
      <c r="M42" s="741">
        <v>20.56326</v>
      </c>
      <c r="N42" s="741">
        <v>17.055810000000001</v>
      </c>
      <c r="O42" s="703"/>
    </row>
    <row r="43" spans="1:15" ht="9.75" customHeight="1">
      <c r="A43" s="379" t="s">
        <v>119</v>
      </c>
      <c r="B43" s="380">
        <v>9.4737799999999996</v>
      </c>
      <c r="C43" s="380">
        <v>0</v>
      </c>
      <c r="D43" s="381" t="str">
        <f t="shared" si="0"/>
        <v/>
      </c>
      <c r="E43" s="138"/>
      <c r="F43" s="138"/>
      <c r="G43" s="138"/>
      <c r="H43" s="138"/>
      <c r="I43" s="138"/>
      <c r="J43" s="138"/>
      <c r="K43" s="34"/>
      <c r="L43" s="742" t="s">
        <v>242</v>
      </c>
      <c r="M43" s="741">
        <v>21.27542</v>
      </c>
      <c r="N43" s="741">
        <v>1.74197</v>
      </c>
      <c r="O43" s="703"/>
    </row>
    <row r="44" spans="1:15" ht="9.75" customHeight="1">
      <c r="A44" s="376" t="s">
        <v>457</v>
      </c>
      <c r="B44" s="377">
        <v>9.1999999999999993</v>
      </c>
      <c r="C44" s="377">
        <v>9.9375</v>
      </c>
      <c r="D44" s="378">
        <f t="shared" si="0"/>
        <v>-7.4213836477987516E-2</v>
      </c>
      <c r="E44" s="138"/>
      <c r="F44" s="138"/>
      <c r="G44" s="138"/>
      <c r="H44" s="138"/>
      <c r="I44" s="138"/>
      <c r="J44" s="138"/>
      <c r="L44" s="742" t="s">
        <v>108</v>
      </c>
      <c r="M44" s="741">
        <v>24.19182</v>
      </c>
      <c r="N44" s="741">
        <v>58.945390000000003</v>
      </c>
      <c r="O44" s="703"/>
    </row>
    <row r="45" spans="1:15" ht="9.75" customHeight="1">
      <c r="A45" s="379" t="s">
        <v>431</v>
      </c>
      <c r="B45" s="380">
        <v>7.7519999999999998</v>
      </c>
      <c r="C45" s="380">
        <v>8.3360000000000003</v>
      </c>
      <c r="D45" s="381">
        <f t="shared" si="0"/>
        <v>-7.005758157389641E-2</v>
      </c>
      <c r="E45" s="138"/>
      <c r="F45" s="138"/>
      <c r="G45" s="138"/>
      <c r="H45" s="138"/>
      <c r="I45" s="138"/>
      <c r="J45" s="138"/>
      <c r="L45" s="742" t="s">
        <v>101</v>
      </c>
      <c r="M45" s="741">
        <v>48.635449999999999</v>
      </c>
      <c r="N45" s="741">
        <v>24.618000000000002</v>
      </c>
      <c r="O45" s="703"/>
    </row>
    <row r="46" spans="1:15" ht="22.2" customHeight="1">
      <c r="A46" s="736" t="s">
        <v>486</v>
      </c>
      <c r="B46" s="377">
        <v>6.9636399999999998</v>
      </c>
      <c r="C46" s="377"/>
      <c r="D46" s="378" t="str">
        <f t="shared" si="0"/>
        <v/>
      </c>
      <c r="E46" s="138"/>
      <c r="F46" s="138"/>
      <c r="G46" s="138"/>
      <c r="H46" s="138"/>
      <c r="I46" s="138"/>
      <c r="J46" s="138"/>
      <c r="L46" s="742" t="s">
        <v>98</v>
      </c>
      <c r="M46" s="741">
        <v>62.164230000000003</v>
      </c>
      <c r="N46" s="741">
        <v>59.293509999999998</v>
      </c>
      <c r="O46" s="703"/>
    </row>
    <row r="47" spans="1:15" ht="9.75" customHeight="1">
      <c r="A47" s="379" t="s">
        <v>237</v>
      </c>
      <c r="B47" s="380">
        <v>6.4456100000000003</v>
      </c>
      <c r="C47" s="380">
        <v>458.63094000000001</v>
      </c>
      <c r="D47" s="381">
        <f t="shared" si="0"/>
        <v>-0.98594597651872329</v>
      </c>
      <c r="E47" s="138"/>
      <c r="F47" s="138"/>
      <c r="G47" s="138"/>
      <c r="H47" s="138"/>
      <c r="I47" s="138"/>
      <c r="J47" s="138"/>
      <c r="L47" s="742" t="s">
        <v>99</v>
      </c>
      <c r="M47" s="741">
        <v>66.276679999999999</v>
      </c>
      <c r="N47" s="741">
        <v>8.7609200000000005</v>
      </c>
      <c r="O47" s="703"/>
    </row>
    <row r="48" spans="1:15" ht="14.4" customHeight="1">
      <c r="A48" s="736" t="s">
        <v>421</v>
      </c>
      <c r="B48" s="377">
        <v>3.4058999999999999</v>
      </c>
      <c r="C48" s="377">
        <v>6.6226699999999994</v>
      </c>
      <c r="D48" s="378">
        <f t="shared" si="0"/>
        <v>-0.48572101584406291</v>
      </c>
      <c r="E48" s="138"/>
      <c r="F48" s="138"/>
      <c r="G48" s="138"/>
      <c r="H48" s="138"/>
      <c r="I48" s="138"/>
      <c r="J48" s="138"/>
      <c r="L48" s="742" t="s">
        <v>93</v>
      </c>
      <c r="M48" s="741">
        <v>79.336179999999999</v>
      </c>
      <c r="N48" s="741">
        <v>145.34241</v>
      </c>
      <c r="O48" s="703"/>
    </row>
    <row r="49" spans="1:15" ht="11.25" customHeight="1">
      <c r="A49" s="527" t="s">
        <v>116</v>
      </c>
      <c r="B49" s="380">
        <v>3.2</v>
      </c>
      <c r="C49" s="380">
        <v>0</v>
      </c>
      <c r="D49" s="381" t="str">
        <f t="shared" si="0"/>
        <v/>
      </c>
      <c r="E49" s="138"/>
      <c r="F49" s="138"/>
      <c r="G49" s="138"/>
      <c r="H49" s="138"/>
      <c r="I49" s="138"/>
      <c r="J49" s="138"/>
      <c r="L49" s="742" t="s">
        <v>430</v>
      </c>
      <c r="M49" s="741">
        <v>81.578920000000011</v>
      </c>
      <c r="N49" s="741">
        <v>90.351039999999998</v>
      </c>
      <c r="O49" s="703"/>
    </row>
    <row r="50" spans="1:15" ht="12" customHeight="1">
      <c r="A50" s="736" t="s">
        <v>115</v>
      </c>
      <c r="B50" s="377">
        <v>2.51207</v>
      </c>
      <c r="C50" s="377">
        <v>2.73665</v>
      </c>
      <c r="D50" s="378">
        <f t="shared" si="0"/>
        <v>-8.2063837173186216E-2</v>
      </c>
      <c r="E50" s="138"/>
      <c r="F50" s="138"/>
      <c r="G50" s="138"/>
      <c r="H50" s="138"/>
      <c r="I50" s="138"/>
      <c r="J50" s="138"/>
      <c r="L50" s="742" t="s">
        <v>95</v>
      </c>
      <c r="M50" s="741">
        <v>89.7654</v>
      </c>
      <c r="N50" s="741">
        <v>108.25024999999999</v>
      </c>
      <c r="O50" s="703"/>
    </row>
    <row r="51" spans="1:15" ht="9.75" customHeight="1">
      <c r="A51" s="527" t="s">
        <v>114</v>
      </c>
      <c r="B51" s="380">
        <v>1.67876</v>
      </c>
      <c r="C51" s="380">
        <v>1.7013199999999999</v>
      </c>
      <c r="D51" s="381">
        <f t="shared" si="0"/>
        <v>-1.326029200855805E-2</v>
      </c>
      <c r="E51" s="138"/>
      <c r="F51" s="138"/>
      <c r="G51" s="138"/>
      <c r="H51" s="138"/>
      <c r="I51" s="138"/>
      <c r="J51" s="138"/>
      <c r="L51" s="742" t="s">
        <v>96</v>
      </c>
      <c r="M51" s="741">
        <v>90.948629999999994</v>
      </c>
      <c r="N51" s="741">
        <v>89.428550000000001</v>
      </c>
      <c r="O51" s="703"/>
    </row>
    <row r="52" spans="1:15" ht="9.75" customHeight="1">
      <c r="A52" s="376" t="s">
        <v>117</v>
      </c>
      <c r="B52" s="377">
        <v>1.2976700000000001</v>
      </c>
      <c r="C52" s="377">
        <v>2.6952499999999997</v>
      </c>
      <c r="D52" s="378">
        <f t="shared" si="0"/>
        <v>-0.51853445877005833</v>
      </c>
      <c r="E52" s="138"/>
      <c r="F52" s="138"/>
      <c r="G52" s="138"/>
      <c r="H52" s="138"/>
      <c r="I52" s="138"/>
      <c r="J52" s="138"/>
      <c r="L52" s="742" t="s">
        <v>238</v>
      </c>
      <c r="M52" s="741">
        <v>91.335949999999997</v>
      </c>
      <c r="N52" s="741">
        <v>72.402080000000012</v>
      </c>
      <c r="O52" s="703"/>
    </row>
    <row r="53" spans="1:15" ht="9.75" customHeight="1">
      <c r="A53" s="379" t="s">
        <v>453</v>
      </c>
      <c r="B53" s="380">
        <v>0.92884999999999995</v>
      </c>
      <c r="C53" s="380">
        <v>1.1189800000000001</v>
      </c>
      <c r="D53" s="381">
        <f t="shared" si="0"/>
        <v>-0.16991367137929192</v>
      </c>
      <c r="E53" s="138"/>
      <c r="F53" s="138"/>
      <c r="G53" s="138"/>
      <c r="H53" s="138"/>
      <c r="I53" s="138"/>
      <c r="J53" s="138"/>
      <c r="L53" s="742" t="s">
        <v>97</v>
      </c>
      <c r="M53" s="741">
        <v>91.851380000000006</v>
      </c>
      <c r="N53" s="741">
        <v>21.015439999999998</v>
      </c>
      <c r="O53" s="703"/>
    </row>
    <row r="54" spans="1:15" ht="9.75" customHeight="1">
      <c r="A54" s="376" t="s">
        <v>236</v>
      </c>
      <c r="B54" s="377">
        <v>0</v>
      </c>
      <c r="C54" s="377">
        <v>0</v>
      </c>
      <c r="D54" s="378" t="str">
        <f t="shared" si="0"/>
        <v/>
      </c>
      <c r="E54" s="138"/>
      <c r="F54" s="138"/>
      <c r="G54" s="138"/>
      <c r="H54" s="138"/>
      <c r="I54" s="138"/>
      <c r="J54" s="138"/>
      <c r="L54" s="742" t="s">
        <v>105</v>
      </c>
      <c r="M54" s="741">
        <v>122.34397</v>
      </c>
      <c r="N54" s="741">
        <v>75.367959999999997</v>
      </c>
      <c r="O54" s="703"/>
    </row>
    <row r="55" spans="1:15" ht="9.75" customHeight="1">
      <c r="A55" s="379" t="s">
        <v>111</v>
      </c>
      <c r="B55" s="380">
        <v>0</v>
      </c>
      <c r="C55" s="380">
        <v>0</v>
      </c>
      <c r="D55" s="381" t="str">
        <f t="shared" si="0"/>
        <v/>
      </c>
      <c r="E55" s="138"/>
      <c r="F55" s="138"/>
      <c r="G55" s="138"/>
      <c r="H55" s="138"/>
      <c r="I55" s="138"/>
      <c r="J55" s="138"/>
      <c r="L55" s="742" t="s">
        <v>94</v>
      </c>
      <c r="M55" s="741">
        <v>135.08025000000001</v>
      </c>
      <c r="N55" s="741">
        <v>187.66856999999999</v>
      </c>
      <c r="O55" s="703"/>
    </row>
    <row r="56" spans="1:15" ht="9.75" customHeight="1">
      <c r="A56" s="376" t="s">
        <v>112</v>
      </c>
      <c r="B56" s="377">
        <v>0</v>
      </c>
      <c r="C56" s="377">
        <v>0</v>
      </c>
      <c r="D56" s="378" t="str">
        <f t="shared" si="0"/>
        <v/>
      </c>
      <c r="E56" s="138"/>
      <c r="F56" s="138"/>
      <c r="G56" s="138"/>
      <c r="H56" s="138"/>
      <c r="I56" s="138"/>
      <c r="J56" s="138"/>
      <c r="L56" s="742" t="s">
        <v>92</v>
      </c>
      <c r="M56" s="741">
        <v>153.53910999999999</v>
      </c>
      <c r="N56" s="741">
        <v>166.66448</v>
      </c>
      <c r="O56" s="703"/>
    </row>
    <row r="57" spans="1:15" ht="9.75" customHeight="1">
      <c r="A57" s="379" t="s">
        <v>412</v>
      </c>
      <c r="B57" s="380">
        <v>0</v>
      </c>
      <c r="C57" s="380">
        <v>0.56000000000000005</v>
      </c>
      <c r="D57" s="381">
        <f t="shared" si="0"/>
        <v>-1</v>
      </c>
      <c r="E57" s="138"/>
      <c r="F57" s="138"/>
      <c r="G57" s="138"/>
      <c r="H57" s="138"/>
      <c r="I57" s="138"/>
      <c r="J57" s="138"/>
      <c r="L57" s="742" t="s">
        <v>91</v>
      </c>
      <c r="M57" s="741">
        <v>169.58043000000001</v>
      </c>
      <c r="N57" s="741">
        <v>150.49536000000001</v>
      </c>
      <c r="O57" s="703"/>
    </row>
    <row r="58" spans="1:15" ht="9.75" customHeight="1">
      <c r="A58" s="376" t="s">
        <v>118</v>
      </c>
      <c r="B58" s="377">
        <v>0</v>
      </c>
      <c r="C58" s="377">
        <v>0</v>
      </c>
      <c r="D58" s="378" t="str">
        <f t="shared" si="0"/>
        <v/>
      </c>
      <c r="E58" s="138"/>
      <c r="F58" s="138"/>
      <c r="G58" s="138"/>
      <c r="H58" s="138"/>
      <c r="I58" s="138"/>
      <c r="J58" s="138"/>
      <c r="L58" s="742" t="s">
        <v>90</v>
      </c>
      <c r="M58" s="741">
        <v>228.69901999999996</v>
      </c>
      <c r="N58" s="741">
        <v>320.75953999999996</v>
      </c>
      <c r="O58" s="703"/>
    </row>
    <row r="59" spans="1:15" ht="9.75" customHeight="1">
      <c r="A59" s="360" t="s">
        <v>110</v>
      </c>
      <c r="B59" s="361">
        <v>0</v>
      </c>
      <c r="C59" s="361">
        <v>0</v>
      </c>
      <c r="D59" s="381" t="str">
        <f t="shared" si="0"/>
        <v/>
      </c>
      <c r="E59" s="138"/>
      <c r="F59" s="138"/>
      <c r="G59" s="138"/>
      <c r="H59" s="138"/>
      <c r="I59" s="138"/>
      <c r="J59" s="138"/>
      <c r="L59" s="742" t="s">
        <v>241</v>
      </c>
      <c r="M59" s="741">
        <v>262.06700000000001</v>
      </c>
      <c r="N59" s="741">
        <v>333.50994000000003</v>
      </c>
      <c r="O59" s="703"/>
    </row>
    <row r="60" spans="1:15" ht="9.75" customHeight="1">
      <c r="A60" s="382" t="s">
        <v>107</v>
      </c>
      <c r="B60" s="383">
        <v>0</v>
      </c>
      <c r="C60" s="383">
        <v>0</v>
      </c>
      <c r="D60" s="384" t="str">
        <f t="shared" si="0"/>
        <v/>
      </c>
      <c r="E60" s="138"/>
      <c r="F60" s="138"/>
      <c r="G60" s="138"/>
      <c r="H60" s="138"/>
      <c r="I60" s="138"/>
      <c r="J60" s="138"/>
      <c r="L60" s="742" t="s">
        <v>100</v>
      </c>
      <c r="M60" s="741">
        <v>293.69004000000001</v>
      </c>
      <c r="N60" s="741">
        <v>0</v>
      </c>
      <c r="O60" s="703"/>
    </row>
    <row r="61" spans="1:15" ht="9.75" customHeight="1">
      <c r="A61" s="360" t="s">
        <v>243</v>
      </c>
      <c r="B61" s="361">
        <v>0</v>
      </c>
      <c r="C61" s="361">
        <v>0</v>
      </c>
      <c r="D61" s="372" t="str">
        <f t="shared" si="0"/>
        <v/>
      </c>
      <c r="E61" s="138"/>
      <c r="F61" s="138"/>
      <c r="G61" s="138"/>
      <c r="H61" s="138"/>
      <c r="I61" s="138"/>
      <c r="J61" s="138"/>
      <c r="L61" s="742" t="s">
        <v>239</v>
      </c>
      <c r="M61" s="741">
        <v>553.77355999999997</v>
      </c>
      <c r="N61" s="741">
        <v>271.5471</v>
      </c>
      <c r="O61" s="703"/>
    </row>
    <row r="62" spans="1:15" ht="9.75" customHeight="1">
      <c r="A62" s="382" t="s">
        <v>104</v>
      </c>
      <c r="B62" s="383">
        <v>0</v>
      </c>
      <c r="C62" s="383">
        <v>10.399929999999999</v>
      </c>
      <c r="D62" s="384">
        <f t="shared" si="0"/>
        <v>-1</v>
      </c>
      <c r="E62" s="138"/>
      <c r="F62" s="138"/>
      <c r="G62" s="138"/>
      <c r="H62" s="138"/>
      <c r="I62" s="138"/>
      <c r="J62" s="138"/>
      <c r="L62" s="742" t="s">
        <v>89</v>
      </c>
      <c r="M62" s="741">
        <v>739.39296000000013</v>
      </c>
      <c r="N62" s="741">
        <v>865.3152</v>
      </c>
      <c r="O62" s="703"/>
    </row>
    <row r="63" spans="1:15" s="725" customFormat="1" ht="9.75" customHeight="1">
      <c r="A63" s="360" t="s">
        <v>244</v>
      </c>
      <c r="B63" s="361">
        <v>0</v>
      </c>
      <c r="C63" s="361">
        <v>0</v>
      </c>
      <c r="D63" s="372" t="str">
        <f t="shared" si="0"/>
        <v/>
      </c>
      <c r="E63" s="138"/>
      <c r="F63" s="138"/>
      <c r="G63" s="138"/>
      <c r="H63" s="138"/>
      <c r="I63" s="138"/>
      <c r="J63" s="138"/>
      <c r="L63" s="742" t="s">
        <v>87</v>
      </c>
      <c r="M63" s="741">
        <v>942.70697999999993</v>
      </c>
      <c r="N63" s="741">
        <v>958.68518000000006</v>
      </c>
      <c r="O63" s="703"/>
    </row>
    <row r="64" spans="1:15" s="725" customFormat="1" ht="9.75" customHeight="1">
      <c r="A64" s="752" t="s">
        <v>102</v>
      </c>
      <c r="B64" s="754">
        <v>0</v>
      </c>
      <c r="C64" s="754">
        <v>27.40108</v>
      </c>
      <c r="D64" s="753"/>
      <c r="E64" s="138"/>
      <c r="F64" s="138"/>
      <c r="G64" s="138"/>
      <c r="H64" s="138"/>
      <c r="I64" s="138"/>
      <c r="J64" s="138"/>
      <c r="L64" s="742" t="s">
        <v>410</v>
      </c>
      <c r="M64" s="741">
        <v>1084.7106000000001</v>
      </c>
      <c r="N64" s="741">
        <v>1327.8401999999999</v>
      </c>
      <c r="O64" s="703"/>
    </row>
    <row r="65" spans="1:15" s="725" customFormat="1" ht="9.75" customHeight="1">
      <c r="A65" s="837" t="s">
        <v>109</v>
      </c>
      <c r="B65" s="832">
        <v>0</v>
      </c>
      <c r="C65" s="832">
        <v>0</v>
      </c>
      <c r="D65" s="831"/>
      <c r="E65" s="138"/>
      <c r="F65" s="138"/>
      <c r="G65" s="138"/>
      <c r="H65" s="138"/>
      <c r="I65" s="138"/>
      <c r="J65" s="138"/>
      <c r="L65" s="742" t="s">
        <v>88</v>
      </c>
      <c r="M65" s="741">
        <v>1152.1727899999998</v>
      </c>
      <c r="N65" s="741">
        <v>810.89432999999997</v>
      </c>
      <c r="O65" s="703"/>
    </row>
    <row r="66" spans="1:15" ht="9.75" customHeight="1">
      <c r="A66" s="362" t="s">
        <v>42</v>
      </c>
      <c r="B66" s="614">
        <f>SUM(B7:B65)</f>
        <v>6836.6023299999997</v>
      </c>
      <c r="C66" s="614">
        <f>SUM(C7:C65)</f>
        <v>6887.5677399999977</v>
      </c>
      <c r="D66" s="363">
        <f>IF(C66=0,"",B66/C66-1)</f>
        <v>-7.3996237748796823E-3</v>
      </c>
      <c r="E66" s="138"/>
      <c r="F66" s="138"/>
      <c r="G66" s="138"/>
      <c r="H66" s="138"/>
      <c r="I66" s="138"/>
      <c r="J66" s="138"/>
      <c r="L66" s="742"/>
      <c r="M66" s="743"/>
      <c r="N66" s="743"/>
      <c r="O66" s="703"/>
    </row>
    <row r="67" spans="1:15" ht="31.2" customHeight="1">
      <c r="A67" s="933" t="str">
        <f>"Cuadro N° 8: Participación de las empresas generadoras del COES en la máxima potencia coincidente (MW) en "&amp;'1. Resumen'!Q4</f>
        <v>Cuadro N° 8: Participación de las empresas generadoras del COES en la máxima potencia coincidente (MW) en noviembre</v>
      </c>
      <c r="B67" s="933"/>
      <c r="C67" s="933"/>
      <c r="D67" s="933"/>
      <c r="E67" s="132"/>
      <c r="F67" s="933" t="str">
        <f>"Gráfico N° 12: Comparación de la máxima potencia coincidente  (MW) de las empresas generadoras del COES en "&amp;'1. Resumen'!Q4</f>
        <v>Gráfico N° 12: Comparación de la máxima potencia coincidente  (MW) de las empresas generadoras del COES en noviembre</v>
      </c>
      <c r="G67" s="933"/>
      <c r="H67" s="933"/>
      <c r="I67" s="933"/>
      <c r="J67" s="933"/>
      <c r="L67" s="742"/>
      <c r="M67" s="744"/>
      <c r="N67" s="744"/>
    </row>
    <row r="68" spans="1:15">
      <c r="A68" s="946"/>
      <c r="B68" s="946"/>
      <c r="C68" s="946"/>
      <c r="D68" s="946"/>
      <c r="E68" s="946"/>
      <c r="F68" s="946"/>
      <c r="G68" s="946"/>
      <c r="H68" s="946"/>
      <c r="I68" s="946"/>
      <c r="J68" s="946"/>
    </row>
    <row r="69" spans="1:15">
      <c r="A69" s="945"/>
      <c r="B69" s="945"/>
      <c r="C69" s="945"/>
      <c r="D69" s="945"/>
      <c r="E69" s="945"/>
      <c r="F69" s="945"/>
      <c r="G69" s="945"/>
      <c r="H69" s="945"/>
      <c r="I69" s="945"/>
      <c r="J69" s="945"/>
    </row>
  </sheetData>
  <mergeCells count="9">
    <mergeCell ref="A69:J69"/>
    <mergeCell ref="A68:J68"/>
    <mergeCell ref="A67:D67"/>
    <mergeCell ref="F67:J67"/>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Mensual-Noviembre 2020
INFSGI-MES-11-2020
14/12/2020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topLeftCell="A40" zoomScaleNormal="100" zoomScaleSheetLayoutView="100" zoomScalePageLayoutView="130" workbookViewId="0">
      <selection activeCell="T44" sqref="T44"/>
    </sheetView>
  </sheetViews>
  <sheetFormatPr baseColWidth="10" defaultColWidth="9.28515625" defaultRowHeight="10.199999999999999"/>
  <cols>
    <col min="1" max="1" width="7.7109375" style="46" customWidth="1"/>
    <col min="2" max="2" width="9.85546875" style="46" customWidth="1"/>
    <col min="3" max="3" width="29.7109375" style="46" customWidth="1"/>
    <col min="4" max="5" width="12.7109375" style="46" customWidth="1"/>
    <col min="6" max="6" width="12.140625" style="46" customWidth="1"/>
    <col min="7" max="8" width="9.28515625" style="46"/>
    <col min="9" max="9" width="9.28515625" style="46" customWidth="1"/>
    <col min="10" max="11" width="9.28515625" style="307" customWidth="1"/>
    <col min="12" max="31" width="9.28515625" style="307"/>
    <col min="32" max="16384" width="9.28515625" style="46"/>
  </cols>
  <sheetData>
    <row r="1" spans="1:38" ht="11.25" customHeight="1"/>
    <row r="2" spans="1:38" ht="17.25" customHeight="1">
      <c r="A2" s="937" t="s">
        <v>252</v>
      </c>
      <c r="B2" s="937"/>
      <c r="C2" s="937"/>
      <c r="D2" s="937"/>
      <c r="E2" s="937"/>
      <c r="F2" s="937"/>
      <c r="G2" s="937"/>
      <c r="H2" s="937"/>
    </row>
    <row r="3" spans="1:38" ht="11.25" customHeight="1">
      <c r="A3" s="77"/>
      <c r="B3" s="77"/>
      <c r="C3" s="77"/>
      <c r="D3" s="77"/>
      <c r="E3" s="77"/>
      <c r="F3" s="82"/>
      <c r="G3" s="82"/>
      <c r="H3" s="82"/>
      <c r="I3" s="36"/>
      <c r="J3" s="316"/>
    </row>
    <row r="4" spans="1:38" ht="15.75" customHeight="1">
      <c r="A4" s="955" t="s">
        <v>441</v>
      </c>
      <c r="B4" s="955"/>
      <c r="C4" s="955"/>
      <c r="D4" s="955"/>
      <c r="E4" s="955"/>
      <c r="F4" s="955"/>
      <c r="G4" s="955"/>
      <c r="H4" s="955"/>
      <c r="I4" s="36"/>
      <c r="J4" s="316"/>
    </row>
    <row r="5" spans="1:38" ht="11.25" customHeight="1">
      <c r="A5" s="77"/>
      <c r="B5" s="164"/>
      <c r="C5" s="79"/>
      <c r="D5" s="79"/>
      <c r="E5" s="80"/>
      <c r="F5" s="76"/>
      <c r="G5" s="76"/>
      <c r="H5" s="81"/>
      <c r="I5" s="165"/>
      <c r="J5" s="317"/>
    </row>
    <row r="6" spans="1:38" ht="42.75" customHeight="1">
      <c r="A6" s="77"/>
      <c r="C6" s="479" t="s">
        <v>124</v>
      </c>
      <c r="D6" s="480" t="s">
        <v>763</v>
      </c>
      <c r="E6" s="480" t="s">
        <v>764</v>
      </c>
      <c r="F6" s="481" t="s">
        <v>125</v>
      </c>
      <c r="G6" s="169"/>
      <c r="H6" s="170"/>
    </row>
    <row r="7" spans="1:38" ht="11.25" customHeight="1">
      <c r="A7" s="77"/>
      <c r="C7" s="529" t="s">
        <v>126</v>
      </c>
      <c r="D7" s="530">
        <v>22.833000183105401</v>
      </c>
      <c r="E7" s="759">
        <v>22.347930000000002</v>
      </c>
      <c r="F7" s="531">
        <f>IF(E7=0,"",(D7-E7)/E7)</f>
        <v>2.1705374193735152E-2</v>
      </c>
      <c r="G7" s="137"/>
      <c r="H7" s="268"/>
    </row>
    <row r="8" spans="1:38" ht="11.25" customHeight="1">
      <c r="A8" s="77"/>
      <c r="C8" s="532" t="s">
        <v>127</v>
      </c>
      <c r="D8" s="533">
        <v>83.934997558593693</v>
      </c>
      <c r="E8" s="534">
        <v>86.469229999999996</v>
      </c>
      <c r="F8" s="535">
        <f t="shared" ref="F8:F20" si="0">IF(E8=0,"",(D8-E8)/E8)</f>
        <v>-2.9307910356161412E-2</v>
      </c>
      <c r="G8" s="137"/>
      <c r="H8" s="268"/>
    </row>
    <row r="9" spans="1:38" ht="11.25" customHeight="1">
      <c r="A9" s="77"/>
      <c r="C9" s="536" t="s">
        <v>128</v>
      </c>
      <c r="D9" s="537">
        <v>57.340999603271399</v>
      </c>
      <c r="E9" s="538">
        <v>75.240799999999993</v>
      </c>
      <c r="F9" s="539">
        <f t="shared" si="0"/>
        <v>-0.23790018708903407</v>
      </c>
      <c r="G9" s="137"/>
      <c r="H9" s="268"/>
      <c r="M9" s="318" t="s">
        <v>258</v>
      </c>
      <c r="N9" s="319"/>
      <c r="O9" s="319"/>
      <c r="P9" s="319"/>
      <c r="Q9" s="319"/>
      <c r="R9" s="319"/>
      <c r="S9" s="319"/>
      <c r="T9" s="319"/>
      <c r="U9" s="319"/>
      <c r="V9" s="319"/>
      <c r="W9" s="319"/>
      <c r="X9" s="319"/>
      <c r="Y9" s="319"/>
      <c r="Z9" s="319"/>
      <c r="AA9" s="319"/>
      <c r="AB9" s="319"/>
      <c r="AC9" s="319"/>
      <c r="AD9" s="319"/>
      <c r="AE9" s="319"/>
      <c r="AF9" s="216"/>
      <c r="AG9" s="216"/>
      <c r="AH9" s="216"/>
      <c r="AI9" s="216"/>
      <c r="AJ9" s="216"/>
      <c r="AK9" s="216"/>
      <c r="AL9" s="216"/>
    </row>
    <row r="10" spans="1:38" ht="11.25" customHeight="1">
      <c r="A10" s="77"/>
      <c r="C10" s="532" t="s">
        <v>129</v>
      </c>
      <c r="D10" s="533">
        <v>33.057998657226499</v>
      </c>
      <c r="E10" s="534">
        <v>48.296669999999999</v>
      </c>
      <c r="F10" s="535">
        <f t="shared" si="0"/>
        <v>-0.31552219527295566</v>
      </c>
      <c r="G10" s="137"/>
      <c r="H10" s="268"/>
      <c r="M10" s="318" t="s">
        <v>259</v>
      </c>
      <c r="N10" s="319"/>
      <c r="O10" s="319"/>
      <c r="P10" s="319"/>
      <c r="Q10" s="319"/>
      <c r="R10" s="319"/>
      <c r="S10" s="319"/>
      <c r="T10" s="319"/>
      <c r="AD10" s="319"/>
      <c r="AE10" s="319"/>
      <c r="AF10" s="216"/>
      <c r="AG10" s="216"/>
      <c r="AH10" s="216"/>
      <c r="AI10" s="216"/>
      <c r="AJ10" s="216"/>
      <c r="AK10" s="216"/>
      <c r="AL10" s="216"/>
    </row>
    <row r="11" spans="1:38" ht="11.25" customHeight="1">
      <c r="A11" s="77"/>
      <c r="C11" s="536" t="s">
        <v>130</v>
      </c>
      <c r="D11" s="537">
        <v>11.9820003509521</v>
      </c>
      <c r="E11" s="538">
        <v>1.591696</v>
      </c>
      <c r="F11" s="539">
        <f>IF(E11=0,"",(D11-E11)/E11)</f>
        <v>6.5278196030850735</v>
      </c>
      <c r="G11" s="137"/>
      <c r="H11" s="268"/>
      <c r="M11" s="319"/>
      <c r="N11" s="320">
        <v>2017</v>
      </c>
      <c r="O11" s="320">
        <v>2018</v>
      </c>
      <c r="P11" s="320">
        <v>2019</v>
      </c>
      <c r="Q11" s="320">
        <v>2020</v>
      </c>
      <c r="R11" s="319"/>
      <c r="S11" s="319"/>
      <c r="T11" s="319"/>
      <c r="AD11" s="319"/>
      <c r="AE11" s="319"/>
      <c r="AF11" s="216"/>
      <c r="AG11" s="216"/>
      <c r="AH11" s="216"/>
      <c r="AI11" s="216"/>
      <c r="AJ11" s="216"/>
      <c r="AK11" s="216"/>
      <c r="AL11" s="216"/>
    </row>
    <row r="12" spans="1:38" ht="11.25" customHeight="1">
      <c r="A12" s="77"/>
      <c r="C12" s="532" t="s">
        <v>131</v>
      </c>
      <c r="D12" s="533">
        <v>7.25</v>
      </c>
      <c r="E12" s="534">
        <v>2.2693099999999999</v>
      </c>
      <c r="F12" s="535">
        <f t="shared" si="0"/>
        <v>2.1948037068536252</v>
      </c>
      <c r="G12" s="137"/>
      <c r="H12" s="268"/>
      <c r="M12" s="321">
        <v>1</v>
      </c>
      <c r="N12" s="322">
        <v>93.1</v>
      </c>
      <c r="O12" s="322">
        <v>104.46</v>
      </c>
      <c r="P12" s="322">
        <v>117.2900009</v>
      </c>
      <c r="Q12" s="552">
        <v>117.290000915527</v>
      </c>
      <c r="R12" s="319"/>
      <c r="S12" s="319"/>
      <c r="T12" s="319"/>
      <c r="AD12" s="319"/>
      <c r="AE12" s="319"/>
      <c r="AF12" s="216"/>
      <c r="AG12" s="216"/>
      <c r="AH12" s="216"/>
      <c r="AI12" s="216"/>
      <c r="AJ12" s="216"/>
      <c r="AK12" s="216"/>
      <c r="AL12" s="216"/>
    </row>
    <row r="13" spans="1:38" ht="11.25" customHeight="1">
      <c r="A13" s="77"/>
      <c r="C13" s="536" t="s">
        <v>132</v>
      </c>
      <c r="D13" s="537">
        <v>37.450000762939403</v>
      </c>
      <c r="E13" s="538">
        <v>62.508330000000001</v>
      </c>
      <c r="F13" s="539">
        <f t="shared" si="0"/>
        <v>-0.4008798385280905</v>
      </c>
      <c r="G13" s="137"/>
      <c r="H13" s="268"/>
      <c r="M13" s="321">
        <v>2</v>
      </c>
      <c r="N13" s="322">
        <v>93.1</v>
      </c>
      <c r="O13" s="322">
        <v>103.4720001</v>
      </c>
      <c r="P13" s="322">
        <v>116.0110016</v>
      </c>
      <c r="Q13" s="552">
        <v>146.93600459999999</v>
      </c>
      <c r="R13" s="319"/>
      <c r="S13" s="319"/>
      <c r="T13" s="319"/>
      <c r="AD13" s="319"/>
      <c r="AE13" s="319"/>
      <c r="AF13" s="216"/>
      <c r="AG13" s="216"/>
      <c r="AH13" s="216"/>
      <c r="AI13" s="216"/>
      <c r="AJ13" s="216"/>
      <c r="AK13" s="216"/>
      <c r="AL13" s="216"/>
    </row>
    <row r="14" spans="1:38" ht="11.25" customHeight="1">
      <c r="A14" s="77"/>
      <c r="C14" s="532" t="s">
        <v>133</v>
      </c>
      <c r="D14" s="533">
        <v>241.88600158691401</v>
      </c>
      <c r="E14" s="534">
        <v>211.434</v>
      </c>
      <c r="F14" s="535">
        <f t="shared" si="0"/>
        <v>0.14402603926953095</v>
      </c>
      <c r="G14" s="137"/>
      <c r="H14" s="268"/>
      <c r="M14" s="321">
        <v>3</v>
      </c>
      <c r="N14" s="322">
        <v>98.74</v>
      </c>
      <c r="O14" s="322">
        <v>106.08699799999999</v>
      </c>
      <c r="P14" s="322">
        <v>117.6</v>
      </c>
      <c r="Q14" s="552">
        <v>149.93200680000001</v>
      </c>
      <c r="R14" s="319"/>
      <c r="S14" s="319"/>
      <c r="T14" s="319"/>
      <c r="AD14" s="319"/>
      <c r="AE14" s="319"/>
      <c r="AF14" s="216"/>
      <c r="AG14" s="216"/>
      <c r="AH14" s="216"/>
      <c r="AI14" s="216"/>
      <c r="AJ14" s="216"/>
      <c r="AK14" s="216"/>
      <c r="AL14" s="216"/>
    </row>
    <row r="15" spans="1:38" ht="11.25" customHeight="1">
      <c r="A15" s="77"/>
      <c r="C15" s="536" t="s">
        <v>134</v>
      </c>
      <c r="D15" s="537">
        <v>5.2740001678466797</v>
      </c>
      <c r="E15" s="538">
        <v>8.7936669999999992</v>
      </c>
      <c r="F15" s="539">
        <f t="shared" si="0"/>
        <v>-0.40025018370076099</v>
      </c>
      <c r="G15" s="137"/>
      <c r="H15" s="268"/>
      <c r="M15" s="321">
        <v>4</v>
      </c>
      <c r="N15" s="322">
        <v>98.74</v>
      </c>
      <c r="O15" s="322">
        <v>112.7200012</v>
      </c>
      <c r="P15" s="322">
        <v>128.32000729999999</v>
      </c>
      <c r="Q15" s="552">
        <v>152.6190033</v>
      </c>
      <c r="R15" s="319"/>
      <c r="S15" s="319"/>
      <c r="T15" s="319"/>
      <c r="AD15" s="319"/>
      <c r="AE15" s="319"/>
      <c r="AF15" s="216"/>
      <c r="AG15" s="216"/>
      <c r="AH15" s="216"/>
      <c r="AI15" s="216"/>
      <c r="AJ15" s="216"/>
      <c r="AK15" s="216"/>
      <c r="AL15" s="216"/>
    </row>
    <row r="16" spans="1:38" ht="11.25" customHeight="1">
      <c r="A16" s="77"/>
      <c r="C16" s="532" t="s">
        <v>135</v>
      </c>
      <c r="D16" s="533">
        <v>39.161998748779297</v>
      </c>
      <c r="E16" s="534">
        <v>27.209969999999998</v>
      </c>
      <c r="F16" s="535">
        <f t="shared" si="0"/>
        <v>0.43925181647680239</v>
      </c>
      <c r="G16" s="137"/>
      <c r="H16" s="268"/>
      <c r="M16" s="321">
        <v>5</v>
      </c>
      <c r="N16" s="322">
        <v>125.15</v>
      </c>
      <c r="O16" s="322">
        <v>122.3190002</v>
      </c>
      <c r="P16" s="322">
        <v>139.2400055</v>
      </c>
      <c r="Q16" s="552">
        <v>162.19599909999999</v>
      </c>
      <c r="R16" s="319"/>
      <c r="S16" s="319"/>
      <c r="T16" s="319"/>
      <c r="AD16" s="319"/>
      <c r="AE16" s="319"/>
      <c r="AF16" s="216"/>
      <c r="AG16" s="216"/>
      <c r="AH16" s="216"/>
      <c r="AI16" s="216"/>
      <c r="AJ16" s="216"/>
      <c r="AK16" s="216"/>
      <c r="AL16" s="216"/>
    </row>
    <row r="17" spans="1:38" ht="11.25" customHeight="1">
      <c r="A17" s="77"/>
      <c r="C17" s="536" t="s">
        <v>136</v>
      </c>
      <c r="D17" s="537">
        <v>15.069999694824199</v>
      </c>
      <c r="E17" s="538">
        <v>116.9593</v>
      </c>
      <c r="F17" s="539">
        <f t="shared" si="0"/>
        <v>-0.87115176223845214</v>
      </c>
      <c r="G17" s="137"/>
      <c r="H17" s="268"/>
      <c r="M17" s="321">
        <v>6</v>
      </c>
      <c r="N17" s="322">
        <v>125.15</v>
      </c>
      <c r="O17" s="322">
        <v>126.1559982</v>
      </c>
      <c r="P17" s="322">
        <v>150.94</v>
      </c>
      <c r="Q17" s="552">
        <v>168.51100158691401</v>
      </c>
      <c r="R17" s="319"/>
      <c r="S17" s="319"/>
      <c r="T17" s="319"/>
      <c r="AD17" s="319"/>
      <c r="AE17" s="319"/>
      <c r="AF17" s="216"/>
      <c r="AG17" s="216"/>
      <c r="AH17" s="216"/>
      <c r="AI17" s="216"/>
      <c r="AJ17" s="216"/>
      <c r="AK17" s="216"/>
      <c r="AL17" s="216"/>
    </row>
    <row r="18" spans="1:38" ht="11.25" customHeight="1">
      <c r="A18" s="77"/>
      <c r="C18" s="532" t="s">
        <v>137</v>
      </c>
      <c r="D18" s="533">
        <v>1.1009999513626101</v>
      </c>
      <c r="E18" s="534">
        <v>0.51503299999999996</v>
      </c>
      <c r="F18" s="535">
        <f t="shared" si="0"/>
        <v>1.1377270026631501</v>
      </c>
      <c r="G18" s="137"/>
      <c r="H18" s="268"/>
      <c r="M18" s="321">
        <v>7</v>
      </c>
      <c r="N18" s="322">
        <v>142.99</v>
      </c>
      <c r="O18" s="322">
        <v>142.9900055</v>
      </c>
      <c r="P18" s="322">
        <v>162.4909973</v>
      </c>
      <c r="Q18" s="552">
        <v>175.46800229999999</v>
      </c>
      <c r="R18" s="319"/>
      <c r="S18" s="319"/>
      <c r="T18" s="319"/>
      <c r="AD18" s="319"/>
      <c r="AE18" s="319"/>
      <c r="AF18" s="216"/>
      <c r="AG18" s="216"/>
      <c r="AH18" s="216"/>
      <c r="AI18" s="216"/>
      <c r="AJ18" s="216"/>
      <c r="AK18" s="216"/>
      <c r="AL18" s="216"/>
    </row>
    <row r="19" spans="1:38" ht="12.75" customHeight="1">
      <c r="A19" s="77"/>
      <c r="C19" s="536" t="s">
        <v>138</v>
      </c>
      <c r="D19" s="537">
        <v>11.2419996261596</v>
      </c>
      <c r="E19" s="538">
        <v>31.6539</v>
      </c>
      <c r="F19" s="539">
        <f t="shared" si="0"/>
        <v>-0.6448463024726937</v>
      </c>
      <c r="G19" s="137"/>
      <c r="H19" s="268"/>
      <c r="M19" s="321">
        <v>8</v>
      </c>
      <c r="N19" s="322">
        <v>142.99</v>
      </c>
      <c r="O19" s="322">
        <v>134.13600159999999</v>
      </c>
      <c r="P19" s="322">
        <v>169.03700259999999</v>
      </c>
      <c r="Q19" s="552">
        <v>188.82800292968699</v>
      </c>
      <c r="R19" s="319"/>
      <c r="S19" s="319"/>
      <c r="T19" s="319"/>
      <c r="AD19" s="319"/>
      <c r="AE19" s="319"/>
      <c r="AF19" s="216"/>
      <c r="AG19" s="216"/>
      <c r="AH19" s="216"/>
      <c r="AI19" s="216"/>
      <c r="AJ19" s="216"/>
      <c r="AK19" s="216"/>
      <c r="AL19" s="216"/>
    </row>
    <row r="20" spans="1:38" ht="13.5" customHeight="1">
      <c r="A20" s="77"/>
      <c r="C20" s="532" t="s">
        <v>139</v>
      </c>
      <c r="D20" s="533">
        <v>4.0910000801086399</v>
      </c>
      <c r="E20" s="534">
        <v>9.8262999999999998</v>
      </c>
      <c r="F20" s="535">
        <f t="shared" si="0"/>
        <v>-0.58366831054327262</v>
      </c>
      <c r="G20" s="137"/>
      <c r="H20" s="268"/>
      <c r="M20" s="321">
        <v>9</v>
      </c>
      <c r="N20" s="322">
        <v>159.53</v>
      </c>
      <c r="O20" s="322">
        <v>153.34500120000001</v>
      </c>
      <c r="P20" s="322">
        <v>182.64300539999999</v>
      </c>
      <c r="Q20" s="552">
        <v>196.47700499999999</v>
      </c>
      <c r="R20" s="319"/>
      <c r="S20" s="319"/>
      <c r="T20" s="319"/>
      <c r="AD20" s="319"/>
      <c r="AE20" s="319"/>
      <c r="AF20" s="216"/>
      <c r="AG20" s="216"/>
      <c r="AH20" s="216"/>
      <c r="AI20" s="216"/>
      <c r="AJ20" s="216"/>
      <c r="AK20" s="216"/>
      <c r="AL20" s="216"/>
    </row>
    <row r="21" spans="1:38" ht="11.25" customHeight="1">
      <c r="A21" s="77"/>
      <c r="C21" s="536" t="s">
        <v>140</v>
      </c>
      <c r="D21" s="537">
        <v>2.6449999809265101</v>
      </c>
      <c r="E21" s="538">
        <v>3.032</v>
      </c>
      <c r="F21" s="539">
        <f t="shared" ref="F21:F27" si="1">IF(E21=0,"",(D21-E21)/E21)</f>
        <v>-0.1276385287181695</v>
      </c>
      <c r="M21" s="321">
        <v>10</v>
      </c>
      <c r="N21" s="322">
        <v>159.53</v>
      </c>
      <c r="O21" s="322">
        <v>153.0590057</v>
      </c>
      <c r="P21" s="322">
        <v>190.99600219999999</v>
      </c>
      <c r="Q21" s="552">
        <v>199.98199460000001</v>
      </c>
      <c r="R21" s="319"/>
      <c r="S21" s="319"/>
      <c r="T21" s="319"/>
      <c r="AD21" s="319"/>
      <c r="AE21" s="319"/>
      <c r="AF21" s="216"/>
      <c r="AG21" s="216"/>
      <c r="AH21" s="216"/>
      <c r="AI21" s="216"/>
      <c r="AJ21" s="216"/>
      <c r="AK21" s="216"/>
      <c r="AL21" s="216"/>
    </row>
    <row r="22" spans="1:38" ht="11.25" customHeight="1">
      <c r="A22" s="77"/>
      <c r="C22" s="532" t="s">
        <v>141</v>
      </c>
      <c r="D22" s="533">
        <v>1.0390000343322701</v>
      </c>
      <c r="E22" s="534">
        <v>2.0048330000000001</v>
      </c>
      <c r="F22" s="535">
        <f t="shared" si="1"/>
        <v>-0.48175232833244963</v>
      </c>
      <c r="G22" s="137"/>
      <c r="H22" s="268"/>
      <c r="M22" s="321">
        <v>11</v>
      </c>
      <c r="N22" s="322">
        <v>184.94</v>
      </c>
      <c r="O22" s="322">
        <v>162.93200680000001</v>
      </c>
      <c r="P22" s="322">
        <v>200.89500427246</v>
      </c>
      <c r="Q22" s="357">
        <v>200.89500430000001</v>
      </c>
      <c r="AF22" s="269"/>
      <c r="AG22" s="269"/>
      <c r="AH22" s="269"/>
      <c r="AI22" s="269"/>
      <c r="AJ22" s="269"/>
      <c r="AK22" s="269"/>
      <c r="AL22" s="269"/>
    </row>
    <row r="23" spans="1:38" ht="11.25" customHeight="1">
      <c r="A23" s="77"/>
      <c r="C23" s="536" t="s">
        <v>417</v>
      </c>
      <c r="D23" s="537">
        <v>5.5739998817443803</v>
      </c>
      <c r="E23" s="538">
        <v>0.19653300000000001</v>
      </c>
      <c r="F23" s="539">
        <f t="shared" si="1"/>
        <v>27.36164858697715</v>
      </c>
      <c r="G23" s="137"/>
      <c r="H23" s="268"/>
      <c r="M23" s="321">
        <v>12</v>
      </c>
      <c r="N23" s="322">
        <v>184.94</v>
      </c>
      <c r="O23" s="322">
        <v>172.76199339999999</v>
      </c>
      <c r="P23" s="322">
        <v>209.09500120000001</v>
      </c>
      <c r="Q23" s="357">
        <v>210.61200000000002</v>
      </c>
      <c r="AF23" s="269"/>
      <c r="AG23" s="269"/>
      <c r="AH23" s="269"/>
      <c r="AI23" s="269"/>
      <c r="AJ23" s="269"/>
      <c r="AK23" s="269"/>
      <c r="AL23" s="269"/>
    </row>
    <row r="24" spans="1:38" ht="11.25" customHeight="1">
      <c r="A24" s="77"/>
      <c r="C24" s="532" t="s">
        <v>142</v>
      </c>
      <c r="D24" s="534">
        <v>113.790000915527</v>
      </c>
      <c r="E24" s="534">
        <v>140.999</v>
      </c>
      <c r="F24" s="535">
        <f t="shared" si="1"/>
        <v>-0.19297299331536388</v>
      </c>
      <c r="G24" s="137"/>
      <c r="H24" s="268"/>
      <c r="M24" s="321">
        <v>13</v>
      </c>
      <c r="N24" s="322">
        <v>203.73</v>
      </c>
      <c r="O24" s="322">
        <v>182.13900760000001</v>
      </c>
      <c r="P24" s="322">
        <v>215.7310028</v>
      </c>
      <c r="Q24" s="357">
        <v>221.91900634765599</v>
      </c>
      <c r="AF24" s="269"/>
      <c r="AG24" s="269"/>
      <c r="AH24" s="269"/>
      <c r="AI24" s="269"/>
      <c r="AJ24" s="269"/>
      <c r="AK24" s="269"/>
      <c r="AL24" s="269"/>
    </row>
    <row r="25" spans="1:38" ht="11.25" customHeight="1">
      <c r="A25" s="77"/>
      <c r="C25" s="536" t="s">
        <v>143</v>
      </c>
      <c r="D25" s="538">
        <v>5.6999998092651296</v>
      </c>
      <c r="E25" s="538">
        <v>11.6</v>
      </c>
      <c r="F25" s="539">
        <f t="shared" si="1"/>
        <v>-0.50862070609783361</v>
      </c>
      <c r="G25" s="137"/>
      <c r="H25" s="268"/>
      <c r="M25" s="321">
        <v>14</v>
      </c>
      <c r="N25" s="322">
        <v>203.73</v>
      </c>
      <c r="O25" s="322">
        <v>191.4750061</v>
      </c>
      <c r="P25" s="322">
        <v>219.1710052</v>
      </c>
      <c r="Q25" s="357">
        <v>223.19599909999999</v>
      </c>
      <c r="AF25" s="269"/>
      <c r="AG25" s="269"/>
      <c r="AH25" s="269"/>
      <c r="AI25" s="269"/>
      <c r="AJ25" s="269"/>
      <c r="AK25" s="269"/>
      <c r="AL25" s="269"/>
    </row>
    <row r="26" spans="1:38" ht="11.25" customHeight="1">
      <c r="A26" s="77"/>
      <c r="C26" s="532" t="s">
        <v>144</v>
      </c>
      <c r="D26" s="534">
        <v>11.141999999999999</v>
      </c>
      <c r="E26" s="534">
        <v>12.631</v>
      </c>
      <c r="F26" s="535">
        <f t="shared" si="1"/>
        <v>-0.11788456970944508</v>
      </c>
      <c r="G26" s="137"/>
      <c r="H26" s="137"/>
      <c r="M26" s="321">
        <v>15</v>
      </c>
      <c r="N26" s="322">
        <v>203.73</v>
      </c>
      <c r="O26" s="322">
        <v>198.43899540000001</v>
      </c>
      <c r="P26" s="322">
        <v>220.17399599999999</v>
      </c>
      <c r="Q26" s="357">
        <v>225.0500031</v>
      </c>
      <c r="AF26" s="269"/>
      <c r="AG26" s="269"/>
      <c r="AH26" s="269"/>
      <c r="AI26" s="269"/>
      <c r="AJ26" s="269"/>
      <c r="AK26" s="269"/>
      <c r="AL26" s="269"/>
    </row>
    <row r="27" spans="1:38" ht="11.25" customHeight="1">
      <c r="A27" s="77"/>
      <c r="C27" s="536" t="s">
        <v>145</v>
      </c>
      <c r="D27" s="537">
        <v>67.564002990722599</v>
      </c>
      <c r="E27" s="538">
        <v>254.40170000000001</v>
      </c>
      <c r="F27" s="539">
        <f t="shared" si="1"/>
        <v>-0.7344200019468321</v>
      </c>
      <c r="G27" s="137"/>
      <c r="H27" s="137"/>
      <c r="M27" s="321">
        <v>16</v>
      </c>
      <c r="N27" s="322">
        <v>222.8</v>
      </c>
      <c r="O27" s="322">
        <v>201.52999879999999</v>
      </c>
      <c r="P27" s="322">
        <v>220.3150024</v>
      </c>
      <c r="Q27" s="357">
        <v>224.84800720000001</v>
      </c>
      <c r="AF27" s="269"/>
      <c r="AG27" s="269"/>
      <c r="AH27" s="269"/>
      <c r="AI27" s="269"/>
      <c r="AJ27" s="269"/>
      <c r="AK27" s="269"/>
      <c r="AL27" s="269"/>
    </row>
    <row r="28" spans="1:38" ht="26.25" customHeight="1">
      <c r="A28" s="77"/>
      <c r="C28" s="956" t="str">
        <f>"Cuadro N°9: Volumen útil de los principales embalses y lagunas del SEIN al término del periodo mensual ("&amp;'1. Resumen'!Q7&amp;" de "&amp;'1. Resumen'!Q4&amp;") "</f>
        <v xml:space="preserve">Cuadro N°9: Volumen útil de los principales embalses y lagunas del SEIN al término del periodo mensual (30 de noviembre) </v>
      </c>
      <c r="D28" s="956"/>
      <c r="E28" s="956"/>
      <c r="F28" s="956"/>
      <c r="G28" s="137"/>
      <c r="H28" s="137"/>
      <c r="M28" s="321">
        <v>17</v>
      </c>
      <c r="N28" s="322">
        <v>222.8</v>
      </c>
      <c r="O28" s="322">
        <v>206.03700259999999</v>
      </c>
      <c r="P28" s="322">
        <v>220.56</v>
      </c>
      <c r="Q28" s="357">
        <v>225.27900695800699</v>
      </c>
      <c r="AF28" s="269"/>
      <c r="AG28" s="269"/>
      <c r="AH28" s="269"/>
      <c r="AI28" s="269"/>
      <c r="AJ28" s="269"/>
      <c r="AK28" s="269"/>
      <c r="AL28" s="269"/>
    </row>
    <row r="29" spans="1:38" ht="12" customHeight="1">
      <c r="A29" s="75"/>
      <c r="G29" s="137"/>
      <c r="H29" s="137"/>
      <c r="I29" s="167"/>
      <c r="J29" s="323"/>
      <c r="M29" s="321">
        <v>18</v>
      </c>
      <c r="N29" s="322">
        <v>225.58</v>
      </c>
      <c r="O29" s="322">
        <v>213.67399599999999</v>
      </c>
      <c r="P29" s="322">
        <v>224.15199279999999</v>
      </c>
      <c r="Q29" s="720">
        <v>226.44200129999999</v>
      </c>
      <c r="AF29" s="269"/>
      <c r="AG29" s="269"/>
      <c r="AH29" s="269"/>
      <c r="AI29" s="269"/>
      <c r="AJ29" s="269"/>
      <c r="AK29" s="269"/>
      <c r="AL29" s="269"/>
    </row>
    <row r="30" spans="1:38" ht="11.25" customHeight="1">
      <c r="A30" s="75"/>
      <c r="B30" s="173"/>
      <c r="C30" s="173"/>
      <c r="D30" s="173"/>
      <c r="E30" s="173"/>
      <c r="F30" s="171"/>
      <c r="G30" s="137"/>
      <c r="H30" s="137"/>
      <c r="M30" s="321">
        <v>19</v>
      </c>
      <c r="N30" s="322">
        <v>225.58</v>
      </c>
      <c r="O30" s="322">
        <v>216.75700380000001</v>
      </c>
      <c r="P30" s="322">
        <v>224.378006</v>
      </c>
      <c r="Q30" s="720">
        <v>227.14199830000001</v>
      </c>
      <c r="AF30" s="269"/>
      <c r="AG30" s="269"/>
      <c r="AH30" s="269"/>
      <c r="AI30" s="269"/>
      <c r="AJ30" s="269"/>
      <c r="AK30" s="269"/>
      <c r="AL30" s="269"/>
    </row>
    <row r="31" spans="1:38" ht="11.25" customHeight="1">
      <c r="A31" s="75"/>
      <c r="B31" s="173"/>
      <c r="C31" s="173"/>
      <c r="D31" s="173"/>
      <c r="E31" s="173"/>
      <c r="F31" s="171"/>
      <c r="G31" s="171"/>
      <c r="H31" s="171"/>
      <c r="I31" s="167"/>
      <c r="J31" s="323"/>
      <c r="M31" s="321">
        <v>20</v>
      </c>
      <c r="N31" s="322">
        <v>226.61</v>
      </c>
      <c r="O31" s="322">
        <v>217.29400630000001</v>
      </c>
      <c r="P31" s="322">
        <v>224.60401920000001</v>
      </c>
      <c r="Q31" s="720">
        <v>227.625</v>
      </c>
      <c r="AF31" s="269"/>
      <c r="AG31" s="269"/>
      <c r="AH31" s="269"/>
      <c r="AI31" s="269"/>
      <c r="AJ31" s="269"/>
      <c r="AK31" s="269"/>
      <c r="AL31" s="269"/>
    </row>
    <row r="32" spans="1:38" ht="13.5" customHeight="1">
      <c r="A32" s="955" t="s">
        <v>440</v>
      </c>
      <c r="B32" s="955"/>
      <c r="C32" s="955"/>
      <c r="D32" s="955"/>
      <c r="E32" s="955"/>
      <c r="F32" s="955"/>
      <c r="G32" s="955"/>
      <c r="H32" s="955"/>
      <c r="I32" s="56"/>
      <c r="J32" s="323"/>
      <c r="M32" s="321">
        <v>21</v>
      </c>
      <c r="N32" s="322">
        <v>226.61</v>
      </c>
      <c r="O32" s="322">
        <v>218.3190002</v>
      </c>
      <c r="P32" s="322">
        <v>223.4909973</v>
      </c>
      <c r="Q32" s="720">
        <v>227.75800000000001</v>
      </c>
      <c r="AF32" s="269"/>
      <c r="AG32" s="269"/>
      <c r="AH32" s="269"/>
      <c r="AI32" s="269"/>
      <c r="AJ32" s="269"/>
      <c r="AK32" s="269"/>
      <c r="AL32" s="269"/>
    </row>
    <row r="33" spans="1:38" ht="11.25" customHeight="1">
      <c r="A33" s="75"/>
      <c r="B33" s="82"/>
      <c r="C33" s="82"/>
      <c r="D33" s="82"/>
      <c r="E33" s="82"/>
      <c r="F33" s="82"/>
      <c r="G33" s="82"/>
      <c r="H33" s="82"/>
      <c r="I33" s="56"/>
      <c r="J33" s="323"/>
      <c r="M33" s="321">
        <v>22</v>
      </c>
      <c r="N33" s="322">
        <v>227.42</v>
      </c>
      <c r="O33" s="322">
        <v>218.79899599999999</v>
      </c>
      <c r="P33" s="322">
        <v>222.62600710000001</v>
      </c>
      <c r="Q33" s="720">
        <v>226.41700739999999</v>
      </c>
      <c r="AF33" s="269"/>
      <c r="AG33" s="269"/>
      <c r="AH33" s="269"/>
      <c r="AI33" s="269"/>
      <c r="AJ33" s="269"/>
      <c r="AK33" s="269"/>
      <c r="AL33" s="269"/>
    </row>
    <row r="34" spans="1:38" ht="11.25" customHeight="1">
      <c r="A34" s="75"/>
      <c r="B34" s="82"/>
      <c r="C34" s="82"/>
      <c r="D34" s="82"/>
      <c r="E34" s="82"/>
      <c r="F34" s="82"/>
      <c r="G34" s="82"/>
      <c r="H34" s="82"/>
      <c r="I34" s="56"/>
      <c r="J34" s="323"/>
      <c r="M34" s="321">
        <v>23</v>
      </c>
      <c r="N34" s="322">
        <v>227.42</v>
      </c>
      <c r="O34" s="322">
        <v>217.8880005</v>
      </c>
      <c r="P34" s="322">
        <v>221.62399289999999</v>
      </c>
      <c r="Q34" s="720">
        <v>224.4589996</v>
      </c>
      <c r="AF34" s="269"/>
      <c r="AG34" s="269"/>
      <c r="AH34" s="269"/>
      <c r="AI34" s="269"/>
      <c r="AJ34" s="269"/>
      <c r="AK34" s="269"/>
      <c r="AL34" s="269"/>
    </row>
    <row r="35" spans="1:38" ht="11.25" customHeight="1">
      <c r="A35" s="75"/>
      <c r="B35" s="82"/>
      <c r="C35" s="82"/>
      <c r="D35" s="82"/>
      <c r="E35" s="82"/>
      <c r="F35" s="82"/>
      <c r="G35" s="82"/>
      <c r="H35" s="82"/>
      <c r="I35" s="168"/>
      <c r="J35" s="323"/>
      <c r="M35" s="321">
        <v>24</v>
      </c>
      <c r="N35" s="322">
        <v>227.45</v>
      </c>
      <c r="O35" s="322">
        <v>216.04899599999999</v>
      </c>
      <c r="P35" s="322">
        <v>218.3840027</v>
      </c>
      <c r="Q35" s="720">
        <v>220.634994506835</v>
      </c>
      <c r="AF35" s="269"/>
      <c r="AG35" s="269"/>
      <c r="AH35" s="269"/>
      <c r="AI35" s="269"/>
      <c r="AJ35" s="269"/>
      <c r="AK35" s="269"/>
      <c r="AL35" s="269"/>
    </row>
    <row r="36" spans="1:38" ht="11.25" customHeight="1">
      <c r="A36" s="75"/>
      <c r="B36" s="82"/>
      <c r="C36" s="82"/>
      <c r="D36" s="82"/>
      <c r="E36" s="82"/>
      <c r="F36" s="82"/>
      <c r="G36" s="82"/>
      <c r="H36" s="82"/>
      <c r="I36" s="56"/>
      <c r="J36" s="323"/>
      <c r="M36" s="321">
        <v>25</v>
      </c>
      <c r="N36" s="322">
        <v>227.45</v>
      </c>
      <c r="O36" s="322">
        <v>212.24600219999999</v>
      </c>
      <c r="P36" s="322">
        <v>215.08099369999999</v>
      </c>
      <c r="Q36" s="720">
        <v>218.28599550000001</v>
      </c>
      <c r="AF36" s="269"/>
      <c r="AG36" s="269"/>
      <c r="AH36" s="269"/>
      <c r="AI36" s="269"/>
      <c r="AJ36" s="269"/>
      <c r="AK36" s="269"/>
      <c r="AL36" s="269"/>
    </row>
    <row r="37" spans="1:38" ht="11.25" customHeight="1">
      <c r="A37" s="75"/>
      <c r="B37" s="82"/>
      <c r="C37" s="82"/>
      <c r="D37" s="82"/>
      <c r="E37" s="82"/>
      <c r="F37" s="82"/>
      <c r="G37" s="82"/>
      <c r="H37" s="82"/>
      <c r="I37" s="56"/>
      <c r="J37" s="324"/>
      <c r="M37" s="321">
        <v>26</v>
      </c>
      <c r="N37" s="322">
        <v>225.56</v>
      </c>
      <c r="O37" s="322">
        <v>210.22099299999999</v>
      </c>
      <c r="P37" s="322">
        <v>210.41900630000001</v>
      </c>
      <c r="Q37" s="720">
        <v>214.90499879999999</v>
      </c>
      <c r="AF37" s="269"/>
      <c r="AG37" s="269"/>
      <c r="AH37" s="269"/>
      <c r="AI37" s="269"/>
      <c r="AJ37" s="269"/>
      <c r="AK37" s="269"/>
      <c r="AL37" s="269"/>
    </row>
    <row r="38" spans="1:38" ht="11.25" customHeight="1">
      <c r="A38" s="75"/>
      <c r="B38" s="82"/>
      <c r="C38" s="82"/>
      <c r="D38" s="82"/>
      <c r="E38" s="82"/>
      <c r="F38" s="82"/>
      <c r="G38" s="82"/>
      <c r="H38" s="82"/>
      <c r="I38" s="56"/>
      <c r="J38" s="324"/>
      <c r="M38" s="321">
        <v>27</v>
      </c>
      <c r="N38" s="322">
        <v>225.56</v>
      </c>
      <c r="O38" s="322">
        <v>209.85200499999999</v>
      </c>
      <c r="P38" s="322">
        <v>204.23</v>
      </c>
      <c r="Q38" s="720">
        <v>210.91799926757801</v>
      </c>
      <c r="AF38" s="269"/>
      <c r="AG38" s="269"/>
      <c r="AH38" s="269"/>
      <c r="AI38" s="269"/>
      <c r="AJ38" s="269"/>
      <c r="AK38" s="269"/>
      <c r="AL38" s="269"/>
    </row>
    <row r="39" spans="1:38" ht="11.25" customHeight="1">
      <c r="A39" s="75"/>
      <c r="B39" s="82"/>
      <c r="C39" s="82"/>
      <c r="D39" s="82"/>
      <c r="E39" s="82"/>
      <c r="F39" s="82"/>
      <c r="G39" s="82"/>
      <c r="H39" s="82"/>
      <c r="I39" s="56"/>
      <c r="J39" s="325"/>
      <c r="M39" s="321">
        <v>28</v>
      </c>
      <c r="N39" s="322">
        <v>225.56</v>
      </c>
      <c r="O39" s="326">
        <v>203.92900090000001</v>
      </c>
      <c r="P39" s="326">
        <v>201.1309967</v>
      </c>
      <c r="Q39" s="720">
        <v>207.96099849999999</v>
      </c>
      <c r="AF39" s="269"/>
      <c r="AG39" s="269"/>
      <c r="AH39" s="269"/>
      <c r="AI39" s="269"/>
      <c r="AJ39" s="269"/>
      <c r="AK39" s="269"/>
      <c r="AL39" s="269"/>
    </row>
    <row r="40" spans="1:38" ht="11.25" customHeight="1">
      <c r="A40" s="75"/>
      <c r="B40" s="82"/>
      <c r="C40" s="82"/>
      <c r="D40" s="82"/>
      <c r="E40" s="82"/>
      <c r="F40" s="82"/>
      <c r="G40" s="82"/>
      <c r="H40" s="82"/>
      <c r="I40" s="56"/>
      <c r="J40" s="325"/>
      <c r="M40" s="321">
        <v>29</v>
      </c>
      <c r="N40" s="322">
        <v>222.04</v>
      </c>
      <c r="O40" s="322">
        <v>200.56300350000001</v>
      </c>
      <c r="P40" s="322">
        <v>196.16000366210901</v>
      </c>
      <c r="Q40" s="720">
        <v>205.66700739999999</v>
      </c>
      <c r="AF40" s="269"/>
      <c r="AG40" s="269"/>
      <c r="AH40" s="269"/>
      <c r="AI40" s="269"/>
      <c r="AJ40" s="269"/>
      <c r="AK40" s="269"/>
      <c r="AL40" s="269"/>
    </row>
    <row r="41" spans="1:38" ht="11.25" customHeight="1">
      <c r="A41" s="75"/>
      <c r="B41" s="82"/>
      <c r="C41" s="82"/>
      <c r="D41" s="82"/>
      <c r="E41" s="82"/>
      <c r="F41" s="82"/>
      <c r="G41" s="82"/>
      <c r="H41" s="82"/>
      <c r="I41" s="56"/>
      <c r="J41" s="325"/>
      <c r="M41" s="321">
        <v>30</v>
      </c>
      <c r="N41" s="322">
        <v>222.04</v>
      </c>
      <c r="O41" s="322">
        <v>194.94900509999999</v>
      </c>
      <c r="P41" s="322">
        <v>193.86</v>
      </c>
      <c r="Q41" s="720">
        <v>197.3999939</v>
      </c>
      <c r="AF41" s="269"/>
      <c r="AG41" s="269"/>
      <c r="AH41" s="269"/>
      <c r="AI41" s="269"/>
      <c r="AJ41" s="269"/>
      <c r="AK41" s="269"/>
      <c r="AL41" s="269"/>
    </row>
    <row r="42" spans="1:38" ht="11.25" customHeight="1">
      <c r="A42" s="75"/>
      <c r="B42" s="82"/>
      <c r="C42" s="82"/>
      <c r="D42" s="82"/>
      <c r="E42" s="82"/>
      <c r="F42" s="82"/>
      <c r="G42" s="82"/>
      <c r="H42" s="82"/>
      <c r="I42" s="168"/>
      <c r="J42" s="324"/>
      <c r="M42" s="321">
        <v>31</v>
      </c>
      <c r="N42" s="322">
        <v>213.13</v>
      </c>
      <c r="O42" s="322">
        <v>188.386</v>
      </c>
      <c r="P42" s="322">
        <v>186.24800110000001</v>
      </c>
      <c r="Q42" s="720">
        <v>194.98199460000001</v>
      </c>
      <c r="AF42" s="269"/>
      <c r="AG42" s="269"/>
      <c r="AH42" s="269"/>
      <c r="AI42" s="269"/>
      <c r="AJ42" s="269"/>
      <c r="AK42" s="269"/>
      <c r="AL42" s="269"/>
    </row>
    <row r="43" spans="1:38" ht="11.25" customHeight="1">
      <c r="A43" s="75"/>
      <c r="B43" s="82"/>
      <c r="C43" s="82"/>
      <c r="D43" s="82"/>
      <c r="E43" s="82"/>
      <c r="F43" s="82"/>
      <c r="G43" s="82"/>
      <c r="H43" s="82"/>
      <c r="I43" s="56"/>
      <c r="J43" s="324"/>
      <c r="M43" s="321">
        <v>32</v>
      </c>
      <c r="N43" s="322">
        <v>213.13</v>
      </c>
      <c r="O43" s="322">
        <v>184.72900390000001</v>
      </c>
      <c r="P43" s="322">
        <v>182.40899659999999</v>
      </c>
      <c r="Q43" s="307">
        <v>190.13999938964801</v>
      </c>
      <c r="AF43" s="269"/>
      <c r="AG43" s="269"/>
      <c r="AH43" s="269"/>
      <c r="AI43" s="269"/>
      <c r="AJ43" s="269"/>
      <c r="AK43" s="269"/>
      <c r="AL43" s="269"/>
    </row>
    <row r="44" spans="1:38" ht="11.25" customHeight="1">
      <c r="A44" s="75"/>
      <c r="B44" s="82"/>
      <c r="C44" s="82"/>
      <c r="D44" s="82"/>
      <c r="E44" s="82"/>
      <c r="F44" s="82"/>
      <c r="G44" s="82"/>
      <c r="H44" s="82"/>
      <c r="I44" s="56"/>
      <c r="J44" s="324"/>
      <c r="M44" s="321">
        <v>33</v>
      </c>
      <c r="N44" s="322">
        <v>205.97</v>
      </c>
      <c r="O44" s="322">
        <v>178.8809967</v>
      </c>
      <c r="P44" s="322">
        <v>178.6940002</v>
      </c>
      <c r="Q44" s="307">
        <v>186.17300420000001</v>
      </c>
      <c r="AF44" s="269"/>
      <c r="AG44" s="269"/>
      <c r="AH44" s="269"/>
      <c r="AI44" s="269"/>
      <c r="AJ44" s="269"/>
      <c r="AK44" s="269"/>
      <c r="AL44" s="269"/>
    </row>
    <row r="45" spans="1:38" ht="11.25" customHeight="1">
      <c r="A45" s="75"/>
      <c r="B45" s="82"/>
      <c r="C45" s="82"/>
      <c r="D45" s="82"/>
      <c r="E45" s="82"/>
      <c r="F45" s="82"/>
      <c r="G45" s="82"/>
      <c r="H45" s="82"/>
      <c r="I45" s="59"/>
      <c r="J45" s="327"/>
      <c r="M45" s="321">
        <v>34</v>
      </c>
      <c r="N45" s="322">
        <v>199.49</v>
      </c>
      <c r="O45" s="322">
        <v>176.98599239999999</v>
      </c>
      <c r="P45" s="322">
        <v>173.61300660000001</v>
      </c>
      <c r="Q45" s="307">
        <v>183.14799500000001</v>
      </c>
      <c r="AF45" s="269"/>
      <c r="AG45" s="269"/>
      <c r="AH45" s="269"/>
      <c r="AI45" s="269"/>
      <c r="AJ45" s="269"/>
      <c r="AK45" s="269"/>
      <c r="AL45" s="269"/>
    </row>
    <row r="46" spans="1:38" ht="11.25" customHeight="1">
      <c r="A46" s="75"/>
      <c r="B46" s="82"/>
      <c r="C46" s="82"/>
      <c r="D46" s="82"/>
      <c r="E46" s="82"/>
      <c r="F46" s="82"/>
      <c r="G46" s="82"/>
      <c r="H46" s="82"/>
      <c r="I46" s="59"/>
      <c r="J46" s="327"/>
      <c r="M46" s="321">
        <v>35</v>
      </c>
      <c r="N46" s="328">
        <v>193.4</v>
      </c>
      <c r="O46" s="322">
        <v>173.36999510000001</v>
      </c>
      <c r="P46" s="322">
        <v>170.0189972</v>
      </c>
      <c r="Q46" s="307">
        <v>175.24000549316401</v>
      </c>
      <c r="AF46" s="269"/>
      <c r="AG46" s="269"/>
      <c r="AH46" s="269"/>
      <c r="AI46" s="269"/>
      <c r="AJ46" s="269"/>
      <c r="AK46" s="269"/>
      <c r="AL46" s="269"/>
    </row>
    <row r="47" spans="1:38" ht="11.25" customHeight="1">
      <c r="A47" s="75"/>
      <c r="B47" s="82"/>
      <c r="C47" s="82"/>
      <c r="D47" s="82"/>
      <c r="E47" s="82"/>
      <c r="F47" s="82"/>
      <c r="G47" s="82"/>
      <c r="H47" s="82"/>
      <c r="I47" s="59"/>
      <c r="J47" s="327"/>
      <c r="M47" s="321">
        <v>36</v>
      </c>
      <c r="N47" s="328">
        <v>187.93</v>
      </c>
      <c r="O47" s="322">
        <v>167.63</v>
      </c>
      <c r="P47" s="322">
        <v>166.0690002</v>
      </c>
      <c r="Q47" s="307">
        <v>171.61000061035099</v>
      </c>
      <c r="AF47" s="269"/>
      <c r="AG47" s="269"/>
      <c r="AH47" s="269"/>
      <c r="AI47" s="269"/>
      <c r="AJ47" s="269"/>
      <c r="AK47" s="269"/>
      <c r="AL47" s="269"/>
    </row>
    <row r="48" spans="1:38" ht="11.25" customHeight="1">
      <c r="A48" s="75"/>
      <c r="B48" s="82"/>
      <c r="C48" s="82"/>
      <c r="D48" s="82"/>
      <c r="E48" s="82"/>
      <c r="F48" s="82"/>
      <c r="G48" s="82"/>
      <c r="H48" s="82"/>
      <c r="I48" s="59"/>
      <c r="J48" s="327"/>
      <c r="M48" s="321">
        <v>37</v>
      </c>
      <c r="N48" s="322">
        <v>182.85</v>
      </c>
      <c r="O48" s="322">
        <v>162.30700680000001</v>
      </c>
      <c r="P48" s="322">
        <v>159.17399599999999</v>
      </c>
      <c r="Q48" s="307">
        <v>167.78999328613199</v>
      </c>
      <c r="AF48" s="269"/>
      <c r="AG48" s="269"/>
      <c r="AH48" s="269"/>
      <c r="AI48" s="269"/>
      <c r="AJ48" s="269"/>
      <c r="AK48" s="269"/>
      <c r="AL48" s="269"/>
    </row>
    <row r="49" spans="1:38" ht="11.25" customHeight="1">
      <c r="A49" s="75"/>
      <c r="B49" s="82"/>
      <c r="C49" s="82"/>
      <c r="D49" s="82"/>
      <c r="E49" s="82"/>
      <c r="F49" s="82"/>
      <c r="G49" s="82"/>
      <c r="H49" s="82"/>
      <c r="I49" s="59"/>
      <c r="J49" s="327"/>
      <c r="M49" s="321">
        <v>38</v>
      </c>
      <c r="N49" s="322">
        <v>179.77</v>
      </c>
      <c r="O49" s="322">
        <v>159.02699279999999</v>
      </c>
      <c r="P49" s="322">
        <v>157.84</v>
      </c>
      <c r="Q49" s="307">
        <v>170.03999328613199</v>
      </c>
      <c r="AF49" s="269"/>
      <c r="AG49" s="269"/>
      <c r="AH49" s="269"/>
      <c r="AI49" s="269"/>
      <c r="AJ49" s="269"/>
      <c r="AK49" s="269"/>
      <c r="AL49" s="269"/>
    </row>
    <row r="50" spans="1:38" ht="13.2">
      <c r="A50" s="75"/>
      <c r="B50" s="82"/>
      <c r="C50" s="82"/>
      <c r="D50" s="82"/>
      <c r="E50" s="82"/>
      <c r="F50" s="82"/>
      <c r="G50" s="82"/>
      <c r="H50" s="82"/>
      <c r="I50" s="59"/>
      <c r="J50" s="327"/>
      <c r="M50" s="321">
        <v>39</v>
      </c>
      <c r="N50" s="322">
        <v>173.62</v>
      </c>
      <c r="O50" s="322">
        <v>153.61700440000001</v>
      </c>
      <c r="P50" s="322">
        <v>156.28199768066401</v>
      </c>
      <c r="Q50" s="307">
        <v>159.69</v>
      </c>
      <c r="AF50" s="269"/>
      <c r="AG50" s="269"/>
      <c r="AH50" s="269"/>
      <c r="AI50" s="269"/>
      <c r="AJ50" s="269"/>
      <c r="AK50" s="269"/>
      <c r="AL50" s="269"/>
    </row>
    <row r="51" spans="1:38" ht="10.5" customHeight="1">
      <c r="A51" s="75"/>
      <c r="B51" s="82"/>
      <c r="C51" s="82"/>
      <c r="D51" s="82"/>
      <c r="E51" s="82"/>
      <c r="F51" s="82"/>
      <c r="G51" s="82"/>
      <c r="H51" s="82"/>
      <c r="I51" s="59"/>
      <c r="J51" s="327"/>
      <c r="M51" s="321">
        <v>40</v>
      </c>
      <c r="N51" s="322">
        <v>163</v>
      </c>
      <c r="O51" s="322">
        <v>151.72999569999999</v>
      </c>
      <c r="P51" s="322">
        <v>148.3529968</v>
      </c>
      <c r="Q51" s="307">
        <v>150.2969971</v>
      </c>
      <c r="AF51" s="269"/>
      <c r="AG51" s="269"/>
      <c r="AH51" s="269"/>
      <c r="AI51" s="269"/>
      <c r="AJ51" s="269"/>
      <c r="AK51" s="269"/>
      <c r="AL51" s="269"/>
    </row>
    <row r="52" spans="1:38" ht="13.2">
      <c r="A52" s="75"/>
      <c r="B52" s="82"/>
      <c r="C52" s="82"/>
      <c r="D52" s="82"/>
      <c r="E52" s="82"/>
      <c r="F52" s="82"/>
      <c r="G52" s="82"/>
      <c r="H52" s="82"/>
      <c r="I52" s="59"/>
      <c r="J52" s="327"/>
      <c r="M52" s="321">
        <v>41</v>
      </c>
      <c r="N52" s="322">
        <v>156.5</v>
      </c>
      <c r="O52" s="322">
        <v>147.996002197265</v>
      </c>
      <c r="P52" s="322">
        <v>151.04400630000001</v>
      </c>
      <c r="Q52" s="307">
        <v>146.7689972</v>
      </c>
      <c r="AF52" s="269"/>
      <c r="AG52" s="269"/>
      <c r="AH52" s="269"/>
      <c r="AI52" s="269"/>
      <c r="AJ52" s="269"/>
      <c r="AK52" s="269"/>
      <c r="AL52" s="269"/>
    </row>
    <row r="53" spans="1:38" ht="13.2">
      <c r="A53" s="75"/>
      <c r="B53" s="82"/>
      <c r="C53" s="82"/>
      <c r="D53" s="82"/>
      <c r="E53" s="82"/>
      <c r="F53" s="82"/>
      <c r="G53" s="82"/>
      <c r="H53" s="82"/>
      <c r="I53" s="59"/>
      <c r="J53" s="327"/>
      <c r="M53" s="321">
        <v>42</v>
      </c>
      <c r="N53" s="322">
        <v>152.78</v>
      </c>
      <c r="O53" s="322">
        <v>144.53999328613199</v>
      </c>
      <c r="P53" s="322">
        <v>146.53</v>
      </c>
      <c r="Q53" s="307">
        <v>142.69900512695301</v>
      </c>
      <c r="AF53" s="269"/>
      <c r="AG53" s="269"/>
      <c r="AH53" s="269"/>
      <c r="AI53" s="269"/>
      <c r="AJ53" s="269"/>
      <c r="AK53" s="269"/>
      <c r="AL53" s="269"/>
    </row>
    <row r="54" spans="1:38" ht="13.2">
      <c r="A54" s="75"/>
      <c r="B54" s="82"/>
      <c r="C54" s="82"/>
      <c r="D54" s="82"/>
      <c r="E54" s="82"/>
      <c r="F54" s="82"/>
      <c r="G54" s="82"/>
      <c r="H54" s="82"/>
      <c r="I54" s="59"/>
      <c r="J54" s="327"/>
      <c r="M54" s="321">
        <v>43</v>
      </c>
      <c r="N54" s="322">
        <v>148.63</v>
      </c>
      <c r="O54" s="322">
        <v>143.72300720214801</v>
      </c>
      <c r="P54" s="322">
        <v>137.7400055</v>
      </c>
      <c r="Q54" s="307">
        <v>135.75</v>
      </c>
      <c r="AF54" s="269"/>
      <c r="AG54" s="269"/>
      <c r="AH54" s="269"/>
      <c r="AI54" s="269"/>
      <c r="AJ54" s="269"/>
      <c r="AK54" s="269"/>
      <c r="AL54" s="269"/>
    </row>
    <row r="55" spans="1:38" ht="13.2">
      <c r="A55" s="75"/>
      <c r="B55" s="82"/>
      <c r="C55" s="82"/>
      <c r="D55" s="82"/>
      <c r="E55" s="82"/>
      <c r="F55" s="82"/>
      <c r="G55" s="82"/>
      <c r="H55" s="82"/>
      <c r="I55" s="59"/>
      <c r="J55" s="327"/>
      <c r="M55" s="321">
        <v>44</v>
      </c>
      <c r="N55" s="322">
        <v>142.91</v>
      </c>
      <c r="O55" s="322">
        <v>142.33900449999999</v>
      </c>
      <c r="P55" s="322">
        <v>133.1380005</v>
      </c>
      <c r="Q55" s="307">
        <v>130.27000430000001</v>
      </c>
      <c r="AF55" s="269"/>
      <c r="AG55" s="269"/>
      <c r="AH55" s="269"/>
      <c r="AI55" s="269"/>
      <c r="AJ55" s="269"/>
      <c r="AK55" s="269"/>
      <c r="AL55" s="269"/>
    </row>
    <row r="56" spans="1:38" ht="13.2">
      <c r="A56" s="75"/>
      <c r="B56" s="82"/>
      <c r="C56" s="82"/>
      <c r="D56" s="82"/>
      <c r="E56" s="82"/>
      <c r="F56" s="82"/>
      <c r="G56" s="82"/>
      <c r="H56" s="82"/>
      <c r="I56" s="59"/>
      <c r="J56" s="327"/>
      <c r="M56" s="321">
        <v>45</v>
      </c>
      <c r="N56" s="322">
        <v>137.04</v>
      </c>
      <c r="O56" s="322">
        <v>143.13200380000001</v>
      </c>
      <c r="P56" s="322">
        <v>125.7330017</v>
      </c>
      <c r="Q56" s="307">
        <v>124.5780029</v>
      </c>
      <c r="AF56" s="269"/>
      <c r="AG56" s="269"/>
      <c r="AH56" s="269"/>
      <c r="AI56" s="269"/>
      <c r="AJ56" s="269"/>
      <c r="AK56" s="269"/>
      <c r="AL56" s="269"/>
    </row>
    <row r="57" spans="1:38" ht="13.2">
      <c r="A57" s="75"/>
      <c r="B57" s="82"/>
      <c r="C57" s="82"/>
      <c r="D57" s="82"/>
      <c r="E57" s="82"/>
      <c r="F57" s="82"/>
      <c r="G57" s="82"/>
      <c r="H57" s="82"/>
      <c r="M57" s="321">
        <v>46</v>
      </c>
      <c r="N57" s="322">
        <v>131.22999999999999</v>
      </c>
      <c r="O57" s="322">
        <v>141.37</v>
      </c>
      <c r="P57" s="322">
        <v>125.2030029</v>
      </c>
      <c r="Q57" s="307">
        <v>120.7269974</v>
      </c>
      <c r="AF57" s="269"/>
      <c r="AG57" s="269"/>
      <c r="AH57" s="269"/>
      <c r="AI57" s="269"/>
      <c r="AJ57" s="269"/>
      <c r="AK57" s="269"/>
      <c r="AL57" s="269"/>
    </row>
    <row r="58" spans="1:38" ht="13.2">
      <c r="A58" s="75"/>
      <c r="B58" s="82"/>
      <c r="C58" s="82"/>
      <c r="D58" s="82"/>
      <c r="E58" s="82"/>
      <c r="F58" s="82"/>
      <c r="G58" s="82"/>
      <c r="H58" s="82"/>
      <c r="M58" s="321">
        <v>47</v>
      </c>
      <c r="N58" s="322">
        <v>125.5</v>
      </c>
      <c r="O58" s="322">
        <v>140.33900449999999</v>
      </c>
      <c r="P58" s="322">
        <v>120.5130005</v>
      </c>
      <c r="Q58" s="307">
        <v>113.7900009</v>
      </c>
      <c r="AF58" s="269"/>
      <c r="AG58" s="269"/>
      <c r="AH58" s="269"/>
      <c r="AI58" s="269"/>
      <c r="AJ58" s="269"/>
      <c r="AK58" s="269"/>
      <c r="AL58" s="269"/>
    </row>
    <row r="59" spans="1:38" ht="13.2">
      <c r="A59" s="266" t="s">
        <v>475</v>
      </c>
      <c r="B59" s="82"/>
      <c r="C59" s="82"/>
      <c r="D59" s="82"/>
      <c r="E59" s="82"/>
      <c r="F59" s="82"/>
      <c r="G59" s="82"/>
      <c r="H59" s="82"/>
      <c r="M59" s="321">
        <v>48</v>
      </c>
      <c r="N59" s="322">
        <v>120.41</v>
      </c>
      <c r="O59" s="322">
        <v>137.8150024</v>
      </c>
      <c r="P59" s="322">
        <v>119.3089981</v>
      </c>
      <c r="Q59" s="307">
        <v>104.1470032</v>
      </c>
      <c r="AF59" s="269"/>
      <c r="AG59" s="269"/>
      <c r="AH59" s="269"/>
      <c r="AI59" s="269"/>
      <c r="AJ59" s="269"/>
      <c r="AK59" s="269"/>
      <c r="AL59" s="269"/>
    </row>
    <row r="60" spans="1:38" ht="13.2">
      <c r="A60" s="54"/>
      <c r="B60" s="82"/>
      <c r="C60" s="82"/>
      <c r="D60" s="82"/>
      <c r="E60" s="82"/>
      <c r="F60" s="82"/>
      <c r="G60" s="82"/>
      <c r="H60" s="82"/>
      <c r="M60" s="321">
        <v>49</v>
      </c>
      <c r="N60" s="322">
        <v>115.91300200000001</v>
      </c>
      <c r="O60" s="322">
        <v>129.0279999</v>
      </c>
      <c r="P60" s="322">
        <v>119.33200069999999</v>
      </c>
      <c r="AF60" s="269"/>
      <c r="AG60" s="269"/>
      <c r="AH60" s="269"/>
      <c r="AI60" s="269"/>
      <c r="AJ60" s="269"/>
      <c r="AK60" s="269"/>
      <c r="AL60" s="269"/>
    </row>
    <row r="61" spans="1:38" ht="10.8">
      <c r="M61" s="321">
        <v>50</v>
      </c>
      <c r="N61" s="322">
        <v>110.0599976</v>
      </c>
      <c r="O61" s="322">
        <v>129.30000000000001</v>
      </c>
      <c r="P61" s="322">
        <v>135.91499329999999</v>
      </c>
      <c r="AD61" s="319"/>
      <c r="AE61" s="319"/>
      <c r="AF61" s="216"/>
      <c r="AG61" s="216"/>
      <c r="AH61" s="216"/>
      <c r="AI61" s="216"/>
      <c r="AJ61" s="216"/>
      <c r="AK61" s="216"/>
      <c r="AL61" s="216"/>
    </row>
    <row r="62" spans="1:38" ht="10.8">
      <c r="M62" s="321">
        <v>51</v>
      </c>
      <c r="N62" s="322">
        <v>107.5970001</v>
      </c>
      <c r="O62" s="322">
        <v>129</v>
      </c>
      <c r="P62" s="322">
        <v>131.21000670000001</v>
      </c>
      <c r="AD62" s="319"/>
      <c r="AE62" s="319"/>
      <c r="AF62" s="216"/>
      <c r="AG62" s="216"/>
      <c r="AH62" s="216"/>
      <c r="AI62" s="216"/>
      <c r="AJ62" s="216"/>
      <c r="AK62" s="216"/>
      <c r="AL62" s="216"/>
    </row>
    <row r="63" spans="1:38" ht="10.8">
      <c r="M63" s="321">
        <v>52</v>
      </c>
      <c r="N63" s="322">
        <v>104.4029999</v>
      </c>
      <c r="O63" s="322">
        <v>130.4810028</v>
      </c>
      <c r="P63" s="322">
        <v>139.86399840000001</v>
      </c>
      <c r="AD63" s="319"/>
      <c r="AE63" s="319"/>
      <c r="AF63" s="216"/>
      <c r="AG63" s="216"/>
      <c r="AH63" s="216"/>
      <c r="AI63" s="216"/>
      <c r="AJ63" s="216"/>
      <c r="AK63" s="216"/>
      <c r="AL63" s="216"/>
    </row>
    <row r="64" spans="1:38" ht="10.8">
      <c r="M64" s="321">
        <v>53</v>
      </c>
      <c r="N64" s="322"/>
      <c r="O64" s="322"/>
      <c r="P64" s="765">
        <v>146.8090057</v>
      </c>
      <c r="AD64" s="319"/>
      <c r="AE64" s="319"/>
      <c r="AF64" s="216"/>
      <c r="AG64" s="216"/>
      <c r="AH64" s="216"/>
      <c r="AI64" s="216"/>
      <c r="AJ64" s="216"/>
      <c r="AK64" s="216"/>
      <c r="AL64" s="216"/>
    </row>
    <row r="65" spans="13:38">
      <c r="M65" s="319"/>
      <c r="N65" s="319"/>
      <c r="O65" s="319"/>
      <c r="P65" s="319"/>
      <c r="Q65" s="319"/>
      <c r="R65" s="319"/>
      <c r="S65" s="319"/>
      <c r="T65" s="319"/>
      <c r="AD65" s="319"/>
      <c r="AE65" s="31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T44" sqref="T44"/>
    </sheetView>
  </sheetViews>
  <sheetFormatPr baseColWidth="10" defaultColWidth="9.28515625" defaultRowHeight="10.199999999999999"/>
  <cols>
    <col min="10" max="11" width="9.28515625" customWidth="1"/>
    <col min="14" max="28" width="9.28515625" style="418"/>
    <col min="29" max="31" width="9.28515625" style="408"/>
  </cols>
  <sheetData>
    <row r="1" spans="1:23" ht="11.25" customHeight="1"/>
    <row r="2" spans="1:23" ht="11.25" customHeight="1">
      <c r="A2" s="297"/>
      <c r="B2" s="304"/>
      <c r="C2" s="304"/>
      <c r="D2" s="304"/>
      <c r="E2" s="304"/>
      <c r="F2" s="304"/>
      <c r="G2" s="305"/>
      <c r="H2" s="30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21" t="s">
        <v>260</v>
      </c>
      <c r="T4" s="422" t="s">
        <v>261</v>
      </c>
    </row>
    <row r="5" spans="1:23" ht="11.25" customHeight="1">
      <c r="A5" s="957"/>
      <c r="B5" s="957"/>
      <c r="C5" s="957"/>
      <c r="D5" s="957"/>
      <c r="E5" s="957"/>
      <c r="F5" s="957"/>
      <c r="G5" s="957"/>
      <c r="H5" s="957"/>
      <c r="I5" s="957"/>
      <c r="J5" s="12"/>
      <c r="K5" s="12"/>
      <c r="L5" s="8"/>
      <c r="O5" s="423">
        <v>2017</v>
      </c>
      <c r="P5" s="423">
        <v>2018</v>
      </c>
      <c r="Q5" s="423">
        <v>2019</v>
      </c>
      <c r="R5" s="423">
        <v>2020</v>
      </c>
      <c r="T5" s="423">
        <v>2017</v>
      </c>
      <c r="U5" s="423">
        <v>2018</v>
      </c>
      <c r="V5" s="423">
        <v>2019</v>
      </c>
      <c r="W5" s="423">
        <v>2020</v>
      </c>
    </row>
    <row r="6" spans="1:23" ht="11.25" customHeight="1">
      <c r="A6" s="17"/>
      <c r="B6" s="159"/>
      <c r="C6" s="68"/>
      <c r="D6" s="69"/>
      <c r="E6" s="69"/>
      <c r="F6" s="70"/>
      <c r="G6" s="66"/>
      <c r="H6" s="66"/>
      <c r="I6" s="71"/>
      <c r="J6" s="12"/>
      <c r="K6" s="12"/>
      <c r="L6" s="5"/>
      <c r="N6" s="424">
        <v>1</v>
      </c>
      <c r="O6" s="425">
        <v>27.559000019999999</v>
      </c>
      <c r="P6" s="425">
        <v>34.76</v>
      </c>
      <c r="Q6" s="426">
        <v>71.125</v>
      </c>
      <c r="R6" s="827">
        <v>133.42999267578099</v>
      </c>
      <c r="S6" s="424">
        <v>1</v>
      </c>
      <c r="T6" s="425">
        <v>122.19600180599998</v>
      </c>
      <c r="U6" s="425">
        <v>210.20000000000002</v>
      </c>
      <c r="V6" s="426">
        <v>190.20000426299998</v>
      </c>
      <c r="W6" s="827">
        <v>186.65300035476668</v>
      </c>
    </row>
    <row r="7" spans="1:23" ht="11.25" customHeight="1">
      <c r="A7" s="17"/>
      <c r="B7" s="958"/>
      <c r="C7" s="958"/>
      <c r="D7" s="160"/>
      <c r="E7" s="160"/>
      <c r="F7" s="70"/>
      <c r="G7" s="66"/>
      <c r="H7" s="66"/>
      <c r="I7" s="71"/>
      <c r="J7" s="3"/>
      <c r="K7" s="3"/>
      <c r="L7" s="15"/>
      <c r="N7" s="424">
        <v>2</v>
      </c>
      <c r="O7" s="425">
        <v>36.5890007</v>
      </c>
      <c r="P7" s="425">
        <v>47.749000549999998</v>
      </c>
      <c r="Q7" s="426">
        <v>79.228996280000004</v>
      </c>
      <c r="R7" s="827">
        <v>141.27299500000001</v>
      </c>
      <c r="S7" s="424">
        <v>2</v>
      </c>
      <c r="T7" s="425">
        <v>136.535000822</v>
      </c>
      <c r="U7" s="425">
        <v>216.70300435500002</v>
      </c>
      <c r="V7" s="426">
        <v>185.80498987600001</v>
      </c>
      <c r="W7" s="827">
        <v>194.494995117</v>
      </c>
    </row>
    <row r="8" spans="1:23" ht="11.25" customHeight="1">
      <c r="A8" s="17"/>
      <c r="B8" s="161"/>
      <c r="C8" s="39"/>
      <c r="D8" s="162"/>
      <c r="E8" s="162"/>
      <c r="F8" s="70"/>
      <c r="G8" s="66"/>
      <c r="H8" s="66"/>
      <c r="I8" s="71"/>
      <c r="J8" s="4"/>
      <c r="K8" s="4"/>
      <c r="L8" s="12"/>
      <c r="N8" s="424">
        <v>3</v>
      </c>
      <c r="O8" s="425">
        <v>63.17599869</v>
      </c>
      <c r="P8" s="425">
        <v>67.130996699999997</v>
      </c>
      <c r="Q8" s="426">
        <v>106.65</v>
      </c>
      <c r="R8" s="827">
        <v>151.56199649999999</v>
      </c>
      <c r="S8" s="424">
        <v>3</v>
      </c>
      <c r="T8" s="425">
        <v>170.80799961000002</v>
      </c>
      <c r="U8" s="425">
        <v>232.83600043999999</v>
      </c>
      <c r="V8" s="426">
        <v>190.06000000000003</v>
      </c>
      <c r="W8" s="827">
        <v>212.15300178999999</v>
      </c>
    </row>
    <row r="9" spans="1:23" ht="11.25" customHeight="1">
      <c r="A9" s="17"/>
      <c r="B9" s="161"/>
      <c r="C9" s="39"/>
      <c r="D9" s="162"/>
      <c r="E9" s="162"/>
      <c r="F9" s="70"/>
      <c r="G9" s="66"/>
      <c r="H9" s="66"/>
      <c r="I9" s="71"/>
      <c r="J9" s="3"/>
      <c r="K9" s="6"/>
      <c r="L9" s="15"/>
      <c r="N9" s="424">
        <v>4</v>
      </c>
      <c r="O9" s="425">
        <v>113.2139969</v>
      </c>
      <c r="P9" s="425">
        <v>93.789001459999994</v>
      </c>
      <c r="Q9" s="426">
        <v>140.34500120000001</v>
      </c>
      <c r="R9" s="827">
        <v>167.9100037</v>
      </c>
      <c r="S9" s="424">
        <v>4</v>
      </c>
      <c r="T9" s="425">
        <v>186.385000214</v>
      </c>
      <c r="U9" s="425">
        <v>271.78000545999998</v>
      </c>
      <c r="V9" s="426">
        <v>198.06799936900001</v>
      </c>
      <c r="W9" s="827">
        <v>213.71899984999999</v>
      </c>
    </row>
    <row r="10" spans="1:23" ht="11.25" customHeight="1">
      <c r="A10" s="17"/>
      <c r="B10" s="161"/>
      <c r="C10" s="39"/>
      <c r="D10" s="162"/>
      <c r="E10" s="162"/>
      <c r="F10" s="70"/>
      <c r="G10" s="66"/>
      <c r="H10" s="66"/>
      <c r="I10" s="71"/>
      <c r="J10" s="3"/>
      <c r="K10" s="3"/>
      <c r="L10" s="15"/>
      <c r="N10" s="424">
        <v>5</v>
      </c>
      <c r="O10" s="425">
        <v>156.8220062</v>
      </c>
      <c r="P10" s="425">
        <v>111.01599880000001</v>
      </c>
      <c r="Q10" s="426">
        <v>186.18299870000001</v>
      </c>
      <c r="R10" s="827">
        <v>209.06850435244098</v>
      </c>
      <c r="S10" s="424">
        <v>5</v>
      </c>
      <c r="T10" s="425">
        <v>204.80799868699998</v>
      </c>
      <c r="U10" s="425">
        <v>269.07999802</v>
      </c>
      <c r="V10" s="426">
        <v>217.55805158600003</v>
      </c>
      <c r="W10" s="827">
        <v>219.56099320000001</v>
      </c>
    </row>
    <row r="11" spans="1:23" ht="11.25" customHeight="1">
      <c r="A11" s="17"/>
      <c r="B11" s="162"/>
      <c r="C11" s="39"/>
      <c r="D11" s="162"/>
      <c r="E11" s="162"/>
      <c r="F11" s="70"/>
      <c r="G11" s="66"/>
      <c r="H11" s="66"/>
      <c r="I11" s="71"/>
      <c r="J11" s="3"/>
      <c r="K11" s="3"/>
      <c r="L11" s="15"/>
      <c r="N11" s="424">
        <v>6</v>
      </c>
      <c r="O11" s="425">
        <v>168.8840027</v>
      </c>
      <c r="P11" s="425">
        <v>126.6029968</v>
      </c>
      <c r="Q11" s="426">
        <v>222.22</v>
      </c>
      <c r="R11" s="827">
        <v>250.22700500488199</v>
      </c>
      <c r="S11" s="424">
        <v>6</v>
      </c>
      <c r="T11" s="425">
        <v>201.82999366799999</v>
      </c>
      <c r="U11" s="425">
        <v>273.52000047000001</v>
      </c>
      <c r="V11" s="426">
        <v>279.10000000000002</v>
      </c>
      <c r="W11" s="827">
        <v>285.12099838256813</v>
      </c>
    </row>
    <row r="12" spans="1:23" ht="11.25" customHeight="1">
      <c r="A12" s="17"/>
      <c r="B12" s="162"/>
      <c r="C12" s="39"/>
      <c r="D12" s="162"/>
      <c r="E12" s="162"/>
      <c r="F12" s="70"/>
      <c r="G12" s="66"/>
      <c r="H12" s="66"/>
      <c r="I12" s="71"/>
      <c r="J12" s="3"/>
      <c r="K12" s="3"/>
      <c r="L12" s="15"/>
      <c r="N12" s="424">
        <v>7</v>
      </c>
      <c r="O12" s="425">
        <v>196.28300479999999</v>
      </c>
      <c r="P12" s="425">
        <v>135.7250061</v>
      </c>
      <c r="Q12" s="426">
        <v>277.02099609999999</v>
      </c>
      <c r="R12" s="827">
        <v>274.18798829999997</v>
      </c>
      <c r="S12" s="424">
        <v>7</v>
      </c>
      <c r="T12" s="425">
        <v>199.59600258</v>
      </c>
      <c r="U12" s="425">
        <v>302.63299941999998</v>
      </c>
      <c r="V12" s="426">
        <v>338.21854399</v>
      </c>
      <c r="W12" s="827">
        <v>329.34199910000001</v>
      </c>
    </row>
    <row r="13" spans="1:23" ht="11.25" customHeight="1">
      <c r="A13" s="17"/>
      <c r="B13" s="162"/>
      <c r="C13" s="39"/>
      <c r="D13" s="162"/>
      <c r="E13" s="162"/>
      <c r="F13" s="70"/>
      <c r="G13" s="66"/>
      <c r="H13" s="66"/>
      <c r="I13" s="71"/>
      <c r="J13" s="4"/>
      <c r="K13" s="4"/>
      <c r="L13" s="12"/>
      <c r="N13" s="424">
        <v>8</v>
      </c>
      <c r="O13" s="425">
        <v>230.18899540000001</v>
      </c>
      <c r="P13" s="425">
        <v>159.2149963</v>
      </c>
      <c r="Q13" s="426">
        <v>293.06698610000001</v>
      </c>
      <c r="R13" s="827">
        <v>291.3330078125</v>
      </c>
      <c r="S13" s="424">
        <v>8</v>
      </c>
      <c r="T13" s="425">
        <v>214.34299659800001</v>
      </c>
      <c r="U13" s="425">
        <v>328.23703</v>
      </c>
      <c r="V13" s="426">
        <v>388.64800643000001</v>
      </c>
      <c r="W13" s="827">
        <v>352.60932731628355</v>
      </c>
    </row>
    <row r="14" spans="1:23" ht="11.25" customHeight="1">
      <c r="A14" s="17"/>
      <c r="B14" s="162"/>
      <c r="C14" s="39"/>
      <c r="D14" s="162"/>
      <c r="E14" s="162"/>
      <c r="F14" s="70"/>
      <c r="G14" s="66"/>
      <c r="H14" s="66"/>
      <c r="I14" s="71"/>
      <c r="J14" s="3"/>
      <c r="K14" s="6"/>
      <c r="L14" s="15"/>
      <c r="N14" s="424">
        <v>9</v>
      </c>
      <c r="O14" s="425">
        <v>249.13000489999999</v>
      </c>
      <c r="P14" s="425">
        <v>186.18299870000001</v>
      </c>
      <c r="Q14" s="426">
        <v>294.29501340000002</v>
      </c>
      <c r="R14" s="827">
        <v>281.57400510000002</v>
      </c>
      <c r="S14" s="424">
        <v>9</v>
      </c>
      <c r="T14" s="425">
        <v>250.89400288000002</v>
      </c>
      <c r="U14" s="425">
        <v>343.54049999999995</v>
      </c>
      <c r="V14" s="426">
        <v>377.13099283000003</v>
      </c>
      <c r="W14" s="827">
        <v>377.95000650999998</v>
      </c>
    </row>
    <row r="15" spans="1:23" ht="11.25" customHeight="1">
      <c r="A15" s="17"/>
      <c r="B15" s="162"/>
      <c r="C15" s="39"/>
      <c r="D15" s="162"/>
      <c r="E15" s="162"/>
      <c r="F15" s="70"/>
      <c r="G15" s="66"/>
      <c r="H15" s="66"/>
      <c r="I15" s="71"/>
      <c r="J15" s="3"/>
      <c r="K15" s="6"/>
      <c r="L15" s="15"/>
      <c r="N15" s="424">
        <v>10</v>
      </c>
      <c r="O15" s="425">
        <v>311.77999999999997</v>
      </c>
      <c r="P15" s="425">
        <v>203.96099849999999</v>
      </c>
      <c r="Q15" s="426">
        <v>291.91101070000002</v>
      </c>
      <c r="R15" s="827">
        <v>277.58898929999998</v>
      </c>
      <c r="S15" s="424">
        <v>10</v>
      </c>
      <c r="T15" s="425">
        <v>298.99899296000001</v>
      </c>
      <c r="U15" s="425">
        <v>371.29100467000001</v>
      </c>
      <c r="V15" s="426">
        <v>385.62499995999997</v>
      </c>
      <c r="W15" s="827">
        <v>383.25900259000002</v>
      </c>
    </row>
    <row r="16" spans="1:23" ht="11.25" customHeight="1">
      <c r="A16" s="17"/>
      <c r="B16" s="162"/>
      <c r="C16" s="39"/>
      <c r="D16" s="162"/>
      <c r="E16" s="162"/>
      <c r="F16" s="70"/>
      <c r="G16" s="66"/>
      <c r="H16" s="66"/>
      <c r="I16" s="71"/>
      <c r="J16" s="3"/>
      <c r="K16" s="6"/>
      <c r="L16" s="15"/>
      <c r="N16" s="424">
        <v>11</v>
      </c>
      <c r="O16" s="425">
        <v>332.70800000000003</v>
      </c>
      <c r="P16" s="425">
        <v>230.18899540000001</v>
      </c>
      <c r="Q16" s="426">
        <v>301.204986572265</v>
      </c>
      <c r="R16" s="828">
        <v>288.4509888</v>
      </c>
      <c r="S16" s="424">
        <v>11</v>
      </c>
      <c r="T16" s="425">
        <v>321.03300188000003</v>
      </c>
      <c r="U16" s="425">
        <v>390.38299555999998</v>
      </c>
      <c r="V16" s="426">
        <v>389.38100242614604</v>
      </c>
      <c r="W16" s="827">
        <v>394.92200288000009</v>
      </c>
    </row>
    <row r="17" spans="1:23" ht="11.25" customHeight="1">
      <c r="A17" s="17"/>
      <c r="B17" s="162"/>
      <c r="C17" s="39"/>
      <c r="D17" s="162"/>
      <c r="E17" s="162"/>
      <c r="F17" s="70"/>
      <c r="G17" s="66"/>
      <c r="H17" s="66"/>
      <c r="I17" s="71"/>
      <c r="J17" s="3"/>
      <c r="K17" s="6"/>
      <c r="L17" s="15"/>
      <c r="N17" s="424">
        <v>12</v>
      </c>
      <c r="O17" s="425">
        <v>344.881012</v>
      </c>
      <c r="P17" s="425">
        <v>282.71701050000001</v>
      </c>
      <c r="Q17" s="426">
        <v>310.0090027</v>
      </c>
      <c r="R17" s="828">
        <v>295.38400268554602</v>
      </c>
      <c r="S17" s="424">
        <v>12</v>
      </c>
      <c r="T17" s="425">
        <v>332.34900279999999</v>
      </c>
      <c r="U17" s="425">
        <v>412.41217171999995</v>
      </c>
      <c r="V17" s="426">
        <v>386.27799791999996</v>
      </c>
      <c r="W17" s="827">
        <v>390.290998458861</v>
      </c>
    </row>
    <row r="18" spans="1:23" ht="11.25" customHeight="1">
      <c r="A18" s="17"/>
      <c r="B18" s="162"/>
      <c r="C18" s="39"/>
      <c r="D18" s="162"/>
      <c r="E18" s="162"/>
      <c r="F18" s="70"/>
      <c r="G18" s="66"/>
      <c r="H18" s="66"/>
      <c r="I18" s="71"/>
      <c r="J18" s="3"/>
      <c r="K18" s="6"/>
      <c r="L18" s="15"/>
      <c r="N18" s="424">
        <v>13</v>
      </c>
      <c r="O18" s="425">
        <v>338.77499390000003</v>
      </c>
      <c r="P18" s="425">
        <v>329.68899540000001</v>
      </c>
      <c r="Q18" s="426">
        <v>333.91799930000002</v>
      </c>
      <c r="R18" s="828">
        <v>303.54400634765602</v>
      </c>
      <c r="S18" s="424">
        <v>13</v>
      </c>
      <c r="T18" s="425">
        <v>366.02899361000004</v>
      </c>
      <c r="U18" s="425">
        <v>410.83199501000001</v>
      </c>
      <c r="V18" s="426">
        <v>388.98099517000003</v>
      </c>
      <c r="W18" s="827">
        <v>402.17499160766499</v>
      </c>
    </row>
    <row r="19" spans="1:23" ht="11.25" customHeight="1">
      <c r="A19" s="17"/>
      <c r="B19" s="162"/>
      <c r="C19" s="39"/>
      <c r="D19" s="162"/>
      <c r="E19" s="162"/>
      <c r="F19" s="70"/>
      <c r="G19" s="66"/>
      <c r="H19" s="66"/>
      <c r="I19" s="71"/>
      <c r="J19" s="3"/>
      <c r="K19" s="6"/>
      <c r="L19" s="15"/>
      <c r="N19" s="424">
        <v>14</v>
      </c>
      <c r="O19" s="425">
        <v>338.77999390000002</v>
      </c>
      <c r="P19" s="425">
        <v>329.68899540000001</v>
      </c>
      <c r="Q19" s="426">
        <v>335.73699950000002</v>
      </c>
      <c r="R19" s="427">
        <v>296.54501340000002</v>
      </c>
      <c r="S19" s="424">
        <v>14</v>
      </c>
      <c r="T19" s="425">
        <v>382.58400344</v>
      </c>
      <c r="U19" s="425">
        <v>403.70400233999999</v>
      </c>
      <c r="V19" s="426">
        <v>393.36499596000004</v>
      </c>
      <c r="W19" s="418">
        <v>398.93495940999998</v>
      </c>
    </row>
    <row r="20" spans="1:23" ht="11.25" customHeight="1">
      <c r="A20" s="17"/>
      <c r="B20" s="162"/>
      <c r="C20" s="39"/>
      <c r="D20" s="162"/>
      <c r="E20" s="162"/>
      <c r="F20" s="70"/>
      <c r="G20" s="66"/>
      <c r="H20" s="66"/>
      <c r="I20" s="71"/>
      <c r="J20" s="3"/>
      <c r="K20" s="6"/>
      <c r="L20" s="15"/>
      <c r="N20" s="424">
        <v>15</v>
      </c>
      <c r="O20" s="425">
        <v>347.94900510000002</v>
      </c>
      <c r="P20" s="425">
        <v>326.67999270000001</v>
      </c>
      <c r="Q20" s="426">
        <v>335.73699950000002</v>
      </c>
      <c r="R20" s="427">
        <v>289.60299680000003</v>
      </c>
      <c r="S20" s="424">
        <v>15</v>
      </c>
      <c r="T20" s="425">
        <v>385.29699126999998</v>
      </c>
      <c r="U20" s="425">
        <v>399.27400204999998</v>
      </c>
      <c r="V20" s="426">
        <v>385.77799804</v>
      </c>
      <c r="W20" s="418">
        <v>388.01895332999999</v>
      </c>
    </row>
    <row r="21" spans="1:23" ht="11.25" customHeight="1">
      <c r="A21" s="17"/>
      <c r="B21" s="162"/>
      <c r="C21" s="39"/>
      <c r="D21" s="162"/>
      <c r="E21" s="162"/>
      <c r="F21" s="70"/>
      <c r="G21" s="66"/>
      <c r="H21" s="66"/>
      <c r="I21" s="71"/>
      <c r="J21" s="3"/>
      <c r="K21" s="7"/>
      <c r="L21" s="16"/>
      <c r="N21" s="424">
        <v>16</v>
      </c>
      <c r="O21" s="425">
        <v>354.11401369999999</v>
      </c>
      <c r="P21" s="425">
        <v>314.7409973</v>
      </c>
      <c r="Q21" s="426">
        <v>335.73699950000002</v>
      </c>
      <c r="R21" s="427">
        <v>285.006012</v>
      </c>
      <c r="S21" s="424">
        <v>16</v>
      </c>
      <c r="T21" s="425">
        <v>384.95899003</v>
      </c>
      <c r="U21" s="425">
        <v>394.58499913000003</v>
      </c>
      <c r="V21" s="426">
        <v>385.72399323999997</v>
      </c>
      <c r="W21" s="418">
        <v>383.39695458999995</v>
      </c>
    </row>
    <row r="22" spans="1:23" ht="11.25" customHeight="1">
      <c r="A22" s="77"/>
      <c r="B22" s="162"/>
      <c r="C22" s="39"/>
      <c r="D22" s="162"/>
      <c r="E22" s="162"/>
      <c r="F22" s="70"/>
      <c r="G22" s="66"/>
      <c r="H22" s="66"/>
      <c r="I22" s="71"/>
      <c r="J22" s="3"/>
      <c r="K22" s="6"/>
      <c r="L22" s="15"/>
      <c r="N22" s="424">
        <v>17</v>
      </c>
      <c r="O22" s="425">
        <v>351.02700809999999</v>
      </c>
      <c r="P22" s="425">
        <v>305.89001459999997</v>
      </c>
      <c r="Q22" s="426">
        <v>335.73699950000002</v>
      </c>
      <c r="R22" s="427">
        <v>285.00601196289</v>
      </c>
      <c r="S22" s="424">
        <v>17</v>
      </c>
      <c r="T22" s="425">
        <v>381.86699488000005</v>
      </c>
      <c r="U22" s="425">
        <v>392.29800030000007</v>
      </c>
      <c r="V22" s="426">
        <v>388.74200823000001</v>
      </c>
      <c r="W22" s="418">
        <v>381.56399345397853</v>
      </c>
    </row>
    <row r="23" spans="1:23" ht="11.25" customHeight="1">
      <c r="A23" s="77"/>
      <c r="B23" s="162"/>
      <c r="C23" s="39"/>
      <c r="D23" s="162"/>
      <c r="E23" s="162"/>
      <c r="F23" s="70"/>
      <c r="G23" s="66"/>
      <c r="H23" s="66"/>
      <c r="I23" s="71"/>
      <c r="J23" s="3"/>
      <c r="K23" s="6"/>
      <c r="L23" s="15"/>
      <c r="N23" s="424">
        <v>18</v>
      </c>
      <c r="O23" s="425">
        <v>354.11401369999999</v>
      </c>
      <c r="P23" s="425">
        <v>314.7409973</v>
      </c>
      <c r="Q23" s="426">
        <v>335.73699950000002</v>
      </c>
      <c r="R23" s="427">
        <v>285.006012</v>
      </c>
      <c r="S23" s="424">
        <v>18</v>
      </c>
      <c r="T23" s="425">
        <v>382.77999115</v>
      </c>
      <c r="U23" s="425">
        <v>390.15600400999995</v>
      </c>
      <c r="V23" s="426">
        <v>386.49800113000003</v>
      </c>
      <c r="W23" s="418">
        <v>379.87400246999994</v>
      </c>
    </row>
    <row r="24" spans="1:23" ht="11.25" customHeight="1">
      <c r="A24" s="77"/>
      <c r="B24" s="162"/>
      <c r="C24" s="39"/>
      <c r="D24" s="162"/>
      <c r="E24" s="162"/>
      <c r="F24" s="70"/>
      <c r="G24" s="66"/>
      <c r="H24" s="66"/>
      <c r="I24" s="71"/>
      <c r="J24" s="6"/>
      <c r="K24" s="6"/>
      <c r="L24" s="15"/>
      <c r="N24" s="424">
        <v>19</v>
      </c>
      <c r="O24" s="425">
        <v>363.43499759999997</v>
      </c>
      <c r="P24" s="425">
        <v>314.7409973</v>
      </c>
      <c r="Q24" s="426">
        <v>314.7409973</v>
      </c>
      <c r="R24" s="427">
        <v>314.7409973</v>
      </c>
      <c r="S24" s="424">
        <v>19</v>
      </c>
      <c r="T24" s="425">
        <v>381.91700169999996</v>
      </c>
      <c r="U24" s="425">
        <v>386.47099490999994</v>
      </c>
      <c r="V24" s="426">
        <v>384.38200000000001</v>
      </c>
      <c r="W24" s="418">
        <v>375.69400404000004</v>
      </c>
    </row>
    <row r="25" spans="1:23" ht="11.25" customHeight="1">
      <c r="A25" s="267" t="s">
        <v>473</v>
      </c>
      <c r="B25" s="162"/>
      <c r="C25" s="39"/>
      <c r="D25" s="162"/>
      <c r="E25" s="162"/>
      <c r="F25" s="70"/>
      <c r="G25" s="66"/>
      <c r="H25" s="66"/>
      <c r="I25" s="71"/>
      <c r="J25" s="3"/>
      <c r="K25" s="7"/>
      <c r="L25" s="16"/>
      <c r="N25" s="721">
        <v>20</v>
      </c>
      <c r="O25" s="425">
        <v>366.56100459999999</v>
      </c>
      <c r="P25" s="425">
        <v>314.7409973</v>
      </c>
      <c r="Q25" s="426">
        <v>315.3340149</v>
      </c>
      <c r="R25" s="427">
        <v>314.14801030000001</v>
      </c>
      <c r="S25" s="424">
        <v>20</v>
      </c>
      <c r="T25" s="425">
        <v>379.35699083999998</v>
      </c>
      <c r="U25" s="425">
        <v>382.00799562999993</v>
      </c>
      <c r="V25" s="426">
        <v>381.56399727000002</v>
      </c>
      <c r="W25" s="723">
        <v>370.56599616999995</v>
      </c>
    </row>
    <row r="26" spans="1:23" ht="11.25" customHeight="1">
      <c r="A26" s="54"/>
      <c r="B26" s="162"/>
      <c r="C26" s="39"/>
      <c r="D26" s="162"/>
      <c r="E26" s="162"/>
      <c r="F26" s="70"/>
      <c r="G26" s="66"/>
      <c r="H26" s="66"/>
      <c r="I26" s="71"/>
      <c r="J26" s="4"/>
      <c r="K26" s="6"/>
      <c r="L26" s="15"/>
      <c r="N26" s="424">
        <v>21</v>
      </c>
      <c r="O26" s="425">
        <v>357.21099850000002</v>
      </c>
      <c r="P26" s="425">
        <v>314.7409973</v>
      </c>
      <c r="Q26" s="426">
        <v>311.78100590000003</v>
      </c>
      <c r="R26" s="722">
        <v>312.37200927734301</v>
      </c>
      <c r="S26" s="424">
        <v>21</v>
      </c>
      <c r="T26" s="425">
        <v>375.59600258</v>
      </c>
      <c r="U26" s="425">
        <v>378.52099610999994</v>
      </c>
      <c r="V26" s="426">
        <v>376.47088237999998</v>
      </c>
      <c r="W26" s="418">
        <v>365.52200794219863</v>
      </c>
    </row>
    <row r="27" spans="1:23" ht="11.25" customHeight="1">
      <c r="A27" s="77"/>
      <c r="B27" s="162"/>
      <c r="C27" s="39"/>
      <c r="D27" s="162"/>
      <c r="E27" s="162"/>
      <c r="F27" s="73"/>
      <c r="G27" s="73"/>
      <c r="H27" s="73"/>
      <c r="I27" s="73"/>
      <c r="J27" s="4"/>
      <c r="K27" s="6"/>
      <c r="L27" s="15"/>
      <c r="N27" s="424">
        <v>22</v>
      </c>
      <c r="O27" s="425">
        <v>341.82</v>
      </c>
      <c r="P27" s="425">
        <v>311.78100590000003</v>
      </c>
      <c r="Q27" s="426">
        <v>310.60000609999997</v>
      </c>
      <c r="R27" s="722">
        <v>310.60000609999997</v>
      </c>
      <c r="S27" s="424">
        <v>22</v>
      </c>
      <c r="T27" s="425">
        <v>373.52000000000004</v>
      </c>
      <c r="U27" s="425">
        <v>375.20999716</v>
      </c>
      <c r="V27" s="426">
        <v>370.73099807</v>
      </c>
      <c r="W27" s="418">
        <v>359.19900507300002</v>
      </c>
    </row>
    <row r="28" spans="1:23" ht="11.25" customHeight="1">
      <c r="A28" s="77"/>
      <c r="B28" s="162"/>
      <c r="C28" s="39"/>
      <c r="D28" s="162"/>
      <c r="E28" s="162"/>
      <c r="F28" s="73"/>
      <c r="G28" s="73"/>
      <c r="H28" s="73"/>
      <c r="I28" s="73"/>
      <c r="J28" s="4"/>
      <c r="K28" s="6"/>
      <c r="L28" s="15"/>
      <c r="N28" s="424">
        <v>23</v>
      </c>
      <c r="O28" s="425">
        <v>326.67999270000001</v>
      </c>
      <c r="P28" s="425">
        <v>308.82998659999998</v>
      </c>
      <c r="Q28" s="426">
        <v>307.06500240000003</v>
      </c>
      <c r="R28" s="722">
        <v>307.06500240000003</v>
      </c>
      <c r="S28" s="424">
        <v>23</v>
      </c>
      <c r="T28" s="425">
        <v>369.22100255000004</v>
      </c>
      <c r="U28" s="425">
        <v>374.07600211999994</v>
      </c>
      <c r="V28" s="426">
        <v>363.24299430999997</v>
      </c>
      <c r="W28" s="418">
        <v>354.24799921000005</v>
      </c>
    </row>
    <row r="29" spans="1:23" ht="11.25" customHeight="1">
      <c r="A29" s="77"/>
      <c r="B29" s="162"/>
      <c r="C29" s="39"/>
      <c r="D29" s="162"/>
      <c r="E29" s="162"/>
      <c r="F29" s="73"/>
      <c r="G29" s="73"/>
      <c r="H29" s="73"/>
      <c r="I29" s="73"/>
      <c r="J29" s="4"/>
      <c r="K29" s="6"/>
      <c r="L29" s="15"/>
      <c r="N29" s="424">
        <v>24</v>
      </c>
      <c r="O29" s="425">
        <v>308.82998659999998</v>
      </c>
      <c r="P29" s="425">
        <v>300.0379944</v>
      </c>
      <c r="Q29" s="426">
        <v>302.9590149</v>
      </c>
      <c r="R29" s="722">
        <v>300.621002197265</v>
      </c>
      <c r="S29" s="424">
        <v>24</v>
      </c>
      <c r="T29" s="425">
        <v>364.44200138999997</v>
      </c>
      <c r="U29" s="425">
        <v>370.89200402</v>
      </c>
      <c r="V29" s="426">
        <v>357.21200376000002</v>
      </c>
      <c r="W29" s="418">
        <v>348.87000203132561</v>
      </c>
    </row>
    <row r="30" spans="1:23" ht="11.25" customHeight="1">
      <c r="A30" s="74"/>
      <c r="B30" s="73"/>
      <c r="C30" s="73"/>
      <c r="D30" s="73"/>
      <c r="E30" s="73"/>
      <c r="F30" s="73"/>
      <c r="G30" s="73"/>
      <c r="H30" s="73"/>
      <c r="I30" s="73"/>
      <c r="J30" s="3"/>
      <c r="K30" s="6"/>
      <c r="L30" s="15"/>
      <c r="N30" s="424">
        <v>25</v>
      </c>
      <c r="O30" s="425">
        <v>291.33300780000002</v>
      </c>
      <c r="P30" s="425">
        <v>294.22500609999997</v>
      </c>
      <c r="Q30" s="426">
        <v>300.0379944</v>
      </c>
      <c r="R30" s="722">
        <v>286.72698969999999</v>
      </c>
      <c r="S30" s="424">
        <v>25</v>
      </c>
      <c r="T30" s="425">
        <v>359.61999897999999</v>
      </c>
      <c r="U30" s="425">
        <v>366.71700096999996</v>
      </c>
      <c r="V30" s="426">
        <v>352.1909981</v>
      </c>
      <c r="W30" s="418">
        <v>343.83099551700002</v>
      </c>
    </row>
    <row r="31" spans="1:23" ht="11.25" customHeight="1">
      <c r="A31" s="74"/>
      <c r="B31" s="73"/>
      <c r="C31" s="73"/>
      <c r="D31" s="73"/>
      <c r="E31" s="73"/>
      <c r="F31" s="73"/>
      <c r="G31" s="73"/>
      <c r="H31" s="73"/>
      <c r="I31" s="73"/>
      <c r="J31" s="3"/>
      <c r="K31" s="6"/>
      <c r="L31" s="15"/>
      <c r="N31" s="424">
        <v>26</v>
      </c>
      <c r="O31" s="425">
        <v>268.55099489999998</v>
      </c>
      <c r="P31" s="425">
        <v>282.71701050000001</v>
      </c>
      <c r="Q31" s="426">
        <v>296.06698610000001</v>
      </c>
      <c r="R31" s="722">
        <v>266.86801150000002</v>
      </c>
      <c r="S31" s="424">
        <v>26</v>
      </c>
      <c r="T31" s="425">
        <v>354.77499773999995</v>
      </c>
      <c r="U31" s="425">
        <v>361.43599508999995</v>
      </c>
      <c r="V31" s="426">
        <v>346.62612917400003</v>
      </c>
      <c r="W31" s="418">
        <v>338.47100355099997</v>
      </c>
    </row>
    <row r="32" spans="1:23" ht="11.25" customHeight="1">
      <c r="A32" s="74"/>
      <c r="B32" s="73"/>
      <c r="C32" s="73"/>
      <c r="D32" s="73"/>
      <c r="E32" s="73"/>
      <c r="F32" s="73"/>
      <c r="G32" s="73"/>
      <c r="H32" s="73"/>
      <c r="I32" s="73"/>
      <c r="J32" s="3"/>
      <c r="K32" s="6"/>
      <c r="L32" s="15"/>
      <c r="N32" s="424">
        <v>27</v>
      </c>
      <c r="O32" s="425">
        <v>265.7470093</v>
      </c>
      <c r="P32" s="425">
        <v>271.36</v>
      </c>
      <c r="Q32" s="426">
        <v>275.89</v>
      </c>
      <c r="R32" s="722">
        <v>255.73500061035099</v>
      </c>
      <c r="S32" s="424">
        <v>27</v>
      </c>
      <c r="T32" s="425">
        <v>349.77999684000002</v>
      </c>
      <c r="U32" s="425">
        <v>355.34</v>
      </c>
      <c r="V32" s="426">
        <v>341.25900444999996</v>
      </c>
      <c r="W32" s="418">
        <v>333.23996639251612</v>
      </c>
    </row>
    <row r="33" spans="1:23" ht="11.25" customHeight="1">
      <c r="A33" s="74"/>
      <c r="B33" s="73"/>
      <c r="C33" s="73"/>
      <c r="D33" s="73"/>
      <c r="E33" s="73"/>
      <c r="F33" s="73"/>
      <c r="G33" s="73"/>
      <c r="H33" s="73"/>
      <c r="I33" s="73"/>
      <c r="J33" s="3"/>
      <c r="K33" s="6"/>
      <c r="L33" s="15"/>
      <c r="N33" s="424">
        <v>28</v>
      </c>
      <c r="O33" s="425">
        <v>243.66999820000001</v>
      </c>
      <c r="P33" s="428">
        <v>260.16900629999998</v>
      </c>
      <c r="Q33" s="426">
        <v>248.58200070000001</v>
      </c>
      <c r="R33" s="722">
        <v>244.7590027</v>
      </c>
      <c r="S33" s="424">
        <v>28</v>
      </c>
      <c r="T33" s="425">
        <v>344.32400322999996</v>
      </c>
      <c r="U33" s="425">
        <v>349.01599981000004</v>
      </c>
      <c r="V33" s="426">
        <v>337.18899436699996</v>
      </c>
      <c r="W33" s="418">
        <v>327.71050074999999</v>
      </c>
    </row>
    <row r="34" spans="1:23" ht="11.25" customHeight="1">
      <c r="A34" s="74"/>
      <c r="B34" s="73"/>
      <c r="C34" s="73"/>
      <c r="D34" s="73"/>
      <c r="E34" s="73"/>
      <c r="F34" s="73"/>
      <c r="G34" s="73"/>
      <c r="H34" s="73"/>
      <c r="I34" s="73"/>
      <c r="J34" s="3"/>
      <c r="K34" s="6"/>
      <c r="L34" s="15"/>
      <c r="N34" s="424">
        <v>29</v>
      </c>
      <c r="O34" s="425">
        <v>227.5220032</v>
      </c>
      <c r="P34" s="425">
        <v>251.88</v>
      </c>
      <c r="Q34" s="426">
        <v>238.787994384765</v>
      </c>
      <c r="R34" s="722">
        <v>231.25799559999999</v>
      </c>
      <c r="S34" s="424">
        <v>29</v>
      </c>
      <c r="T34" s="425">
        <v>338.60699847999996</v>
      </c>
      <c r="U34" s="425">
        <v>343.97999999999996</v>
      </c>
      <c r="V34" s="426">
        <v>333.50600986443789</v>
      </c>
      <c r="W34" s="418">
        <v>322.11699965099996</v>
      </c>
    </row>
    <row r="35" spans="1:23" ht="11.25" customHeight="1">
      <c r="A35" s="74"/>
      <c r="B35" s="73"/>
      <c r="C35" s="73"/>
      <c r="D35" s="73"/>
      <c r="E35" s="73"/>
      <c r="F35" s="73"/>
      <c r="G35" s="73"/>
      <c r="H35" s="73"/>
      <c r="I35" s="73"/>
      <c r="J35" s="6"/>
      <c r="K35" s="6"/>
      <c r="L35" s="15"/>
      <c r="N35" s="424">
        <v>30</v>
      </c>
      <c r="O35" s="425">
        <v>216.95199579999999</v>
      </c>
      <c r="P35" s="425">
        <v>232.8650055</v>
      </c>
      <c r="Q35" s="426">
        <v>229.12</v>
      </c>
      <c r="R35" s="722">
        <v>219.58000179999999</v>
      </c>
      <c r="S35" s="424">
        <v>30</v>
      </c>
      <c r="T35" s="425">
        <v>332.49400331000004</v>
      </c>
      <c r="U35" s="425">
        <v>342.06599807739167</v>
      </c>
      <c r="V35" s="426">
        <v>324.04999999999995</v>
      </c>
      <c r="W35" s="418">
        <v>316.39600081599997</v>
      </c>
    </row>
    <row r="36" spans="1:23" ht="11.25" customHeight="1">
      <c r="A36" s="74"/>
      <c r="B36" s="73"/>
      <c r="C36" s="73"/>
      <c r="D36" s="73"/>
      <c r="E36" s="73"/>
      <c r="F36" s="73"/>
      <c r="G36" s="73"/>
      <c r="H36" s="73"/>
      <c r="I36" s="73"/>
      <c r="J36" s="3"/>
      <c r="K36" s="6"/>
      <c r="L36" s="15"/>
      <c r="N36" s="424">
        <v>31</v>
      </c>
      <c r="O36" s="425">
        <v>209.128006</v>
      </c>
      <c r="P36" s="425">
        <v>211.726</v>
      </c>
      <c r="Q36" s="426">
        <v>219.05400090000001</v>
      </c>
      <c r="R36" s="722">
        <v>209.128006</v>
      </c>
      <c r="S36" s="424">
        <v>31</v>
      </c>
      <c r="T36" s="425">
        <v>324</v>
      </c>
      <c r="U36" s="425">
        <v>335.23199999999997</v>
      </c>
      <c r="V36" s="426">
        <v>318.10600236499999</v>
      </c>
      <c r="W36" s="418">
        <v>310.66199637099999</v>
      </c>
    </row>
    <row r="37" spans="1:23" ht="11.25" customHeight="1">
      <c r="A37" s="74"/>
      <c r="B37" s="73"/>
      <c r="C37" s="73"/>
      <c r="D37" s="73"/>
      <c r="E37" s="73"/>
      <c r="F37" s="73"/>
      <c r="G37" s="73"/>
      <c r="H37" s="73"/>
      <c r="I37" s="73"/>
      <c r="J37" s="3"/>
      <c r="K37" s="10"/>
      <c r="L37" s="15"/>
      <c r="N37" s="424">
        <v>32</v>
      </c>
      <c r="O37" s="425">
        <v>198.83200070000001</v>
      </c>
      <c r="P37" s="425">
        <v>181.19200129999999</v>
      </c>
      <c r="Q37" s="426">
        <v>209.128006</v>
      </c>
      <c r="R37" s="427">
        <v>201.39199830000001</v>
      </c>
      <c r="S37" s="424">
        <v>32</v>
      </c>
      <c r="T37" s="425">
        <v>320.73399734000003</v>
      </c>
      <c r="U37" s="425">
        <v>329.56800555999996</v>
      </c>
      <c r="V37" s="426">
        <v>312.078003352</v>
      </c>
      <c r="W37" s="418">
        <v>304.63100243800005</v>
      </c>
    </row>
    <row r="38" spans="1:23" ht="11.25" customHeight="1">
      <c r="A38" s="74"/>
      <c r="B38" s="73"/>
      <c r="C38" s="73"/>
      <c r="D38" s="73"/>
      <c r="E38" s="73"/>
      <c r="F38" s="73"/>
      <c r="G38" s="73"/>
      <c r="H38" s="73"/>
      <c r="I38" s="73"/>
      <c r="J38" s="3"/>
      <c r="K38" s="10"/>
      <c r="L38" s="38"/>
      <c r="N38" s="424">
        <v>33</v>
      </c>
      <c r="O38" s="425">
        <v>188.69299319999999</v>
      </c>
      <c r="P38" s="425">
        <v>152.0650024</v>
      </c>
      <c r="Q38" s="426">
        <v>199.85499569999999</v>
      </c>
      <c r="R38" s="427">
        <v>189.6999969</v>
      </c>
      <c r="S38" s="424">
        <v>33</v>
      </c>
      <c r="T38" s="425">
        <v>314.19900131999998</v>
      </c>
      <c r="U38" s="425">
        <v>323.79099748000004</v>
      </c>
      <c r="V38" s="426">
        <v>312.078003352</v>
      </c>
      <c r="W38" s="418">
        <v>299.14499665</v>
      </c>
    </row>
    <row r="39" spans="1:23" ht="11.25" customHeight="1">
      <c r="A39" s="74"/>
      <c r="B39" s="73"/>
      <c r="C39" s="73"/>
      <c r="D39" s="73"/>
      <c r="E39" s="73"/>
      <c r="F39" s="73"/>
      <c r="G39" s="73"/>
      <c r="H39" s="73"/>
      <c r="I39" s="73"/>
      <c r="J39" s="3"/>
      <c r="K39" s="7"/>
      <c r="L39" s="15"/>
      <c r="N39" s="424">
        <v>34</v>
      </c>
      <c r="O39" s="425">
        <v>183.68200680000001</v>
      </c>
      <c r="P39" s="425">
        <v>156.8220062</v>
      </c>
      <c r="Q39" s="426">
        <v>188.69299319999999</v>
      </c>
      <c r="R39" s="427">
        <v>178.71099849999999</v>
      </c>
      <c r="S39" s="424">
        <v>34</v>
      </c>
      <c r="T39" s="425">
        <v>307.85200500000002</v>
      </c>
      <c r="U39" s="425">
        <v>317.64699750999995</v>
      </c>
      <c r="V39" s="426">
        <v>299.58200316099999</v>
      </c>
      <c r="W39" s="418">
        <v>293.22399712800001</v>
      </c>
    </row>
    <row r="40" spans="1:23" ht="11.25" customHeight="1">
      <c r="A40" s="74"/>
      <c r="B40" s="73"/>
      <c r="C40" s="73"/>
      <c r="D40" s="73"/>
      <c r="E40" s="73"/>
      <c r="F40" s="73"/>
      <c r="G40" s="73"/>
      <c r="H40" s="73"/>
      <c r="I40" s="73"/>
      <c r="J40" s="3"/>
      <c r="K40" s="7"/>
      <c r="L40" s="15"/>
      <c r="N40" s="424">
        <v>35</v>
      </c>
      <c r="O40" s="425">
        <v>176.23899840000001</v>
      </c>
      <c r="P40" s="429">
        <v>156.82</v>
      </c>
      <c r="Q40" s="426">
        <v>177.72099299999999</v>
      </c>
      <c r="R40" s="427">
        <v>167.91000366210901</v>
      </c>
      <c r="S40" s="424">
        <v>35</v>
      </c>
      <c r="T40" s="425">
        <v>300.83900069999999</v>
      </c>
      <c r="U40" s="425">
        <v>311.42</v>
      </c>
      <c r="V40" s="426">
        <v>292.71899843200003</v>
      </c>
      <c r="W40" s="418">
        <v>287.11000061035065</v>
      </c>
    </row>
    <row r="41" spans="1:23" ht="11.25" customHeight="1">
      <c r="A41" s="74"/>
      <c r="B41" s="73"/>
      <c r="C41" s="73"/>
      <c r="D41" s="73"/>
      <c r="E41" s="73"/>
      <c r="F41" s="73"/>
      <c r="G41" s="73"/>
      <c r="H41" s="73"/>
      <c r="I41" s="73"/>
      <c r="J41" s="3"/>
      <c r="K41" s="7"/>
      <c r="L41" s="15"/>
      <c r="N41" s="424">
        <v>36</v>
      </c>
      <c r="O41" s="425">
        <v>168.8840027</v>
      </c>
      <c r="P41" s="429">
        <v>159.21</v>
      </c>
      <c r="Q41" s="426">
        <v>164.99800110000001</v>
      </c>
      <c r="R41" s="427">
        <v>158.25599670410099</v>
      </c>
      <c r="S41" s="424">
        <v>36</v>
      </c>
      <c r="T41" s="425">
        <v>293.46100233999999</v>
      </c>
      <c r="U41" s="425">
        <v>305.20999999999998</v>
      </c>
      <c r="V41" s="426">
        <v>286.64699412499999</v>
      </c>
      <c r="W41" s="418">
        <v>280.34500217437699</v>
      </c>
    </row>
    <row r="42" spans="1:23" ht="11.25" customHeight="1">
      <c r="A42" s="74"/>
      <c r="B42" s="73"/>
      <c r="C42" s="73"/>
      <c r="D42" s="73"/>
      <c r="E42" s="73"/>
      <c r="F42" s="73"/>
      <c r="G42" s="73"/>
      <c r="H42" s="73"/>
      <c r="I42" s="73"/>
      <c r="J42" s="6"/>
      <c r="K42" s="10"/>
      <c r="L42" s="15"/>
      <c r="N42" s="424">
        <v>37</v>
      </c>
      <c r="O42" s="425">
        <v>159.2149963</v>
      </c>
      <c r="P42" s="429">
        <v>159.2149963</v>
      </c>
      <c r="Q42" s="426">
        <v>154.53400055</v>
      </c>
      <c r="R42" s="427">
        <v>147.34800720214801</v>
      </c>
      <c r="S42" s="424">
        <v>37</v>
      </c>
      <c r="T42" s="425">
        <v>287.76599501999999</v>
      </c>
      <c r="U42" s="425">
        <v>299.17000225600003</v>
      </c>
      <c r="V42" s="426">
        <v>280.605003845</v>
      </c>
      <c r="W42" s="418">
        <v>273.90200042724575</v>
      </c>
    </row>
    <row r="43" spans="1:23" ht="11.25" customHeight="1">
      <c r="A43" s="74"/>
      <c r="B43" s="73"/>
      <c r="C43" s="73"/>
      <c r="D43" s="73"/>
      <c r="E43" s="73"/>
      <c r="F43" s="73"/>
      <c r="G43" s="73"/>
      <c r="H43" s="73"/>
      <c r="I43" s="73"/>
      <c r="J43" s="3"/>
      <c r="K43" s="10"/>
      <c r="L43" s="15"/>
      <c r="N43" s="424">
        <v>38</v>
      </c>
      <c r="O43" s="425">
        <v>149.70199579999999</v>
      </c>
      <c r="P43" s="429">
        <v>149.70199579999999</v>
      </c>
      <c r="Q43" s="426">
        <v>144.07</v>
      </c>
      <c r="R43" s="427">
        <v>136.64599609375</v>
      </c>
      <c r="S43" s="424">
        <v>38</v>
      </c>
      <c r="T43" s="425">
        <v>282.07300377000001</v>
      </c>
      <c r="U43" s="425">
        <v>292.45899891799996</v>
      </c>
      <c r="V43" s="426">
        <v>274.21999999999997</v>
      </c>
      <c r="W43" s="418">
        <v>267.16300058364783</v>
      </c>
    </row>
    <row r="44" spans="1:23" ht="11.25" customHeight="1">
      <c r="A44" s="74"/>
      <c r="B44" s="73"/>
      <c r="C44" s="73"/>
      <c r="D44" s="73"/>
      <c r="E44" s="73"/>
      <c r="F44" s="73"/>
      <c r="G44" s="73"/>
      <c r="H44" s="73"/>
      <c r="I44" s="73"/>
      <c r="J44" s="3"/>
      <c r="K44" s="10"/>
      <c r="L44" s="15"/>
      <c r="N44" s="424">
        <v>39</v>
      </c>
      <c r="O44" s="425">
        <v>138.02999879999999</v>
      </c>
      <c r="P44" s="429">
        <v>117.6380005</v>
      </c>
      <c r="Q44" s="426">
        <v>135.725006103515</v>
      </c>
      <c r="R44" s="427">
        <v>131.14500430000001</v>
      </c>
      <c r="S44" s="424">
        <v>39</v>
      </c>
      <c r="T44" s="425">
        <v>275.53000069000001</v>
      </c>
      <c r="U44" s="425">
        <v>286.11999916000002</v>
      </c>
      <c r="V44" s="426">
        <v>267.58499765396107</v>
      </c>
      <c r="W44" s="418">
        <v>262.426999588</v>
      </c>
    </row>
    <row r="45" spans="1:23" ht="11.25" customHeight="1">
      <c r="A45" s="74"/>
      <c r="B45" s="73"/>
      <c r="C45" s="73"/>
      <c r="D45" s="73"/>
      <c r="E45" s="73"/>
      <c r="F45" s="73"/>
      <c r="G45" s="73"/>
      <c r="H45" s="73"/>
      <c r="I45" s="73"/>
      <c r="J45" s="11"/>
      <c r="K45" s="11"/>
      <c r="L45" s="11"/>
      <c r="N45" s="424">
        <v>40</v>
      </c>
      <c r="O45" s="425">
        <v>131.14500430000001</v>
      </c>
      <c r="P45" s="425">
        <v>91.680000309999997</v>
      </c>
      <c r="Q45" s="426">
        <v>127.0559998</v>
      </c>
      <c r="R45" s="427">
        <v>120.7580032</v>
      </c>
      <c r="S45" s="424">
        <v>40</v>
      </c>
      <c r="T45" s="425">
        <v>268.25699615000002</v>
      </c>
      <c r="U45" s="425">
        <v>278.57999837699998</v>
      </c>
      <c r="V45" s="426">
        <v>260.96199703900004</v>
      </c>
      <c r="W45" s="418">
        <v>258.968997</v>
      </c>
    </row>
    <row r="46" spans="1:23" ht="11.25" customHeight="1">
      <c r="A46" s="74"/>
      <c r="B46" s="73"/>
      <c r="C46" s="73"/>
      <c r="D46" s="73"/>
      <c r="E46" s="73"/>
      <c r="F46" s="73"/>
      <c r="G46" s="73"/>
      <c r="H46" s="73"/>
      <c r="I46" s="73"/>
      <c r="J46" s="11"/>
      <c r="K46" s="11"/>
      <c r="L46" s="11"/>
      <c r="N46" s="424">
        <v>41</v>
      </c>
      <c r="O46" s="425">
        <v>108.82900239999999</v>
      </c>
      <c r="P46" s="425">
        <v>71.125</v>
      </c>
      <c r="Q46" s="426">
        <v>110.13999939999999</v>
      </c>
      <c r="R46" s="427">
        <v>102.3249969</v>
      </c>
      <c r="S46" s="424">
        <v>41</v>
      </c>
      <c r="T46" s="425">
        <v>261.21399689000003</v>
      </c>
      <c r="U46" s="425">
        <v>271.23250496387476</v>
      </c>
      <c r="V46" s="426">
        <v>253.29600046600001</v>
      </c>
      <c r="W46" s="418">
        <v>255.76199719799999</v>
      </c>
    </row>
    <row r="47" spans="1:23" ht="11.25" customHeight="1">
      <c r="A47" s="74"/>
      <c r="B47" s="73"/>
      <c r="C47" s="73"/>
      <c r="D47" s="73"/>
      <c r="E47" s="73"/>
      <c r="F47" s="73"/>
      <c r="G47" s="73"/>
      <c r="H47" s="73"/>
      <c r="I47" s="73"/>
      <c r="J47" s="11"/>
      <c r="K47" s="11"/>
      <c r="L47" s="11"/>
      <c r="N47" s="424">
        <v>42</v>
      </c>
      <c r="O47" s="425">
        <v>95.908996579999993</v>
      </c>
      <c r="P47" s="425">
        <v>59.261001586913999</v>
      </c>
      <c r="Q47" s="426">
        <v>100.61</v>
      </c>
      <c r="R47" s="427">
        <v>92.944999694824205</v>
      </c>
      <c r="S47" s="424">
        <v>42</v>
      </c>
      <c r="T47" s="425">
        <v>255.58900451</v>
      </c>
      <c r="U47" s="425">
        <v>256.27199935913058</v>
      </c>
      <c r="V47" s="426">
        <v>246.06</v>
      </c>
      <c r="W47" s="418">
        <v>251.31199836730943</v>
      </c>
    </row>
    <row r="48" spans="1:23" ht="11.25" customHeight="1">
      <c r="A48" s="74"/>
      <c r="B48" s="73"/>
      <c r="C48" s="73"/>
      <c r="D48" s="73"/>
      <c r="E48" s="73"/>
      <c r="F48" s="73"/>
      <c r="G48" s="73"/>
      <c r="H48" s="73"/>
      <c r="I48" s="73"/>
      <c r="J48" s="11"/>
      <c r="K48" s="11"/>
      <c r="L48" s="11"/>
      <c r="N48" s="424">
        <v>43</v>
      </c>
      <c r="O48" s="425">
        <v>83.341003420000007</v>
      </c>
      <c r="P48" s="425">
        <v>47.749000549316399</v>
      </c>
      <c r="Q48" s="426">
        <v>95.484001160000005</v>
      </c>
      <c r="R48" s="427">
        <v>84.166999820000001</v>
      </c>
      <c r="S48" s="424">
        <v>43</v>
      </c>
      <c r="T48" s="425">
        <v>249.85500335</v>
      </c>
      <c r="U48" s="425">
        <v>249.67099761962871</v>
      </c>
      <c r="V48" s="426">
        <v>241.02699661899999</v>
      </c>
      <c r="W48" s="418">
        <v>245.88199755799999</v>
      </c>
    </row>
    <row r="49" spans="1:23" ht="11.25" customHeight="1">
      <c r="A49" s="74"/>
      <c r="B49" s="73"/>
      <c r="C49" s="73"/>
      <c r="D49" s="73"/>
      <c r="E49" s="73"/>
      <c r="F49" s="73"/>
      <c r="G49" s="73"/>
      <c r="H49" s="73"/>
      <c r="I49" s="73"/>
      <c r="J49" s="11"/>
      <c r="K49" s="11"/>
      <c r="L49" s="11"/>
      <c r="N49" s="424">
        <v>44</v>
      </c>
      <c r="O49" s="425">
        <v>75.16</v>
      </c>
      <c r="P49" s="425">
        <v>38.424999239999998</v>
      </c>
      <c r="Q49" s="426">
        <v>89.581001279999995</v>
      </c>
      <c r="R49" s="427">
        <v>82.51499939</v>
      </c>
      <c r="S49" s="424">
        <v>44</v>
      </c>
      <c r="T49" s="425">
        <v>242.79000000000002</v>
      </c>
      <c r="U49" s="425">
        <v>249.67099761962871</v>
      </c>
      <c r="V49" s="426">
        <v>234.19399833099999</v>
      </c>
      <c r="W49" s="418">
        <v>239.051002463</v>
      </c>
    </row>
    <row r="50" spans="1:23" ht="13.2">
      <c r="A50" s="74"/>
      <c r="B50" s="73"/>
      <c r="C50" s="73"/>
      <c r="D50" s="73"/>
      <c r="E50" s="73"/>
      <c r="F50" s="73"/>
      <c r="G50" s="73"/>
      <c r="H50" s="73"/>
      <c r="I50" s="73"/>
      <c r="J50" s="11"/>
      <c r="K50" s="11"/>
      <c r="L50" s="11"/>
      <c r="N50" s="424">
        <v>45</v>
      </c>
      <c r="O50" s="425">
        <v>65.149002080000002</v>
      </c>
      <c r="P50" s="425">
        <v>31.142000199999998</v>
      </c>
      <c r="Q50" s="426">
        <v>79.638999940000005</v>
      </c>
      <c r="R50" s="427">
        <v>72.33000183</v>
      </c>
      <c r="S50" s="424">
        <v>45</v>
      </c>
      <c r="T50" s="425">
        <v>235.60499572000001</v>
      </c>
      <c r="U50" s="425">
        <v>243.378839739</v>
      </c>
      <c r="V50" s="426">
        <v>228.64612817499997</v>
      </c>
      <c r="W50" s="418">
        <v>232.679000852</v>
      </c>
    </row>
    <row r="51" spans="1:23" ht="13.2">
      <c r="A51" s="74"/>
      <c r="B51" s="73"/>
      <c r="C51" s="73"/>
      <c r="D51" s="73"/>
      <c r="E51" s="73"/>
      <c r="F51" s="73"/>
      <c r="G51" s="73"/>
      <c r="H51" s="73"/>
      <c r="I51" s="73"/>
      <c r="J51" s="11"/>
      <c r="K51" s="11"/>
      <c r="L51" s="11"/>
      <c r="N51" s="424">
        <v>46</v>
      </c>
      <c r="O51" s="425">
        <v>47.749000549999998</v>
      </c>
      <c r="P51" s="425">
        <v>22.26</v>
      </c>
      <c r="Q51" s="426">
        <v>80.049003600000006</v>
      </c>
      <c r="R51" s="427">
        <v>57.318000789999999</v>
      </c>
      <c r="S51" s="424">
        <v>46</v>
      </c>
      <c r="T51" s="425">
        <v>230.54900361099999</v>
      </c>
      <c r="U51" s="425">
        <v>236.34</v>
      </c>
      <c r="V51" s="426">
        <v>222.81199835999999</v>
      </c>
      <c r="W51" s="418">
        <v>225.80399990800001</v>
      </c>
    </row>
    <row r="52" spans="1:23" ht="13.2">
      <c r="A52" s="74"/>
      <c r="B52" s="73"/>
      <c r="C52" s="73"/>
      <c r="D52" s="73"/>
      <c r="E52" s="73"/>
      <c r="F52" s="73"/>
      <c r="G52" s="73"/>
      <c r="H52" s="73"/>
      <c r="I52" s="73"/>
      <c r="J52" s="11"/>
      <c r="K52" s="11"/>
      <c r="L52" s="11"/>
      <c r="N52" s="424">
        <v>47</v>
      </c>
      <c r="O52" s="425">
        <v>34.763999939999998</v>
      </c>
      <c r="P52" s="425">
        <v>17.044000629999999</v>
      </c>
      <c r="Q52" s="426">
        <v>85.825996399999994</v>
      </c>
      <c r="R52" s="427">
        <v>44.738998410000001</v>
      </c>
      <c r="S52" s="424">
        <v>47</v>
      </c>
      <c r="T52" s="425">
        <v>223.60000467499998</v>
      </c>
      <c r="U52" s="425">
        <v>227.62000255999999</v>
      </c>
      <c r="V52" s="426">
        <v>216.31200409100001</v>
      </c>
      <c r="W52" s="418">
        <v>219.24500608799997</v>
      </c>
    </row>
    <row r="53" spans="1:23" ht="13.2">
      <c r="A53" s="74"/>
      <c r="B53" s="73"/>
      <c r="C53" s="73"/>
      <c r="D53" s="73"/>
      <c r="E53" s="73"/>
      <c r="F53" s="73"/>
      <c r="G53" s="73"/>
      <c r="H53" s="73"/>
      <c r="I53" s="73"/>
      <c r="J53" s="11"/>
      <c r="K53" s="11"/>
      <c r="L53" s="11"/>
      <c r="N53" s="424">
        <v>48</v>
      </c>
      <c r="O53" s="425">
        <v>13.618000029999999</v>
      </c>
      <c r="P53" s="425">
        <v>36.5890007</v>
      </c>
      <c r="Q53" s="426">
        <v>77.596000669999995</v>
      </c>
      <c r="R53" s="427">
        <v>34.763999939999998</v>
      </c>
      <c r="S53" s="424">
        <v>48</v>
      </c>
      <c r="T53" s="425">
        <v>217.17600035300001</v>
      </c>
      <c r="U53" s="425">
        <v>220.01436420799999</v>
      </c>
      <c r="V53" s="426">
        <v>210.250997547</v>
      </c>
      <c r="W53" s="418">
        <v>212.09200192</v>
      </c>
    </row>
    <row r="54" spans="1:23" ht="13.2">
      <c r="A54" s="74"/>
      <c r="B54" s="73"/>
      <c r="C54" s="73"/>
      <c r="D54" s="73"/>
      <c r="E54" s="73"/>
      <c r="F54" s="73"/>
      <c r="G54" s="73"/>
      <c r="H54" s="73"/>
      <c r="I54" s="73"/>
      <c r="J54" s="11"/>
      <c r="K54" s="11"/>
      <c r="L54" s="11"/>
      <c r="N54" s="424">
        <v>49</v>
      </c>
      <c r="O54" s="430">
        <v>8.5520000459999999</v>
      </c>
      <c r="P54" s="425">
        <v>36.590000000000003</v>
      </c>
      <c r="Q54" s="426">
        <v>54.613998410000001</v>
      </c>
      <c r="R54" s="427"/>
      <c r="S54" s="424">
        <v>49</v>
      </c>
      <c r="T54" s="425">
        <v>210.45100211699997</v>
      </c>
      <c r="U54" s="425">
        <v>212.37999999999997</v>
      </c>
      <c r="V54" s="426">
        <v>202.73299884100001</v>
      </c>
    </row>
    <row r="55" spans="1:23" ht="13.2">
      <c r="A55" s="74"/>
      <c r="B55" s="73"/>
      <c r="C55" s="73"/>
      <c r="D55" s="73"/>
      <c r="E55" s="73"/>
      <c r="F55" s="73"/>
      <c r="G55" s="73"/>
      <c r="H55" s="73"/>
      <c r="I55" s="73"/>
      <c r="J55" s="11"/>
      <c r="K55" s="11"/>
      <c r="L55" s="11"/>
      <c r="N55" s="424">
        <v>50</v>
      </c>
      <c r="O55" s="425">
        <v>13.618000029999999</v>
      </c>
      <c r="P55" s="425">
        <v>34.763999939999998</v>
      </c>
      <c r="Q55" s="426">
        <v>64.358001709999996</v>
      </c>
      <c r="R55" s="427"/>
      <c r="S55" s="424">
        <v>50</v>
      </c>
      <c r="T55" s="425">
        <v>203.37099885499998</v>
      </c>
      <c r="U55" s="425">
        <v>205.46782675599999</v>
      </c>
      <c r="V55" s="426">
        <v>195.51400422099999</v>
      </c>
    </row>
    <row r="56" spans="1:23" ht="13.2">
      <c r="A56" s="74"/>
      <c r="B56" s="73"/>
      <c r="C56" s="73"/>
      <c r="D56" s="73"/>
      <c r="E56" s="73"/>
      <c r="F56" s="73"/>
      <c r="G56" s="73"/>
      <c r="H56" s="73"/>
      <c r="I56" s="73"/>
      <c r="J56" s="11"/>
      <c r="K56" s="11"/>
      <c r="L56" s="11"/>
      <c r="N56" s="424">
        <v>51</v>
      </c>
      <c r="O56" s="425">
        <v>18.771999359999999</v>
      </c>
      <c r="P56" s="425">
        <v>38.4</v>
      </c>
      <c r="Q56" s="426">
        <v>80.049003600000006</v>
      </c>
      <c r="R56" s="427"/>
      <c r="S56" s="424">
        <v>51</v>
      </c>
      <c r="T56" s="425">
        <v>202.35899971500001</v>
      </c>
      <c r="U56" s="425">
        <v>199</v>
      </c>
      <c r="V56" s="426">
        <v>188.995997891</v>
      </c>
    </row>
    <row r="57" spans="1:23" ht="13.2">
      <c r="A57" s="74"/>
      <c r="B57" s="73"/>
      <c r="C57" s="73"/>
      <c r="D57" s="73"/>
      <c r="E57" s="73"/>
      <c r="F57" s="73"/>
      <c r="G57" s="73"/>
      <c r="H57" s="73"/>
      <c r="I57" s="73"/>
      <c r="N57" s="424">
        <v>52</v>
      </c>
      <c r="O57" s="425">
        <v>25.781999590000002</v>
      </c>
      <c r="P57" s="425">
        <v>59.261001589999999</v>
      </c>
      <c r="Q57" s="426">
        <v>108.82900239999999</v>
      </c>
      <c r="R57" s="427"/>
      <c r="S57" s="424">
        <v>52</v>
      </c>
      <c r="T57" s="425">
        <v>201.25199794899999</v>
      </c>
      <c r="U57" s="425">
        <v>192.88799664499999</v>
      </c>
      <c r="V57" s="426">
        <v>184.65400219100002</v>
      </c>
    </row>
    <row r="58" spans="1:23" ht="13.2">
      <c r="A58" s="74"/>
      <c r="B58" s="73"/>
      <c r="C58" s="73"/>
      <c r="D58" s="73"/>
      <c r="E58" s="73"/>
      <c r="F58" s="73"/>
      <c r="G58" s="73"/>
      <c r="H58" s="73"/>
      <c r="I58" s="73"/>
      <c r="N58" s="424">
        <v>53</v>
      </c>
      <c r="O58" s="427"/>
      <c r="P58" s="427"/>
      <c r="Q58" s="427">
        <v>140.34500120000001</v>
      </c>
      <c r="R58" s="427"/>
      <c r="S58" s="424">
        <v>53</v>
      </c>
      <c r="T58" s="425"/>
      <c r="U58" s="425"/>
      <c r="V58" s="426"/>
    </row>
    <row r="59" spans="1:23" ht="13.2">
      <c r="B59" s="73"/>
      <c r="C59" s="73"/>
      <c r="D59" s="73"/>
      <c r="E59" s="73"/>
      <c r="F59" s="73"/>
      <c r="G59" s="73"/>
      <c r="H59" s="73"/>
      <c r="I59" s="73"/>
    </row>
    <row r="60" spans="1:23" ht="13.2">
      <c r="A60" s="74"/>
      <c r="B60" s="73"/>
      <c r="C60" s="73"/>
      <c r="D60" s="73"/>
      <c r="E60" s="73"/>
      <c r="F60" s="73"/>
      <c r="G60" s="73"/>
      <c r="H60" s="73"/>
      <c r="I60" s="73"/>
    </row>
    <row r="63" spans="1:23">
      <c r="A63" s="267" t="s">
        <v>474</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35"/>
  <sheetViews>
    <sheetView showGridLines="0" view="pageBreakPreview" topLeftCell="B152" zoomScaleNormal="100" zoomScaleSheetLayoutView="100" zoomScalePageLayoutView="130" workbookViewId="0">
      <selection activeCell="T44" sqref="T44"/>
    </sheetView>
  </sheetViews>
  <sheetFormatPr baseColWidth="10" defaultColWidth="9.28515625" defaultRowHeight="10.199999999999999"/>
  <cols>
    <col min="3" max="3" width="28.42578125" customWidth="1"/>
    <col min="4" max="5" width="12" customWidth="1"/>
    <col min="6" max="6" width="12.28515625" customWidth="1"/>
    <col min="8" max="9" width="9.28515625" customWidth="1"/>
    <col min="10" max="10" width="9.28515625" style="111"/>
    <col min="11" max="11" width="9.28515625" style="839"/>
    <col min="12" max="12" width="3.140625" style="839" bestFit="1" customWidth="1"/>
    <col min="13" max="16" width="9.28515625" style="427"/>
    <col min="17" max="21" width="9.28515625" style="418"/>
  </cols>
  <sheetData>
    <row r="1" spans="1:15" ht="11.25" customHeight="1"/>
    <row r="2" spans="1:15" ht="11.25" customHeight="1">
      <c r="A2" s="17"/>
      <c r="B2" s="17"/>
      <c r="C2" s="17"/>
      <c r="D2" s="17"/>
      <c r="E2" s="73"/>
      <c r="F2" s="73"/>
      <c r="G2" s="73"/>
    </row>
    <row r="3" spans="1:15" ht="17.25" customHeight="1">
      <c r="A3" s="959" t="s">
        <v>384</v>
      </c>
      <c r="B3" s="959"/>
      <c r="C3" s="959"/>
      <c r="D3" s="959"/>
      <c r="E3" s="959"/>
      <c r="F3" s="959"/>
      <c r="G3" s="959"/>
      <c r="H3" s="36"/>
      <c r="I3" s="36"/>
      <c r="K3" s="839" t="s">
        <v>262</v>
      </c>
      <c r="M3" s="427" t="s">
        <v>263</v>
      </c>
      <c r="N3" s="427" t="s">
        <v>264</v>
      </c>
      <c r="O3" s="427" t="s">
        <v>265</v>
      </c>
    </row>
    <row r="4" spans="1:15" ht="11.25" customHeight="1">
      <c r="A4" s="74"/>
      <c r="B4" s="73"/>
      <c r="C4" s="73"/>
      <c r="D4" s="73"/>
      <c r="E4" s="73"/>
      <c r="F4" s="73"/>
      <c r="G4" s="73"/>
      <c r="H4" s="36"/>
      <c r="I4" s="36"/>
      <c r="J4" s="111">
        <v>2017</v>
      </c>
      <c r="K4" s="839">
        <v>1</v>
      </c>
      <c r="L4" s="839">
        <v>1</v>
      </c>
      <c r="M4" s="840">
        <v>41.55</v>
      </c>
      <c r="N4" s="840">
        <v>103.58</v>
      </c>
      <c r="O4" s="840">
        <v>29.67</v>
      </c>
    </row>
    <row r="5" spans="1:15" ht="11.25" customHeight="1">
      <c r="A5" s="74"/>
      <c r="B5" s="73"/>
      <c r="C5" s="73"/>
      <c r="D5" s="73"/>
      <c r="E5" s="73"/>
      <c r="F5" s="73"/>
      <c r="G5" s="73"/>
      <c r="H5" s="12"/>
      <c r="I5" s="12"/>
      <c r="L5" s="839">
        <v>2</v>
      </c>
      <c r="M5" s="840">
        <v>39.6</v>
      </c>
      <c r="N5" s="840">
        <v>105.01</v>
      </c>
      <c r="O5" s="840">
        <v>51.2</v>
      </c>
    </row>
    <row r="6" spans="1:15" ht="29.25" customHeight="1">
      <c r="A6" s="136"/>
      <c r="C6" s="479" t="s">
        <v>146</v>
      </c>
      <c r="D6" s="482" t="str">
        <f>UPPER('1. Resumen'!Q4)&amp;"
 "&amp;'1. Resumen'!Q5</f>
        <v>NOVIEMBRE
 2020</v>
      </c>
      <c r="E6" s="483" t="str">
        <f>UPPER('1. Resumen'!Q4)&amp;"
 "&amp;'1. Resumen'!Q5-1</f>
        <v>NOVIEMBRE
 2019</v>
      </c>
      <c r="F6" s="484" t="s">
        <v>442</v>
      </c>
      <c r="G6" s="138"/>
      <c r="H6" s="24"/>
      <c r="I6" s="12"/>
      <c r="L6" s="839">
        <v>3</v>
      </c>
      <c r="M6" s="840">
        <v>73.650000000000006</v>
      </c>
      <c r="N6" s="840">
        <v>137.41</v>
      </c>
      <c r="O6" s="840">
        <v>43.26</v>
      </c>
    </row>
    <row r="7" spans="1:15" ht="11.25" customHeight="1">
      <c r="A7" s="174"/>
      <c r="C7" s="540" t="s">
        <v>147</v>
      </c>
      <c r="D7" s="541">
        <v>8.0836333433786915</v>
      </c>
      <c r="E7" s="760">
        <v>34.695900000000002</v>
      </c>
      <c r="F7" s="542">
        <f>IF(E7=0,"",(D7-E7)/E7)</f>
        <v>-0.76701473824346122</v>
      </c>
      <c r="G7" s="138"/>
      <c r="H7" s="25"/>
      <c r="I7" s="3"/>
      <c r="L7" s="839">
        <v>4</v>
      </c>
      <c r="M7" s="840">
        <v>65.03</v>
      </c>
      <c r="N7" s="840">
        <v>127.83</v>
      </c>
      <c r="O7" s="840">
        <v>32.72</v>
      </c>
    </row>
    <row r="8" spans="1:15" ht="11.25" customHeight="1">
      <c r="A8" s="174"/>
      <c r="C8" s="543" t="s">
        <v>153</v>
      </c>
      <c r="D8" s="544">
        <v>5.6077666918436648</v>
      </c>
      <c r="E8" s="544">
        <v>15.744529999999999</v>
      </c>
      <c r="F8" s="545">
        <f t="shared" ref="F8:F30" si="0">IF(E8=0,"",(D8-E8)/E8)</f>
        <v>-0.64382762192052323</v>
      </c>
      <c r="G8" s="138"/>
      <c r="H8" s="23"/>
      <c r="I8" s="3"/>
      <c r="L8" s="839">
        <v>5</v>
      </c>
      <c r="M8" s="840">
        <v>56.95</v>
      </c>
      <c r="N8" s="840">
        <v>97.31</v>
      </c>
      <c r="O8" s="840">
        <v>48.46</v>
      </c>
    </row>
    <row r="9" spans="1:15" ht="11.25" customHeight="1">
      <c r="A9" s="174"/>
      <c r="C9" s="546" t="s">
        <v>154</v>
      </c>
      <c r="D9" s="547">
        <v>29.681933339436817</v>
      </c>
      <c r="E9" s="547">
        <v>92.061070000000001</v>
      </c>
      <c r="F9" s="548">
        <f t="shared" si="0"/>
        <v>-0.6775843107250783</v>
      </c>
      <c r="G9" s="138"/>
      <c r="H9" s="25"/>
      <c r="I9" s="3"/>
      <c r="L9" s="839">
        <v>6</v>
      </c>
      <c r="M9" s="840">
        <v>61.87</v>
      </c>
      <c r="N9" s="840">
        <v>123.44</v>
      </c>
      <c r="O9" s="840">
        <v>72.52</v>
      </c>
    </row>
    <row r="10" spans="1:15" ht="11.25" customHeight="1">
      <c r="A10" s="174"/>
      <c r="C10" s="543" t="s">
        <v>161</v>
      </c>
      <c r="D10" s="544">
        <v>41.503232828775978</v>
      </c>
      <c r="E10" s="544">
        <v>79.145070000000004</v>
      </c>
      <c r="F10" s="545">
        <f t="shared" si="0"/>
        <v>-0.47560558315538826</v>
      </c>
      <c r="G10" s="138"/>
      <c r="H10" s="25"/>
      <c r="I10" s="3"/>
      <c r="L10" s="839">
        <v>7</v>
      </c>
      <c r="M10" s="840">
        <v>77.569999999999993</v>
      </c>
      <c r="N10" s="840">
        <v>145.02000000000001</v>
      </c>
      <c r="O10" s="840">
        <v>59.16</v>
      </c>
    </row>
    <row r="11" spans="1:15" ht="11.25" customHeight="1">
      <c r="A11" s="174"/>
      <c r="C11" s="546" t="s">
        <v>162</v>
      </c>
      <c r="D11" s="547">
        <v>6.1025333722432435</v>
      </c>
      <c r="E11" s="547">
        <v>43.130270000000003</v>
      </c>
      <c r="F11" s="548">
        <f t="shared" si="0"/>
        <v>-0.85850927035135083</v>
      </c>
      <c r="G11" s="138"/>
      <c r="H11" s="25"/>
      <c r="I11" s="3"/>
      <c r="K11" s="839">
        <v>8</v>
      </c>
      <c r="L11" s="839">
        <v>8</v>
      </c>
      <c r="M11" s="840">
        <v>86.94</v>
      </c>
      <c r="N11" s="840">
        <v>175.03</v>
      </c>
      <c r="O11" s="840">
        <v>24.36</v>
      </c>
    </row>
    <row r="12" spans="1:15" ht="11.25" customHeight="1">
      <c r="A12" s="174"/>
      <c r="C12" s="543" t="s">
        <v>164</v>
      </c>
      <c r="D12" s="544">
        <v>1.7504333297411589</v>
      </c>
      <c r="E12" s="544">
        <v>17.38223</v>
      </c>
      <c r="F12" s="545">
        <f t="shared" si="0"/>
        <v>-0.89929753951356295</v>
      </c>
      <c r="G12" s="138"/>
      <c r="H12" s="25"/>
      <c r="I12" s="3"/>
      <c r="L12" s="839">
        <v>9</v>
      </c>
      <c r="M12" s="840">
        <v>85.13</v>
      </c>
      <c r="N12" s="840">
        <v>206.14</v>
      </c>
      <c r="O12" s="840">
        <v>39.07</v>
      </c>
    </row>
    <row r="13" spans="1:15" ht="11.25" customHeight="1">
      <c r="A13" s="174"/>
      <c r="C13" s="546" t="s">
        <v>152</v>
      </c>
      <c r="D13" s="547">
        <v>8.6</v>
      </c>
      <c r="E13" s="547">
        <v>13.397916666666667</v>
      </c>
      <c r="F13" s="548">
        <f t="shared" si="0"/>
        <v>-0.35810915876224542</v>
      </c>
      <c r="G13" s="138"/>
      <c r="H13" s="23"/>
      <c r="I13" s="3"/>
      <c r="L13" s="839">
        <v>10</v>
      </c>
      <c r="M13" s="840">
        <v>84.78</v>
      </c>
      <c r="N13" s="840">
        <v>270.17</v>
      </c>
      <c r="O13" s="840">
        <v>109.16</v>
      </c>
    </row>
    <row r="14" spans="1:15" ht="11.25" customHeight="1">
      <c r="A14" s="174"/>
      <c r="C14" s="543" t="s">
        <v>253</v>
      </c>
      <c r="D14" s="544">
        <v>15.090432675679482</v>
      </c>
      <c r="E14" s="544">
        <v>36.033230000000003</v>
      </c>
      <c r="F14" s="545">
        <f t="shared" si="0"/>
        <v>-0.58120788295472048</v>
      </c>
      <c r="G14" s="138"/>
      <c r="H14" s="25"/>
      <c r="I14" s="3"/>
      <c r="L14" s="839">
        <v>11</v>
      </c>
      <c r="M14" s="840">
        <v>84.78</v>
      </c>
      <c r="N14" s="840">
        <v>376.42</v>
      </c>
      <c r="O14" s="840">
        <v>188.18</v>
      </c>
    </row>
    <row r="15" spans="1:15" ht="11.25" customHeight="1">
      <c r="A15" s="174"/>
      <c r="C15" s="546" t="s">
        <v>254</v>
      </c>
      <c r="D15" s="547">
        <v>46.688166809081991</v>
      </c>
      <c r="E15" s="547">
        <v>101.0973</v>
      </c>
      <c r="F15" s="548">
        <f t="shared" si="0"/>
        <v>-0.53818581891819084</v>
      </c>
      <c r="G15" s="138"/>
      <c r="H15" s="25"/>
      <c r="I15" s="3"/>
      <c r="L15" s="839">
        <v>12</v>
      </c>
      <c r="M15" s="840">
        <v>106.16</v>
      </c>
      <c r="N15" s="840">
        <v>351.57</v>
      </c>
      <c r="O15" s="840">
        <v>159.6</v>
      </c>
    </row>
    <row r="16" spans="1:15" ht="11.25" customHeight="1">
      <c r="A16" s="174"/>
      <c r="C16" s="543" t="s">
        <v>159</v>
      </c>
      <c r="D16" s="544">
        <v>14.205166594187377</v>
      </c>
      <c r="E16" s="544">
        <v>30.998000000000001</v>
      </c>
      <c r="F16" s="545">
        <f t="shared" si="0"/>
        <v>-0.54173925433294479</v>
      </c>
      <c r="G16" s="138"/>
      <c r="H16" s="25"/>
      <c r="I16" s="3"/>
      <c r="L16" s="839">
        <v>13</v>
      </c>
      <c r="M16" s="840">
        <v>101.71</v>
      </c>
      <c r="N16" s="840">
        <v>384.37</v>
      </c>
      <c r="O16" s="840">
        <v>161.77000000000001</v>
      </c>
    </row>
    <row r="17" spans="1:17" ht="11.25" customHeight="1">
      <c r="A17" s="174"/>
      <c r="C17" s="546" t="s">
        <v>163</v>
      </c>
      <c r="D17" s="547">
        <v>6.2183000087738005</v>
      </c>
      <c r="E17" s="547">
        <v>8.8262</v>
      </c>
      <c r="F17" s="548">
        <f t="shared" si="0"/>
        <v>-0.29547256930799204</v>
      </c>
      <c r="G17" s="138"/>
      <c r="H17" s="25"/>
      <c r="I17" s="3"/>
      <c r="L17" s="839">
        <v>14</v>
      </c>
      <c r="M17" s="840">
        <v>83.1</v>
      </c>
      <c r="N17" s="840">
        <v>337.84</v>
      </c>
      <c r="O17" s="840">
        <v>115.43</v>
      </c>
    </row>
    <row r="18" spans="1:17" ht="11.25" customHeight="1">
      <c r="A18" s="174"/>
      <c r="C18" s="543" t="s">
        <v>255</v>
      </c>
      <c r="D18" s="544">
        <v>12.893749618530221</v>
      </c>
      <c r="E18" s="544">
        <v>12.53668</v>
      </c>
      <c r="F18" s="545">
        <f t="shared" si="0"/>
        <v>2.8481991925311964E-2</v>
      </c>
      <c r="G18" s="138"/>
      <c r="H18" s="25"/>
      <c r="I18" s="3"/>
      <c r="L18" s="839">
        <v>15</v>
      </c>
      <c r="M18" s="840">
        <v>61.23</v>
      </c>
      <c r="N18" s="840">
        <v>282.32</v>
      </c>
      <c r="O18" s="840">
        <v>98.92</v>
      </c>
    </row>
    <row r="19" spans="1:17" ht="11.25" customHeight="1">
      <c r="A19" s="174"/>
      <c r="C19" s="546" t="s">
        <v>256</v>
      </c>
      <c r="D19" s="547">
        <v>12.764902777777774</v>
      </c>
      <c r="E19" s="547">
        <v>14.699237041666667</v>
      </c>
      <c r="F19" s="548">
        <f t="shared" si="0"/>
        <v>-0.13159419488275489</v>
      </c>
      <c r="G19" s="138"/>
      <c r="H19" s="25"/>
      <c r="I19" s="3"/>
      <c r="K19" s="839">
        <v>16</v>
      </c>
      <c r="L19" s="839">
        <v>16</v>
      </c>
      <c r="M19" s="840">
        <v>49.8</v>
      </c>
      <c r="N19" s="840">
        <v>191.65</v>
      </c>
      <c r="O19" s="840">
        <v>82.48</v>
      </c>
      <c r="Q19" s="725"/>
    </row>
    <row r="20" spans="1:17" ht="11.25" customHeight="1">
      <c r="A20" s="174"/>
      <c r="C20" s="543" t="s">
        <v>257</v>
      </c>
      <c r="D20" s="544">
        <v>1.4357666651407837</v>
      </c>
      <c r="E20" s="544">
        <v>1.5291999999999999</v>
      </c>
      <c r="F20" s="545">
        <f t="shared" si="0"/>
        <v>-6.1099486567627675E-2</v>
      </c>
      <c r="G20" s="138"/>
      <c r="H20" s="25"/>
      <c r="I20" s="3"/>
      <c r="L20" s="839">
        <v>17</v>
      </c>
      <c r="M20" s="840">
        <v>40.21</v>
      </c>
      <c r="N20" s="840">
        <v>160.35</v>
      </c>
      <c r="O20" s="840">
        <v>77.02</v>
      </c>
    </row>
    <row r="21" spans="1:17" ht="11.25" customHeight="1">
      <c r="A21" s="174"/>
      <c r="C21" s="546" t="s">
        <v>150</v>
      </c>
      <c r="D21" s="547">
        <v>83.571134185790982</v>
      </c>
      <c r="E21" s="547">
        <v>124.2974</v>
      </c>
      <c r="F21" s="548">
        <f t="shared" si="0"/>
        <v>-0.32765179170448472</v>
      </c>
      <c r="G21" s="138"/>
      <c r="H21" s="25"/>
      <c r="I21" s="3"/>
      <c r="L21" s="839">
        <v>18</v>
      </c>
      <c r="M21" s="840">
        <v>43.46</v>
      </c>
      <c r="N21" s="840">
        <v>136.65</v>
      </c>
      <c r="O21" s="840">
        <v>62.63</v>
      </c>
    </row>
    <row r="22" spans="1:17" ht="11.25" customHeight="1">
      <c r="A22" s="174"/>
      <c r="C22" s="543" t="s">
        <v>148</v>
      </c>
      <c r="D22" s="544">
        <v>2.1228999614715574</v>
      </c>
      <c r="E22" s="544">
        <v>0</v>
      </c>
      <c r="F22" s="545" t="str">
        <f t="shared" si="0"/>
        <v/>
      </c>
      <c r="G22" s="138"/>
      <c r="H22" s="25"/>
      <c r="I22" s="3"/>
      <c r="L22" s="839">
        <v>19</v>
      </c>
      <c r="M22" s="840">
        <v>35.65</v>
      </c>
      <c r="N22" s="840">
        <v>135.97</v>
      </c>
      <c r="O22" s="840">
        <v>93.03</v>
      </c>
    </row>
    <row r="23" spans="1:17" ht="11.25" customHeight="1">
      <c r="A23" s="174"/>
      <c r="C23" s="546" t="s">
        <v>149</v>
      </c>
      <c r="D23" s="547">
        <v>20.73613284428907</v>
      </c>
      <c r="E23" s="547">
        <v>22.302669999999999</v>
      </c>
      <c r="F23" s="548">
        <f t="shared" si="0"/>
        <v>-7.0239893058137381E-2</v>
      </c>
      <c r="G23" s="138"/>
      <c r="H23" s="25"/>
      <c r="I23" s="3"/>
      <c r="L23" s="839">
        <v>20</v>
      </c>
      <c r="M23" s="840">
        <v>26.22</v>
      </c>
      <c r="N23" s="840">
        <v>135.66</v>
      </c>
      <c r="O23" s="840">
        <v>72.349999999999994</v>
      </c>
    </row>
    <row r="24" spans="1:17" ht="11.25" customHeight="1">
      <c r="A24" s="174"/>
      <c r="C24" s="543" t="s">
        <v>165</v>
      </c>
      <c r="D24" s="544">
        <v>4.3173333287239037</v>
      </c>
      <c r="E24" s="544">
        <v>27.546669999999999</v>
      </c>
      <c r="F24" s="545">
        <f t="shared" si="0"/>
        <v>-0.84327204236577757</v>
      </c>
      <c r="G24" s="138"/>
      <c r="H24" s="26"/>
      <c r="I24" s="3"/>
      <c r="L24" s="839">
        <v>21</v>
      </c>
      <c r="M24" s="840">
        <v>27.95</v>
      </c>
      <c r="N24" s="840">
        <v>113.82</v>
      </c>
      <c r="O24" s="840">
        <v>90.75</v>
      </c>
    </row>
    <row r="25" spans="1:17" ht="11.25" customHeight="1">
      <c r="A25" s="138"/>
      <c r="C25" s="546" t="s">
        <v>155</v>
      </c>
      <c r="D25" s="547">
        <v>0</v>
      </c>
      <c r="E25" s="547">
        <v>0</v>
      </c>
      <c r="F25" s="548" t="str">
        <f t="shared" si="0"/>
        <v/>
      </c>
      <c r="G25" s="158"/>
      <c r="H25" s="25"/>
      <c r="I25" s="3"/>
      <c r="L25" s="839">
        <v>22</v>
      </c>
      <c r="M25" s="840">
        <v>32.409999999999997</v>
      </c>
      <c r="N25" s="840">
        <v>64.03</v>
      </c>
      <c r="O25" s="840">
        <v>53.02</v>
      </c>
    </row>
    <row r="26" spans="1:17" ht="11.25" customHeight="1">
      <c r="A26" s="175"/>
      <c r="C26" s="543" t="s">
        <v>156</v>
      </c>
      <c r="D26" s="544">
        <v>4.8098333438237466</v>
      </c>
      <c r="E26" s="544">
        <v>6.0820999999999996</v>
      </c>
      <c r="F26" s="545">
        <f t="shared" si="0"/>
        <v>-0.20918213383144851</v>
      </c>
      <c r="G26" s="138"/>
      <c r="H26" s="23"/>
      <c r="I26" s="3"/>
      <c r="L26" s="839">
        <v>23</v>
      </c>
      <c r="M26" s="840">
        <v>28.93</v>
      </c>
      <c r="N26" s="840">
        <v>53.15</v>
      </c>
      <c r="O26" s="840">
        <v>32.43</v>
      </c>
    </row>
    <row r="27" spans="1:17" ht="11.25" customHeight="1">
      <c r="A27" s="138"/>
      <c r="C27" s="546" t="s">
        <v>157</v>
      </c>
      <c r="D27" s="547">
        <v>0.1065333334108193</v>
      </c>
      <c r="E27" s="547">
        <v>1.3927</v>
      </c>
      <c r="F27" s="548">
        <f t="shared" si="0"/>
        <v>-0.92350589975528152</v>
      </c>
      <c r="G27" s="138"/>
      <c r="H27" s="23"/>
      <c r="I27" s="3"/>
      <c r="K27" s="839">
        <v>24</v>
      </c>
      <c r="L27" s="839">
        <v>24</v>
      </c>
      <c r="M27" s="840">
        <v>26.59</v>
      </c>
      <c r="N27" s="840">
        <v>45.98</v>
      </c>
      <c r="O27" s="840">
        <v>27.75</v>
      </c>
    </row>
    <row r="28" spans="1:17" ht="11.25" customHeight="1">
      <c r="A28" s="138"/>
      <c r="C28" s="543" t="s">
        <v>158</v>
      </c>
      <c r="D28" s="544">
        <v>0.31900000000000001</v>
      </c>
      <c r="E28" s="544">
        <v>0</v>
      </c>
      <c r="F28" s="545" t="str">
        <f t="shared" si="0"/>
        <v/>
      </c>
      <c r="G28" s="138"/>
      <c r="H28" s="23"/>
      <c r="I28" s="3"/>
      <c r="L28" s="839">
        <v>25</v>
      </c>
      <c r="M28" s="840">
        <v>23.61</v>
      </c>
      <c r="N28" s="840">
        <v>38.68</v>
      </c>
      <c r="O28" s="840">
        <v>24.81</v>
      </c>
    </row>
    <row r="29" spans="1:17" ht="11.25" customHeight="1">
      <c r="A29" s="158"/>
      <c r="C29" s="546" t="s">
        <v>160</v>
      </c>
      <c r="D29" s="547">
        <v>1.3134193162123353</v>
      </c>
      <c r="E29" s="547">
        <v>5.4840330000000002</v>
      </c>
      <c r="F29" s="548">
        <f t="shared" si="0"/>
        <v>-0.7605012011757889</v>
      </c>
      <c r="G29" s="176"/>
      <c r="H29" s="23"/>
      <c r="I29" s="3"/>
      <c r="L29" s="839">
        <v>26</v>
      </c>
      <c r="M29" s="840">
        <v>24.94</v>
      </c>
      <c r="N29" s="840">
        <v>34.68</v>
      </c>
      <c r="O29" s="840">
        <v>21.81</v>
      </c>
    </row>
    <row r="30" spans="1:17" ht="11.25" customHeight="1">
      <c r="A30" s="175"/>
      <c r="C30" s="549" t="s">
        <v>151</v>
      </c>
      <c r="D30" s="550">
        <v>6.1243055555555559</v>
      </c>
      <c r="E30" s="550">
        <v>3.4298611111111112</v>
      </c>
      <c r="F30" s="551">
        <f t="shared" si="0"/>
        <v>0.78558412634136465</v>
      </c>
      <c r="G30" s="138"/>
      <c r="H30" s="25"/>
      <c r="I30" s="3"/>
      <c r="L30" s="839">
        <v>27</v>
      </c>
      <c r="M30" s="840">
        <v>25.54</v>
      </c>
      <c r="N30" s="840">
        <v>31.72</v>
      </c>
      <c r="O30" s="840">
        <v>18.649999999999999</v>
      </c>
    </row>
    <row r="31" spans="1:17" ht="11.25" customHeight="1">
      <c r="A31" s="137"/>
      <c r="C31" s="268" t="str">
        <f>"Cuadro N°10: Promedio de caudales en "&amp;'1. Resumen'!Q4</f>
        <v>Cuadro N°10: Promedio de caudales en noviembre</v>
      </c>
      <c r="D31" s="137"/>
      <c r="E31" s="137"/>
      <c r="F31" s="137"/>
      <c r="G31" s="137"/>
      <c r="H31" s="25"/>
      <c r="I31" s="6"/>
      <c r="L31" s="839">
        <v>28</v>
      </c>
      <c r="M31" s="840">
        <v>23.56</v>
      </c>
      <c r="N31" s="840">
        <v>29.25</v>
      </c>
      <c r="O31" s="840">
        <v>14.27</v>
      </c>
    </row>
    <row r="32" spans="1:17" ht="11.25" customHeight="1">
      <c r="A32" s="137"/>
      <c r="B32" s="137"/>
      <c r="C32" s="137"/>
      <c r="D32" s="137"/>
      <c r="E32" s="137"/>
      <c r="F32" s="137"/>
      <c r="G32" s="137"/>
      <c r="H32" s="25"/>
      <c r="I32" s="6"/>
      <c r="L32" s="839">
        <v>29</v>
      </c>
      <c r="M32" s="840">
        <v>22.4</v>
      </c>
      <c r="N32" s="840">
        <v>29.53</v>
      </c>
      <c r="O32" s="840">
        <v>11.51</v>
      </c>
    </row>
    <row r="33" spans="1:15" ht="11.25" customHeight="1">
      <c r="A33" s="137"/>
      <c r="B33" s="137"/>
      <c r="C33" s="137"/>
      <c r="D33" s="137"/>
      <c r="E33" s="137"/>
      <c r="F33" s="137"/>
      <c r="G33" s="137"/>
      <c r="H33" s="25"/>
      <c r="I33" s="6"/>
      <c r="L33" s="839">
        <v>30</v>
      </c>
      <c r="M33" s="840">
        <v>21.29</v>
      </c>
      <c r="N33" s="840">
        <v>27.62</v>
      </c>
      <c r="O33" s="840">
        <v>9.7200000000000006</v>
      </c>
    </row>
    <row r="34" spans="1:15" ht="11.25" customHeight="1">
      <c r="A34" s="137"/>
      <c r="B34" s="137"/>
      <c r="C34" s="137"/>
      <c r="D34" s="137"/>
      <c r="E34" s="137"/>
      <c r="F34" s="137"/>
      <c r="G34" s="137"/>
      <c r="H34" s="25"/>
      <c r="I34" s="6"/>
      <c r="L34" s="839">
        <v>31</v>
      </c>
      <c r="M34" s="840">
        <v>19.34</v>
      </c>
      <c r="N34" s="840">
        <v>27.99</v>
      </c>
      <c r="O34" s="840">
        <v>8.09</v>
      </c>
    </row>
    <row r="35" spans="1:15" ht="17.25" customHeight="1">
      <c r="A35" s="959" t="s">
        <v>385</v>
      </c>
      <c r="B35" s="959"/>
      <c r="C35" s="959"/>
      <c r="D35" s="959"/>
      <c r="E35" s="959"/>
      <c r="F35" s="959"/>
      <c r="G35" s="959"/>
      <c r="H35" s="25"/>
      <c r="I35" s="6"/>
      <c r="K35" s="839">
        <v>32</v>
      </c>
      <c r="L35" s="839">
        <v>32</v>
      </c>
      <c r="M35" s="840">
        <v>19.649999999999999</v>
      </c>
      <c r="N35" s="840">
        <v>31.42</v>
      </c>
      <c r="O35" s="840">
        <v>7.62</v>
      </c>
    </row>
    <row r="36" spans="1:15" ht="11.25" customHeight="1">
      <c r="A36" s="137"/>
      <c r="B36" s="137"/>
      <c r="C36" s="137"/>
      <c r="D36" s="137"/>
      <c r="E36" s="137"/>
      <c r="F36" s="137"/>
      <c r="G36" s="137"/>
      <c r="H36" s="25"/>
      <c r="I36" s="6"/>
      <c r="L36" s="839">
        <v>33</v>
      </c>
      <c r="M36" s="840">
        <v>18.420000000000002</v>
      </c>
      <c r="N36" s="840">
        <v>29.71</v>
      </c>
      <c r="O36" s="840">
        <v>9.5500000000000007</v>
      </c>
    </row>
    <row r="37" spans="1:15" ht="11.25" customHeight="1">
      <c r="A37" s="136"/>
      <c r="B37" s="138"/>
      <c r="C37" s="138"/>
      <c r="D37" s="138"/>
      <c r="E37" s="138"/>
      <c r="F37" s="138"/>
      <c r="G37" s="138"/>
      <c r="H37" s="26"/>
      <c r="I37" s="6"/>
      <c r="L37" s="839">
        <v>34</v>
      </c>
      <c r="M37" s="840">
        <v>17.170000000000002</v>
      </c>
      <c r="N37" s="840">
        <v>30.51</v>
      </c>
      <c r="O37" s="840">
        <v>10.75</v>
      </c>
    </row>
    <row r="38" spans="1:15" ht="11.25" customHeight="1">
      <c r="A38" s="74"/>
      <c r="B38" s="73"/>
      <c r="C38" s="73"/>
      <c r="D38" s="73"/>
      <c r="E38" s="73"/>
      <c r="F38" s="73"/>
      <c r="G38" s="73"/>
      <c r="H38" s="3"/>
      <c r="I38" s="6"/>
      <c r="L38" s="839">
        <v>35</v>
      </c>
      <c r="M38" s="840">
        <v>17.47</v>
      </c>
      <c r="N38" s="840">
        <v>27.5</v>
      </c>
      <c r="O38" s="840">
        <v>8.31</v>
      </c>
    </row>
    <row r="39" spans="1:15" ht="11.25" customHeight="1">
      <c r="A39" s="74"/>
      <c r="B39" s="73"/>
      <c r="C39" s="73"/>
      <c r="D39" s="73"/>
      <c r="E39" s="73"/>
      <c r="F39" s="73"/>
      <c r="G39" s="73"/>
      <c r="H39" s="3"/>
      <c r="I39" s="10"/>
      <c r="L39" s="839">
        <v>36</v>
      </c>
      <c r="M39" s="840">
        <v>13.42</v>
      </c>
      <c r="N39" s="840">
        <v>26.21</v>
      </c>
      <c r="O39" s="840">
        <v>6.53</v>
      </c>
    </row>
    <row r="40" spans="1:15" ht="11.25" customHeight="1">
      <c r="A40" s="74"/>
      <c r="B40" s="73"/>
      <c r="C40" s="73"/>
      <c r="D40" s="73"/>
      <c r="E40" s="73"/>
      <c r="F40" s="73"/>
      <c r="G40" s="73"/>
      <c r="H40" s="3"/>
      <c r="I40" s="10"/>
      <c r="L40" s="839">
        <v>37</v>
      </c>
      <c r="M40" s="840">
        <v>11.2</v>
      </c>
      <c r="N40" s="840">
        <v>29.98</v>
      </c>
      <c r="O40" s="840">
        <v>9.7799999999999994</v>
      </c>
    </row>
    <row r="41" spans="1:15" ht="11.25" customHeight="1">
      <c r="A41" s="74"/>
      <c r="B41" s="73"/>
      <c r="C41" s="73"/>
      <c r="D41" s="73"/>
      <c r="E41" s="73"/>
      <c r="F41" s="73"/>
      <c r="G41" s="73"/>
      <c r="H41" s="3"/>
      <c r="I41" s="7"/>
      <c r="L41" s="839">
        <v>38</v>
      </c>
      <c r="M41" s="840">
        <v>11</v>
      </c>
      <c r="N41" s="840">
        <v>34.369999999999997</v>
      </c>
      <c r="O41" s="840">
        <v>7.47</v>
      </c>
    </row>
    <row r="42" spans="1:15" ht="11.25" customHeight="1">
      <c r="A42" s="74"/>
      <c r="B42" s="73"/>
      <c r="C42" s="73"/>
      <c r="D42" s="73"/>
      <c r="E42" s="73"/>
      <c r="F42" s="73"/>
      <c r="G42" s="73"/>
      <c r="H42" s="3"/>
      <c r="I42" s="7"/>
      <c r="L42" s="839">
        <v>39</v>
      </c>
      <c r="M42" s="840">
        <v>11.14</v>
      </c>
      <c r="N42" s="840">
        <v>42.17</v>
      </c>
      <c r="O42" s="840">
        <v>7.49</v>
      </c>
    </row>
    <row r="43" spans="1:15" ht="11.25" customHeight="1">
      <c r="A43" s="74"/>
      <c r="B43" s="73"/>
      <c r="C43" s="73"/>
      <c r="D43" s="73"/>
      <c r="E43" s="73"/>
      <c r="F43" s="73"/>
      <c r="G43" s="73"/>
      <c r="H43" s="3"/>
      <c r="I43" s="7"/>
      <c r="K43" s="839">
        <v>40</v>
      </c>
      <c r="L43" s="839">
        <v>40</v>
      </c>
      <c r="M43" s="840">
        <v>12.8</v>
      </c>
      <c r="N43" s="840">
        <v>37.270000000000003</v>
      </c>
      <c r="O43" s="840">
        <v>15.47</v>
      </c>
    </row>
    <row r="44" spans="1:15" ht="11.25" customHeight="1">
      <c r="A44" s="74"/>
      <c r="B44" s="73"/>
      <c r="C44" s="73"/>
      <c r="D44" s="73"/>
      <c r="E44" s="73"/>
      <c r="F44" s="73"/>
      <c r="G44" s="73"/>
      <c r="H44" s="6"/>
      <c r="I44" s="10"/>
      <c r="L44" s="839">
        <v>41</v>
      </c>
      <c r="M44" s="840">
        <v>14.41</v>
      </c>
      <c r="N44" s="840">
        <v>40.04</v>
      </c>
      <c r="O44" s="840">
        <v>18</v>
      </c>
    </row>
    <row r="45" spans="1:15" ht="11.25" customHeight="1">
      <c r="A45" s="74"/>
      <c r="B45" s="73"/>
      <c r="C45" s="73"/>
      <c r="D45" s="73"/>
      <c r="E45" s="73"/>
      <c r="F45" s="73"/>
      <c r="G45" s="73"/>
      <c r="H45" s="3"/>
      <c r="I45" s="10"/>
      <c r="L45" s="839">
        <v>42</v>
      </c>
      <c r="M45" s="840">
        <v>15.87</v>
      </c>
      <c r="N45" s="840">
        <v>35.79</v>
      </c>
      <c r="O45" s="840">
        <v>12.74</v>
      </c>
    </row>
    <row r="46" spans="1:15" ht="11.25" customHeight="1">
      <c r="A46" s="74"/>
      <c r="B46" s="73"/>
      <c r="C46" s="73"/>
      <c r="D46" s="73"/>
      <c r="E46" s="73"/>
      <c r="F46" s="73"/>
      <c r="G46" s="73"/>
      <c r="H46" s="3"/>
      <c r="I46" s="10"/>
      <c r="L46" s="839">
        <v>43</v>
      </c>
      <c r="M46" s="840">
        <v>19.61</v>
      </c>
      <c r="N46" s="840">
        <v>50.36</v>
      </c>
      <c r="O46" s="840">
        <v>30.75</v>
      </c>
    </row>
    <row r="47" spans="1:15" ht="11.25" customHeight="1">
      <c r="A47" s="74"/>
      <c r="B47" s="73"/>
      <c r="C47" s="73"/>
      <c r="D47" s="73"/>
      <c r="E47" s="73"/>
      <c r="F47" s="73"/>
      <c r="G47" s="73"/>
      <c r="H47" s="11"/>
      <c r="I47" s="11"/>
      <c r="L47" s="839">
        <v>44</v>
      </c>
      <c r="M47" s="840">
        <v>21.85</v>
      </c>
      <c r="N47" s="840">
        <v>54.94</v>
      </c>
      <c r="O47" s="840">
        <v>23.58</v>
      </c>
    </row>
    <row r="48" spans="1:15" ht="11.25" customHeight="1">
      <c r="A48" s="74"/>
      <c r="B48" s="73"/>
      <c r="C48" s="73"/>
      <c r="D48" s="73"/>
      <c r="E48" s="73"/>
      <c r="F48" s="73"/>
      <c r="G48" s="73"/>
      <c r="H48" s="11"/>
      <c r="I48" s="11"/>
      <c r="L48" s="839">
        <v>45</v>
      </c>
      <c r="M48" s="840">
        <v>16.79</v>
      </c>
      <c r="N48" s="840">
        <v>41.16</v>
      </c>
      <c r="O48" s="840">
        <v>11.77</v>
      </c>
    </row>
    <row r="49" spans="1:15" ht="11.25" customHeight="1">
      <c r="A49" s="74"/>
      <c r="B49" s="73"/>
      <c r="C49" s="73"/>
      <c r="D49" s="73"/>
      <c r="E49" s="73"/>
      <c r="F49" s="73"/>
      <c r="G49" s="73"/>
      <c r="H49" s="11"/>
      <c r="I49" s="11"/>
      <c r="L49" s="839">
        <v>46</v>
      </c>
      <c r="M49" s="840">
        <v>16.010000000000002</v>
      </c>
      <c r="N49" s="840">
        <v>42.65</v>
      </c>
      <c r="O49" s="840">
        <v>9.33</v>
      </c>
    </row>
    <row r="50" spans="1:15" ht="11.25" customHeight="1">
      <c r="A50" s="74"/>
      <c r="B50" s="73"/>
      <c r="C50" s="73"/>
      <c r="D50" s="73"/>
      <c r="E50" s="73"/>
      <c r="F50" s="73"/>
      <c r="G50" s="73"/>
      <c r="H50" s="11"/>
      <c r="I50" s="11"/>
      <c r="L50" s="839">
        <v>47</v>
      </c>
      <c r="M50" s="840">
        <v>14.72</v>
      </c>
      <c r="N50" s="840">
        <v>39.76</v>
      </c>
      <c r="O50" s="840">
        <v>8.19</v>
      </c>
    </row>
    <row r="51" spans="1:15" ht="11.25" customHeight="1">
      <c r="A51" s="74"/>
      <c r="B51" s="73"/>
      <c r="C51" s="73"/>
      <c r="D51" s="73"/>
      <c r="E51" s="73"/>
      <c r="F51" s="73"/>
      <c r="G51" s="73"/>
      <c r="H51" s="11"/>
      <c r="I51" s="11"/>
      <c r="K51" s="839">
        <v>48</v>
      </c>
      <c r="L51" s="839">
        <v>48</v>
      </c>
      <c r="M51" s="840">
        <v>18.932000297142856</v>
      </c>
      <c r="N51" s="840">
        <v>47.388000487142854</v>
      </c>
      <c r="O51" s="840">
        <v>19.661285946</v>
      </c>
    </row>
    <row r="52" spans="1:15" ht="11.25" customHeight="1">
      <c r="A52" s="74"/>
      <c r="B52" s="73"/>
      <c r="C52" s="73"/>
      <c r="D52" s="73"/>
      <c r="E52" s="73"/>
      <c r="F52" s="73"/>
      <c r="G52" s="73"/>
      <c r="H52" s="11"/>
      <c r="I52" s="11"/>
      <c r="L52" s="839">
        <v>49</v>
      </c>
      <c r="M52" s="840">
        <v>28.48371397</v>
      </c>
      <c r="N52" s="840">
        <v>78.087428497142852</v>
      </c>
      <c r="O52" s="840">
        <v>19.181428364285715</v>
      </c>
    </row>
    <row r="53" spans="1:15" ht="11.25" customHeight="1">
      <c r="A53" s="74"/>
      <c r="B53" s="73"/>
      <c r="C53" s="73"/>
      <c r="D53" s="73"/>
      <c r="E53" s="73"/>
      <c r="F53" s="73"/>
      <c r="G53" s="73"/>
      <c r="H53" s="11"/>
      <c r="I53" s="11"/>
      <c r="L53" s="839">
        <v>50</v>
      </c>
      <c r="M53" s="840">
        <v>32.583286012857144</v>
      </c>
      <c r="N53" s="840">
        <v>69.764142717142846</v>
      </c>
      <c r="O53" s="840">
        <v>23.7245715</v>
      </c>
    </row>
    <row r="54" spans="1:15" ht="11.25" customHeight="1">
      <c r="A54" s="74"/>
      <c r="B54" s="73"/>
      <c r="C54" s="73"/>
      <c r="D54" s="73"/>
      <c r="E54" s="73"/>
      <c r="F54" s="73"/>
      <c r="G54" s="73"/>
      <c r="H54" s="11"/>
      <c r="I54" s="11"/>
      <c r="L54" s="839">
        <v>51</v>
      </c>
      <c r="M54" s="840">
        <v>34.501856668571428</v>
      </c>
      <c r="N54" s="840">
        <v>71.14499991142857</v>
      </c>
      <c r="O54" s="840">
        <v>26.158142907142857</v>
      </c>
    </row>
    <row r="55" spans="1:15" ht="13.2">
      <c r="A55" s="74"/>
      <c r="B55" s="73"/>
      <c r="C55" s="73"/>
      <c r="D55" s="73"/>
      <c r="E55" s="73"/>
      <c r="F55" s="73"/>
      <c r="G55" s="73"/>
      <c r="H55" s="11"/>
      <c r="I55" s="11"/>
      <c r="K55" s="839">
        <v>52</v>
      </c>
      <c r="L55" s="839">
        <v>52</v>
      </c>
      <c r="M55" s="840">
        <v>27.781857355714287</v>
      </c>
      <c r="N55" s="840">
        <v>83.196000228571435</v>
      </c>
      <c r="O55" s="840">
        <v>21.776999882857144</v>
      </c>
    </row>
    <row r="56" spans="1:15" ht="13.2">
      <c r="A56" s="74"/>
      <c r="B56" s="73"/>
      <c r="C56" s="73"/>
      <c r="D56" s="73"/>
      <c r="E56" s="73"/>
      <c r="F56" s="73"/>
      <c r="G56" s="73"/>
      <c r="H56" s="11"/>
      <c r="I56" s="11"/>
      <c r="J56" s="111">
        <v>2018</v>
      </c>
      <c r="K56" s="839">
        <v>1</v>
      </c>
      <c r="L56" s="839">
        <v>1</v>
      </c>
      <c r="M56" s="840">
        <v>29.44</v>
      </c>
      <c r="N56" s="840">
        <v>69.087142857142865</v>
      </c>
      <c r="O56" s="840">
        <v>15.747142857142856</v>
      </c>
    </row>
    <row r="57" spans="1:15" ht="13.2">
      <c r="A57" s="74"/>
      <c r="B57" s="73"/>
      <c r="C57" s="73"/>
      <c r="D57" s="73"/>
      <c r="E57" s="73"/>
      <c r="F57" s="73"/>
      <c r="G57" s="73"/>
      <c r="H57" s="11"/>
      <c r="I57" s="11"/>
      <c r="L57" s="839">
        <v>2</v>
      </c>
      <c r="M57" s="840">
        <v>42.880857194285717</v>
      </c>
      <c r="N57" s="840">
        <v>96.785858138571413</v>
      </c>
      <c r="O57" s="840">
        <v>37.6</v>
      </c>
    </row>
    <row r="58" spans="1:15" ht="13.2">
      <c r="A58" s="74"/>
      <c r="B58" s="73"/>
      <c r="C58" s="73"/>
      <c r="D58" s="73"/>
      <c r="E58" s="73"/>
      <c r="F58" s="73"/>
      <c r="G58" s="73"/>
      <c r="H58" s="11"/>
      <c r="I58" s="11"/>
      <c r="L58" s="839">
        <v>3</v>
      </c>
      <c r="M58" s="840">
        <v>74.002572194285705</v>
      </c>
      <c r="N58" s="840">
        <v>158.17728531428571</v>
      </c>
      <c r="O58" s="840">
        <v>101.26128550142856</v>
      </c>
    </row>
    <row r="59" spans="1:15" ht="13.2">
      <c r="A59" s="74"/>
      <c r="B59" s="73"/>
      <c r="C59" s="73"/>
      <c r="D59" s="73"/>
      <c r="E59" s="73"/>
      <c r="F59" s="73"/>
      <c r="G59" s="73"/>
      <c r="H59" s="11"/>
      <c r="I59" s="11"/>
      <c r="L59" s="839">
        <v>4</v>
      </c>
      <c r="M59" s="840">
        <v>77.812570845714291</v>
      </c>
      <c r="N59" s="840">
        <v>167.02357267142858</v>
      </c>
      <c r="O59" s="840">
        <v>77.354000085714276</v>
      </c>
    </row>
    <row r="60" spans="1:15" ht="13.2">
      <c r="A60" s="74"/>
      <c r="B60" s="73"/>
      <c r="C60" s="73"/>
      <c r="D60" s="73"/>
      <c r="E60" s="73"/>
      <c r="F60" s="73"/>
      <c r="G60" s="73"/>
      <c r="H60" s="11"/>
      <c r="I60" s="11"/>
      <c r="L60" s="839">
        <v>5</v>
      </c>
      <c r="M60" s="840">
        <v>61.531714848571433</v>
      </c>
      <c r="N60" s="840">
        <v>113.19585745142855</v>
      </c>
      <c r="O60" s="840">
        <v>30.667142595714285</v>
      </c>
    </row>
    <row r="61" spans="1:15" ht="13.2">
      <c r="A61" s="268" t="s">
        <v>472</v>
      </c>
      <c r="B61" s="73"/>
      <c r="C61" s="73"/>
      <c r="D61" s="73"/>
      <c r="E61" s="73"/>
      <c r="F61" s="73"/>
      <c r="G61" s="73"/>
      <c r="H61" s="11"/>
      <c r="I61" s="11"/>
      <c r="L61" s="839">
        <v>6</v>
      </c>
      <c r="M61" s="840">
        <v>54.024142672857138</v>
      </c>
      <c r="N61" s="840">
        <v>88.535714287142852</v>
      </c>
      <c r="O61" s="840">
        <v>32.444142750000005</v>
      </c>
    </row>
    <row r="62" spans="1:15">
      <c r="L62" s="839">
        <v>7</v>
      </c>
      <c r="M62" s="840">
        <v>59.271427155714285</v>
      </c>
      <c r="N62" s="840">
        <v>99.37822619047617</v>
      </c>
      <c r="O62" s="840">
        <v>30.338148809523812</v>
      </c>
    </row>
    <row r="63" spans="1:15">
      <c r="K63" s="839">
        <v>8</v>
      </c>
      <c r="L63" s="839">
        <v>8</v>
      </c>
      <c r="M63" s="840">
        <v>78.025571005714284</v>
      </c>
      <c r="N63" s="840">
        <v>140.28</v>
      </c>
      <c r="O63" s="840">
        <v>62.97</v>
      </c>
    </row>
    <row r="64" spans="1:15">
      <c r="L64" s="839">
        <v>9</v>
      </c>
      <c r="M64" s="840">
        <v>61.11871501571428</v>
      </c>
      <c r="N64" s="840">
        <v>102.99642836285715</v>
      </c>
      <c r="O64" s="840">
        <v>31.244571685714288</v>
      </c>
    </row>
    <row r="65" spans="11:15">
      <c r="L65" s="839">
        <v>10</v>
      </c>
      <c r="M65" s="840">
        <v>84.500714981428573</v>
      </c>
      <c r="N65" s="840">
        <v>175.90485927142853</v>
      </c>
      <c r="O65" s="840">
        <v>36.038285662857142</v>
      </c>
    </row>
    <row r="66" spans="11:15">
      <c r="L66" s="839">
        <v>11</v>
      </c>
      <c r="M66" s="840">
        <v>83.643855504285725</v>
      </c>
      <c r="N66" s="840">
        <v>169.64671761428571</v>
      </c>
      <c r="O66" s="840">
        <v>25.076428275714282</v>
      </c>
    </row>
    <row r="67" spans="11:15">
      <c r="L67" s="839">
        <v>12</v>
      </c>
      <c r="M67" s="840">
        <v>98.99</v>
      </c>
      <c r="N67" s="840">
        <v>198.22</v>
      </c>
      <c r="O67" s="840">
        <v>24.63</v>
      </c>
    </row>
    <row r="68" spans="11:15">
      <c r="L68" s="839">
        <v>13</v>
      </c>
      <c r="M68" s="840">
        <v>106.64928652857144</v>
      </c>
      <c r="N68" s="840">
        <v>312.6314304857143</v>
      </c>
      <c r="O68" s="840">
        <v>38.701428550000003</v>
      </c>
    </row>
    <row r="69" spans="11:15">
      <c r="L69" s="839">
        <v>14</v>
      </c>
      <c r="M69" s="840">
        <v>86.488428389999996</v>
      </c>
      <c r="N69" s="840">
        <v>235.31328691428573</v>
      </c>
      <c r="O69" s="840">
        <v>94.596427907142839</v>
      </c>
    </row>
    <row r="70" spans="11:15">
      <c r="L70" s="839">
        <v>15</v>
      </c>
      <c r="M70" s="840">
        <v>88.217001778571429</v>
      </c>
      <c r="N70" s="840">
        <v>294.1721409428572</v>
      </c>
      <c r="O70" s="840">
        <v>92.07</v>
      </c>
    </row>
    <row r="71" spans="11:15">
      <c r="K71" s="839">
        <v>16</v>
      </c>
      <c r="L71" s="839">
        <v>16</v>
      </c>
      <c r="M71" s="840">
        <v>65.84</v>
      </c>
      <c r="N71" s="840">
        <v>149.18</v>
      </c>
      <c r="O71" s="840">
        <v>45.4</v>
      </c>
    </row>
    <row r="72" spans="11:15">
      <c r="L72" s="839">
        <v>17</v>
      </c>
      <c r="M72" s="840">
        <v>51.88</v>
      </c>
      <c r="N72" s="840">
        <v>104.35</v>
      </c>
      <c r="O72" s="840">
        <v>41.47</v>
      </c>
    </row>
    <row r="73" spans="11:15">
      <c r="L73" s="839">
        <v>18</v>
      </c>
      <c r="M73" s="840">
        <v>49.672285897142856</v>
      </c>
      <c r="N73" s="840">
        <v>78.038143701428567</v>
      </c>
      <c r="O73" s="840">
        <v>65.800999782857133</v>
      </c>
    </row>
    <row r="74" spans="11:15">
      <c r="L74" s="839">
        <v>19</v>
      </c>
      <c r="M74" s="840">
        <v>45.203000204285708</v>
      </c>
      <c r="N74" s="840">
        <v>78.313856942857129</v>
      </c>
      <c r="O74" s="840">
        <v>75.104713441428572</v>
      </c>
    </row>
    <row r="75" spans="11:15">
      <c r="L75" s="839">
        <v>20</v>
      </c>
      <c r="M75" s="840">
        <v>37.385857718571437</v>
      </c>
      <c r="N75" s="840">
        <v>130.92628696285712</v>
      </c>
      <c r="O75" s="840">
        <v>97.861000055714285</v>
      </c>
    </row>
    <row r="76" spans="11:15">
      <c r="L76" s="839">
        <v>21</v>
      </c>
      <c r="M76" s="840">
        <v>31.609713962857143</v>
      </c>
      <c r="N76" s="840">
        <v>64.449287412857146</v>
      </c>
      <c r="O76" s="840">
        <v>107.7964292242857</v>
      </c>
    </row>
    <row r="77" spans="11:15">
      <c r="L77" s="839">
        <v>22</v>
      </c>
      <c r="M77" s="840">
        <v>23.360142844285715</v>
      </c>
      <c r="N77" s="840">
        <v>64.449287412857146</v>
      </c>
      <c r="O77" s="840">
        <v>107.7964292242857</v>
      </c>
    </row>
    <row r="78" spans="11:15">
      <c r="L78" s="839">
        <v>23</v>
      </c>
      <c r="M78" s="840">
        <v>22.118571418571431</v>
      </c>
      <c r="N78" s="840">
        <v>39.50100054</v>
      </c>
      <c r="O78" s="840">
        <v>35.176713670000005</v>
      </c>
    </row>
    <row r="79" spans="11:15">
      <c r="K79" s="839">
        <v>24</v>
      </c>
      <c r="L79" s="839">
        <v>24</v>
      </c>
      <c r="M79" s="840">
        <v>18.655142918571432</v>
      </c>
      <c r="N79" s="840">
        <v>33.690285274285714</v>
      </c>
      <c r="O79" s="840">
        <v>23.41942841571429</v>
      </c>
    </row>
    <row r="80" spans="11:15">
      <c r="L80" s="839">
        <v>25</v>
      </c>
      <c r="M80" s="840">
        <v>15.664428437142856</v>
      </c>
      <c r="N80" s="840">
        <v>30.228428704285715</v>
      </c>
      <c r="O80" s="840">
        <v>15.98614284142857</v>
      </c>
    </row>
    <row r="81" spans="11:15">
      <c r="L81" s="839">
        <v>26</v>
      </c>
      <c r="M81" s="840">
        <v>13.848143032857147</v>
      </c>
      <c r="N81" s="840">
        <v>27.872285568571431</v>
      </c>
      <c r="O81" s="840">
        <v>14.09042848857143</v>
      </c>
    </row>
    <row r="82" spans="11:15">
      <c r="L82" s="839">
        <v>27</v>
      </c>
      <c r="M82" s="840">
        <v>12.865857259999999</v>
      </c>
      <c r="N82" s="840">
        <v>27.257571358571429</v>
      </c>
      <c r="O82" s="840">
        <v>11.838857105714284</v>
      </c>
    </row>
    <row r="83" spans="11:15">
      <c r="L83" s="839">
        <v>28</v>
      </c>
      <c r="M83" s="840">
        <v>12.915285789999999</v>
      </c>
      <c r="N83" s="840">
        <v>27.217285974285712</v>
      </c>
      <c r="O83" s="840">
        <v>9.7789998731428565</v>
      </c>
    </row>
    <row r="84" spans="11:15">
      <c r="L84" s="839">
        <v>29</v>
      </c>
      <c r="M84" s="840">
        <v>15.908571428571426</v>
      </c>
      <c r="N84" s="840">
        <v>24.955714285714286</v>
      </c>
      <c r="O84" s="840">
        <v>8.4957142857142856</v>
      </c>
    </row>
    <row r="85" spans="11:15">
      <c r="L85" s="839">
        <v>30</v>
      </c>
      <c r="M85" s="840">
        <v>16.584000042857145</v>
      </c>
      <c r="N85" s="840">
        <v>24.80942862142857</v>
      </c>
      <c r="O85" s="840">
        <v>7.807428428142857</v>
      </c>
    </row>
    <row r="86" spans="11:15">
      <c r="L86" s="839">
        <v>31</v>
      </c>
      <c r="M86" s="840">
        <v>18.553000000000001</v>
      </c>
      <c r="N86" s="840">
        <v>25.690999999999999</v>
      </c>
      <c r="O86" s="840">
        <v>7.53</v>
      </c>
    </row>
    <row r="87" spans="11:15">
      <c r="K87" s="839">
        <v>32</v>
      </c>
      <c r="L87" s="839">
        <v>32</v>
      </c>
      <c r="M87" s="840">
        <v>17.769714355714285</v>
      </c>
      <c r="N87" s="840">
        <v>27.630000251428573</v>
      </c>
      <c r="O87" s="840">
        <v>6.4074286734285701</v>
      </c>
    </row>
    <row r="88" spans="11:15">
      <c r="L88" s="839">
        <v>33</v>
      </c>
      <c r="M88" s="840">
        <v>14.782857348571428</v>
      </c>
      <c r="N88" s="840">
        <v>23.78</v>
      </c>
      <c r="O88" s="840">
        <v>4.9400000000000004</v>
      </c>
    </row>
    <row r="89" spans="11:15">
      <c r="L89" s="839">
        <v>34</v>
      </c>
      <c r="M89" s="840">
        <v>15.984000069999999</v>
      </c>
      <c r="N89" s="840">
        <v>23.527999878571428</v>
      </c>
      <c r="O89" s="840">
        <v>4.6688571658571432</v>
      </c>
    </row>
    <row r="90" spans="11:15">
      <c r="L90" s="839">
        <v>35</v>
      </c>
      <c r="M90" s="840">
        <v>15.55</v>
      </c>
      <c r="N90" s="840">
        <v>23.29</v>
      </c>
      <c r="O90" s="840">
        <v>4.5999999999999996</v>
      </c>
    </row>
    <row r="91" spans="11:15">
      <c r="L91" s="839">
        <v>36</v>
      </c>
      <c r="M91" s="840">
        <v>15.042857142857143</v>
      </c>
      <c r="N91" s="840">
        <v>23.007142857142856</v>
      </c>
      <c r="O91" s="840">
        <v>3.9657142857142857</v>
      </c>
    </row>
    <row r="92" spans="11:15">
      <c r="L92" s="839">
        <v>37</v>
      </c>
      <c r="M92" s="840">
        <v>13.386857033</v>
      </c>
      <c r="N92" s="840">
        <v>23.173571724285711</v>
      </c>
      <c r="O92" s="840">
        <v>3.5334285327142858</v>
      </c>
    </row>
    <row r="93" spans="11:15">
      <c r="L93" s="839">
        <v>38</v>
      </c>
      <c r="M93" s="840">
        <v>12.963714189999999</v>
      </c>
      <c r="N93" s="840">
        <v>26.454000201428567</v>
      </c>
      <c r="O93" s="840">
        <v>6.4914285118571433</v>
      </c>
    </row>
    <row r="94" spans="11:15">
      <c r="L94" s="839">
        <v>39</v>
      </c>
      <c r="M94" s="840">
        <v>9.4700000000000006</v>
      </c>
      <c r="N94" s="840">
        <v>23.7</v>
      </c>
      <c r="O94" s="840">
        <v>4.9000000000000004</v>
      </c>
    </row>
    <row r="95" spans="11:15">
      <c r="K95" s="839">
        <v>40</v>
      </c>
      <c r="L95" s="839">
        <v>40</v>
      </c>
      <c r="M95" s="840">
        <v>9.6714286802857146</v>
      </c>
      <c r="N95" s="840">
        <v>23.695143017142858</v>
      </c>
      <c r="O95" s="840">
        <v>4.898285797571428</v>
      </c>
    </row>
    <row r="96" spans="11:15">
      <c r="L96" s="839">
        <v>41</v>
      </c>
      <c r="M96" s="840">
        <v>13.23900018419533</v>
      </c>
      <c r="N96" s="840">
        <v>28.113285882132363</v>
      </c>
      <c r="O96" s="840">
        <v>8.3430000032697169</v>
      </c>
    </row>
    <row r="97" spans="10:15">
      <c r="L97" s="839">
        <v>42</v>
      </c>
      <c r="M97" s="840">
        <v>13.085142816816015</v>
      </c>
      <c r="N97" s="840">
        <v>37.073285511561743</v>
      </c>
      <c r="O97" s="840">
        <v>7.2735712868826683</v>
      </c>
    </row>
    <row r="98" spans="10:15">
      <c r="L98" s="839">
        <v>43</v>
      </c>
      <c r="M98" s="840">
        <v>24.981571742466489</v>
      </c>
      <c r="N98" s="840">
        <v>70.535571507045162</v>
      </c>
      <c r="O98" s="840">
        <v>7.4324284962245324</v>
      </c>
    </row>
    <row r="99" spans="10:15">
      <c r="L99" s="839">
        <v>44</v>
      </c>
      <c r="M99" s="840">
        <v>20.55814279714286</v>
      </c>
      <c r="N99" s="840">
        <v>55.183714184285712</v>
      </c>
      <c r="O99" s="840">
        <v>15.801856994857145</v>
      </c>
    </row>
    <row r="100" spans="10:15">
      <c r="L100" s="839">
        <v>45</v>
      </c>
      <c r="M100" s="840">
        <v>26.170000077142856</v>
      </c>
      <c r="N100" s="840">
        <v>60.445714132857141</v>
      </c>
      <c r="O100" s="840">
        <v>26.432857787142858</v>
      </c>
    </row>
    <row r="101" spans="10:15">
      <c r="L101" s="839">
        <v>46</v>
      </c>
      <c r="M101" s="840">
        <v>19.728571428571428</v>
      </c>
      <c r="N101" s="840">
        <v>57.005714285714291</v>
      </c>
      <c r="O101" s="840">
        <v>53.502857142857145</v>
      </c>
    </row>
    <row r="102" spans="10:15">
      <c r="L102" s="839">
        <v>47</v>
      </c>
      <c r="M102" s="840">
        <v>39.656714302857139</v>
      </c>
      <c r="N102" s="840">
        <v>103.00771440714287</v>
      </c>
      <c r="O102" s="840">
        <v>53.459142955714292</v>
      </c>
    </row>
    <row r="103" spans="10:15">
      <c r="L103" s="839">
        <v>48</v>
      </c>
      <c r="M103" s="840">
        <v>39.656714302857139</v>
      </c>
      <c r="N103" s="840">
        <v>99.828000734285709</v>
      </c>
      <c r="O103" s="840">
        <v>45.539571760000008</v>
      </c>
    </row>
    <row r="104" spans="10:15">
      <c r="L104" s="839">
        <v>49</v>
      </c>
      <c r="M104" s="840">
        <v>22.62857142857143</v>
      </c>
      <c r="N104" s="840">
        <v>60.27571428571428</v>
      </c>
      <c r="O104" s="840">
        <v>17.955714285714286</v>
      </c>
    </row>
    <row r="105" spans="10:15">
      <c r="L105" s="839">
        <v>50</v>
      </c>
      <c r="M105" s="840">
        <v>17.776714461428572</v>
      </c>
      <c r="N105" s="840">
        <v>46.701999664285715</v>
      </c>
      <c r="O105" s="840">
        <v>13.432571411428571</v>
      </c>
    </row>
    <row r="106" spans="10:15">
      <c r="L106" s="839">
        <v>51</v>
      </c>
      <c r="M106" s="840">
        <v>34.085714285714282</v>
      </c>
      <c r="N106" s="840">
        <v>68.7</v>
      </c>
      <c r="O106" s="840">
        <v>39.414285714285711</v>
      </c>
    </row>
    <row r="107" spans="10:15">
      <c r="K107" s="839">
        <v>52</v>
      </c>
      <c r="L107" s="839">
        <v>52</v>
      </c>
      <c r="M107" s="840">
        <v>52.094142914285719</v>
      </c>
      <c r="N107" s="840">
        <v>97.347143448571416</v>
      </c>
      <c r="O107" s="840">
        <v>65.679429182857149</v>
      </c>
    </row>
    <row r="108" spans="10:15">
      <c r="J108" s="111">
        <v>2019</v>
      </c>
      <c r="K108" s="839">
        <v>1</v>
      </c>
      <c r="L108" s="839">
        <v>1</v>
      </c>
      <c r="M108" s="840">
        <v>27.79999951142857</v>
      </c>
      <c r="N108" s="840">
        <v>78.298570904285711</v>
      </c>
      <c r="O108" s="840">
        <v>21.927143370000003</v>
      </c>
    </row>
    <row r="109" spans="10:15">
      <c r="L109" s="839">
        <v>2</v>
      </c>
      <c r="M109" s="840">
        <v>28.678571428571427</v>
      </c>
      <c r="N109" s="840">
        <v>95.081715179999989</v>
      </c>
      <c r="O109" s="840">
        <v>22.397999900000002</v>
      </c>
    </row>
    <row r="110" spans="10:15">
      <c r="L110" s="839">
        <v>3</v>
      </c>
      <c r="M110" s="840">
        <v>44.51</v>
      </c>
      <c r="N110" s="840">
        <v>95.65</v>
      </c>
      <c r="O110" s="840">
        <v>17.61</v>
      </c>
    </row>
    <row r="111" spans="10:15">
      <c r="L111" s="839">
        <v>4</v>
      </c>
      <c r="M111" s="840">
        <v>73.323141914285699</v>
      </c>
      <c r="N111" s="840">
        <v>109.29957036285714</v>
      </c>
      <c r="O111" s="840">
        <v>17.638000354285712</v>
      </c>
    </row>
    <row r="112" spans="10:15">
      <c r="L112" s="839">
        <v>5</v>
      </c>
      <c r="M112" s="840">
        <v>103.17716724333333</v>
      </c>
      <c r="N112" s="840">
        <v>149.65083311999999</v>
      </c>
      <c r="O112" s="840">
        <v>19.218833289999999</v>
      </c>
    </row>
    <row r="113" spans="11:15">
      <c r="L113" s="839">
        <v>6</v>
      </c>
      <c r="M113" s="840">
        <v>79.165714285714287</v>
      </c>
      <c r="N113" s="840">
        <v>136.57714285714286</v>
      </c>
      <c r="O113" s="840">
        <v>57.185714285714276</v>
      </c>
    </row>
    <row r="114" spans="11:15">
      <c r="L114" s="839">
        <v>7</v>
      </c>
      <c r="M114" s="840">
        <v>120.02256992142858</v>
      </c>
      <c r="N114" s="840">
        <v>224.71071514285714</v>
      </c>
      <c r="O114" s="840">
        <v>118.06042697857141</v>
      </c>
    </row>
    <row r="115" spans="11:15">
      <c r="K115" s="839">
        <v>8</v>
      </c>
      <c r="L115" s="839">
        <v>8</v>
      </c>
      <c r="M115" s="840">
        <v>97.560142514285715</v>
      </c>
      <c r="N115" s="840">
        <v>198.04342652857142</v>
      </c>
      <c r="O115" s="840">
        <v>106.29885756428571</v>
      </c>
    </row>
    <row r="116" spans="11:15">
      <c r="L116" s="839">
        <v>9</v>
      </c>
      <c r="M116" s="840">
        <v>97.560142514285715</v>
      </c>
      <c r="N116" s="840">
        <v>191.0112849857143</v>
      </c>
      <c r="O116" s="840">
        <v>142.12385776285717</v>
      </c>
    </row>
    <row r="117" spans="11:15">
      <c r="L117" s="839">
        <v>10</v>
      </c>
      <c r="M117" s="840">
        <v>97.497286117142863</v>
      </c>
      <c r="N117" s="840">
        <v>215.64014109999999</v>
      </c>
      <c r="O117" s="840">
        <v>164.59685624285717</v>
      </c>
    </row>
    <row r="118" spans="11:15">
      <c r="L118" s="839">
        <v>11</v>
      </c>
      <c r="M118" s="840">
        <v>98.21585736955906</v>
      </c>
      <c r="N118" s="840">
        <v>236.76099940708642</v>
      </c>
      <c r="O118" s="840">
        <v>121.6507121494835</v>
      </c>
    </row>
    <row r="119" spans="11:15">
      <c r="L119" s="839">
        <v>12</v>
      </c>
      <c r="M119" s="840">
        <v>91.857713972857141</v>
      </c>
      <c r="N119" s="840">
        <v>250.8679761904763</v>
      </c>
      <c r="O119" s="840">
        <v>166.63136904761905</v>
      </c>
    </row>
    <row r="120" spans="11:15">
      <c r="L120" s="839">
        <v>13</v>
      </c>
      <c r="M120" s="840">
        <v>100.0137132957143</v>
      </c>
      <c r="N120" s="840">
        <v>301.45971681428574</v>
      </c>
      <c r="O120" s="840">
        <v>180.07000078571429</v>
      </c>
    </row>
    <row r="121" spans="11:15">
      <c r="L121" s="839">
        <v>14</v>
      </c>
      <c r="M121" s="840">
        <v>84.272714885714294</v>
      </c>
      <c r="N121" s="840">
        <v>253.08542525714284</v>
      </c>
      <c r="O121" s="840">
        <v>143.43971579999999</v>
      </c>
    </row>
    <row r="122" spans="11:15">
      <c r="L122" s="839">
        <v>15</v>
      </c>
      <c r="M122" s="840">
        <v>61.074856892857142</v>
      </c>
      <c r="N122" s="840">
        <v>253.08542525714284</v>
      </c>
      <c r="O122" s="840">
        <v>152.6561442857143</v>
      </c>
    </row>
    <row r="123" spans="11:15">
      <c r="K123" s="839">
        <v>16</v>
      </c>
      <c r="L123" s="839">
        <v>16</v>
      </c>
      <c r="M123" s="840">
        <v>47.843714031428576</v>
      </c>
      <c r="N123" s="840">
        <v>141.0458592</v>
      </c>
      <c r="O123" s="840">
        <v>83.844285145714295</v>
      </c>
    </row>
    <row r="124" spans="11:15">
      <c r="L124" s="839">
        <v>17</v>
      </c>
      <c r="M124" s="840">
        <v>50.907143728571427</v>
      </c>
      <c r="N124" s="840">
        <v>123.86656951428571</v>
      </c>
      <c r="O124" s="840">
        <v>125.28814153857142</v>
      </c>
    </row>
    <row r="125" spans="11:15">
      <c r="L125" s="839">
        <v>18</v>
      </c>
      <c r="M125" s="840">
        <v>39.120999471428568</v>
      </c>
      <c r="N125" s="840">
        <v>85.173857551428583</v>
      </c>
      <c r="O125" s="840">
        <v>66.347143447142855</v>
      </c>
    </row>
    <row r="126" spans="11:15">
      <c r="L126" s="839">
        <v>19</v>
      </c>
      <c r="M126" s="840">
        <v>35.410856791428571</v>
      </c>
      <c r="N126" s="840">
        <v>71.224285714285699</v>
      </c>
      <c r="O126" s="840">
        <v>42.216071428571425</v>
      </c>
    </row>
    <row r="127" spans="11:15">
      <c r="L127" s="839">
        <v>20</v>
      </c>
      <c r="M127" s="840">
        <v>32.405142920000003</v>
      </c>
      <c r="N127" s="840">
        <v>76.857142859999996</v>
      </c>
      <c r="O127" s="840">
        <v>58.324429100000003</v>
      </c>
    </row>
    <row r="128" spans="11:15">
      <c r="L128" s="839">
        <v>21</v>
      </c>
      <c r="M128" s="840">
        <v>26.58385740142857</v>
      </c>
      <c r="N128" s="840">
        <v>47.97114345</v>
      </c>
      <c r="O128" s="840">
        <v>34.032571519999998</v>
      </c>
    </row>
    <row r="129" spans="11:15">
      <c r="L129" s="839">
        <v>22</v>
      </c>
      <c r="M129" s="840">
        <v>19.653714315714286</v>
      </c>
      <c r="N129" s="840">
        <v>37.624285945285713</v>
      </c>
      <c r="O129" s="840">
        <v>40.524285998571429</v>
      </c>
    </row>
    <row r="130" spans="11:15">
      <c r="L130" s="839">
        <v>23</v>
      </c>
      <c r="M130" s="840">
        <v>16.50400011857143</v>
      </c>
      <c r="N130" s="840">
        <v>37.806285858571421</v>
      </c>
      <c r="O130" s="840">
        <v>25.010571342857141</v>
      </c>
    </row>
    <row r="131" spans="11:15">
      <c r="L131" s="839">
        <v>24</v>
      </c>
      <c r="M131" s="840">
        <v>14.890428544285713</v>
      </c>
      <c r="N131" s="840">
        <v>35.468714032857143</v>
      </c>
      <c r="O131" s="840">
        <v>18.242713997857145</v>
      </c>
    </row>
    <row r="132" spans="11:15">
      <c r="L132" s="839">
        <v>25</v>
      </c>
      <c r="M132" s="840">
        <v>15.340000017142858</v>
      </c>
      <c r="N132" s="840">
        <v>33.200142724285719</v>
      </c>
      <c r="O132" s="840">
        <v>16.013142995714286</v>
      </c>
    </row>
    <row r="133" spans="11:15">
      <c r="K133" s="839">
        <v>26</v>
      </c>
      <c r="L133" s="839">
        <v>26</v>
      </c>
      <c r="M133" s="840">
        <v>15.521142687142857</v>
      </c>
      <c r="N133" s="840">
        <v>28.376285825714287</v>
      </c>
      <c r="O133" s="840">
        <v>12.961571557142857</v>
      </c>
    </row>
    <row r="134" spans="11:15">
      <c r="L134" s="839">
        <v>27</v>
      </c>
      <c r="M134" s="840">
        <v>15.32</v>
      </c>
      <c r="N134" s="840">
        <v>28.47</v>
      </c>
      <c r="O134" s="840">
        <v>11.39</v>
      </c>
    </row>
    <row r="135" spans="11:15">
      <c r="L135" s="839">
        <v>28</v>
      </c>
      <c r="M135" s="840">
        <v>14.809428488571427</v>
      </c>
      <c r="N135" s="841">
        <v>28.920333226666667</v>
      </c>
      <c r="O135" s="840">
        <v>11.405166626666668</v>
      </c>
    </row>
    <row r="136" spans="11:15">
      <c r="L136" s="839">
        <v>29</v>
      </c>
      <c r="M136" s="840">
        <v>13.666428565978956</v>
      </c>
      <c r="N136" s="841">
        <v>24.422333717346149</v>
      </c>
      <c r="O136" s="840">
        <v>10.173999945322651</v>
      </c>
    </row>
    <row r="137" spans="11:15">
      <c r="L137" s="839">
        <v>30</v>
      </c>
      <c r="M137" s="840">
        <v>13.392857142857142</v>
      </c>
      <c r="N137" s="841">
        <v>24.086666666666662</v>
      </c>
      <c r="O137" s="840">
        <v>9.1716666666666669</v>
      </c>
    </row>
    <row r="138" spans="11:15">
      <c r="L138" s="839">
        <v>31</v>
      </c>
      <c r="M138" s="840">
        <v>13.098428589999999</v>
      </c>
      <c r="N138" s="841">
        <v>22.471285411428575</v>
      </c>
      <c r="O138" s="840">
        <v>8.5915715354285727</v>
      </c>
    </row>
    <row r="139" spans="11:15">
      <c r="L139" s="839">
        <v>32</v>
      </c>
      <c r="M139" s="840">
        <v>12.228285654285713</v>
      </c>
      <c r="N139" s="841">
        <v>25.212714058571429</v>
      </c>
      <c r="O139" s="840">
        <v>6.6260000637142857</v>
      </c>
    </row>
    <row r="140" spans="11:15">
      <c r="L140" s="839">
        <v>33</v>
      </c>
      <c r="M140" s="840">
        <v>12.838714327142856</v>
      </c>
      <c r="N140" s="841">
        <v>28.061000278571431</v>
      </c>
      <c r="O140" s="840">
        <v>5.9311428751428581</v>
      </c>
    </row>
    <row r="141" spans="11:15">
      <c r="K141" s="839">
        <v>34</v>
      </c>
      <c r="L141" s="839">
        <v>34</v>
      </c>
      <c r="M141" s="840">
        <v>12.37928554</v>
      </c>
      <c r="N141" s="841">
        <v>28.455856868571431</v>
      </c>
      <c r="O141" s="840">
        <v>5.2604285648571434</v>
      </c>
    </row>
    <row r="142" spans="11:15">
      <c r="L142" s="839">
        <v>35</v>
      </c>
      <c r="M142" s="840">
        <v>11.92371409142857</v>
      </c>
      <c r="N142" s="841">
        <v>26.646000226666668</v>
      </c>
      <c r="O142" s="840">
        <v>4.7316666444999997</v>
      </c>
    </row>
    <row r="143" spans="11:15">
      <c r="L143" s="839">
        <v>36</v>
      </c>
      <c r="M143" s="840">
        <v>10.731857162857143</v>
      </c>
      <c r="N143" s="840">
        <v>27.720570974285714</v>
      </c>
      <c r="O143" s="840">
        <v>4.5542856622857144</v>
      </c>
    </row>
    <row r="144" spans="11:15">
      <c r="L144" s="839">
        <v>37</v>
      </c>
      <c r="M144" s="840">
        <v>11.481428825714286</v>
      </c>
      <c r="N144" s="840">
        <v>27.967571258571429</v>
      </c>
      <c r="O144" s="840">
        <v>4.1919999124285718</v>
      </c>
    </row>
    <row r="145" spans="11:15">
      <c r="L145" s="839">
        <v>38</v>
      </c>
      <c r="M145" s="840">
        <v>12.217142857142859</v>
      </c>
      <c r="N145" s="840">
        <v>31.354000000000003</v>
      </c>
      <c r="O145" s="840">
        <v>4.1759999999999993</v>
      </c>
    </row>
    <row r="146" spans="11:15">
      <c r="L146" s="839">
        <v>39</v>
      </c>
      <c r="M146" s="840">
        <v>15.0261430740356</v>
      </c>
      <c r="N146" s="840">
        <v>37.146399307250938</v>
      </c>
      <c r="O146" s="840">
        <v>4.8932001113891559</v>
      </c>
    </row>
    <row r="147" spans="11:15">
      <c r="L147" s="839">
        <v>40</v>
      </c>
      <c r="M147" s="840">
        <v>13.292000225714288</v>
      </c>
      <c r="N147" s="842">
        <v>29.934999783333328</v>
      </c>
      <c r="O147" s="840">
        <v>5.3130000431666664</v>
      </c>
    </row>
    <row r="148" spans="11:15">
      <c r="L148" s="839">
        <v>41</v>
      </c>
      <c r="M148" s="840">
        <v>15.472143037142859</v>
      </c>
      <c r="N148" s="842">
        <v>31.668000084285715</v>
      </c>
      <c r="O148" s="840">
        <v>8.3924286701428574</v>
      </c>
    </row>
    <row r="149" spans="11:15">
      <c r="L149" s="839">
        <v>42</v>
      </c>
      <c r="M149" s="840">
        <v>14.602857142857143</v>
      </c>
      <c r="N149" s="842">
        <v>30.061428571428571</v>
      </c>
      <c r="O149" s="840">
        <v>9.2871428571428574</v>
      </c>
    </row>
    <row r="150" spans="11:15">
      <c r="L150" s="839">
        <v>43</v>
      </c>
      <c r="M150" s="840">
        <v>18.763999527142854</v>
      </c>
      <c r="N150" s="842">
        <v>48.129999975714291</v>
      </c>
      <c r="O150" s="840">
        <v>18.153714861428572</v>
      </c>
    </row>
    <row r="151" spans="11:15">
      <c r="K151" s="839">
        <v>44</v>
      </c>
      <c r="L151" s="839">
        <v>44</v>
      </c>
      <c r="M151" s="840">
        <v>12.722428322857143</v>
      </c>
      <c r="N151" s="842">
        <v>37.781833011666663</v>
      </c>
      <c r="O151" s="840">
        <v>19.903499760000003</v>
      </c>
    </row>
    <row r="152" spans="11:15">
      <c r="L152" s="839">
        <v>45</v>
      </c>
      <c r="M152" s="840">
        <v>22.372000012857146</v>
      </c>
      <c r="N152" s="840">
        <v>60.721429549999996</v>
      </c>
      <c r="O152" s="840">
        <v>69.077428547142844</v>
      </c>
    </row>
    <row r="153" spans="11:15">
      <c r="L153" s="839">
        <v>46</v>
      </c>
      <c r="M153" s="840">
        <v>28.101571491428576</v>
      </c>
      <c r="N153" s="840">
        <v>68.569856369999997</v>
      </c>
      <c r="O153" s="840">
        <v>51.190428054285711</v>
      </c>
    </row>
    <row r="154" spans="11:15">
      <c r="L154" s="839">
        <v>47</v>
      </c>
      <c r="M154" s="840">
        <v>22.222285951428574</v>
      </c>
      <c r="N154" s="840">
        <v>51.534999302857152</v>
      </c>
      <c r="O154" s="840">
        <v>21.676285608571426</v>
      </c>
    </row>
    <row r="155" spans="11:15">
      <c r="L155" s="839">
        <v>48</v>
      </c>
      <c r="M155" s="840">
        <v>18.796428408571426</v>
      </c>
      <c r="N155" s="840">
        <v>45.115714484285718</v>
      </c>
      <c r="O155" s="840">
        <v>19.428714208571428</v>
      </c>
    </row>
    <row r="156" spans="11:15">
      <c r="L156" s="839">
        <v>49</v>
      </c>
      <c r="M156" s="840">
        <v>40.459857124285712</v>
      </c>
      <c r="N156" s="840">
        <v>84.846428458571424</v>
      </c>
      <c r="O156" s="840">
        <v>67.787142617142862</v>
      </c>
    </row>
    <row r="157" spans="11:15">
      <c r="L157" s="839">
        <v>50</v>
      </c>
      <c r="M157" s="840">
        <v>55.208571570000004</v>
      </c>
      <c r="N157" s="840">
        <v>99.139714364285723</v>
      </c>
      <c r="O157" s="840">
        <v>46.000713344285714</v>
      </c>
    </row>
    <row r="158" spans="11:15">
      <c r="L158" s="839">
        <v>51</v>
      </c>
      <c r="M158" s="840">
        <v>84.778857641428559</v>
      </c>
      <c r="N158" s="840">
        <v>201.52657207142857</v>
      </c>
      <c r="O158" s="840">
        <v>43.586286274285712</v>
      </c>
    </row>
    <row r="159" spans="11:15">
      <c r="K159" s="839">
        <v>52</v>
      </c>
      <c r="L159" s="839">
        <v>52</v>
      </c>
      <c r="M159" s="840">
        <v>90.21400125571428</v>
      </c>
      <c r="N159" s="840">
        <v>224.1094316857143</v>
      </c>
      <c r="O159" s="840">
        <v>50.483570642857153</v>
      </c>
    </row>
    <row r="160" spans="11:15">
      <c r="L160" s="839">
        <v>53</v>
      </c>
      <c r="M160" s="840">
        <v>80.061285835714287</v>
      </c>
      <c r="N160" s="840">
        <v>205.2461395</v>
      </c>
      <c r="O160" s="840">
        <v>83.637714931428576</v>
      </c>
    </row>
    <row r="161" spans="10:15">
      <c r="J161" s="111">
        <v>2020</v>
      </c>
      <c r="L161" s="839">
        <v>1</v>
      </c>
      <c r="M161" s="840">
        <v>42.7519994463239</v>
      </c>
      <c r="N161" s="840">
        <v>129.33128356933543</v>
      </c>
      <c r="O161" s="840">
        <v>35.412713732038192</v>
      </c>
    </row>
    <row r="162" spans="10:15">
      <c r="L162" s="839">
        <v>2</v>
      </c>
      <c r="M162" s="840">
        <v>30.679571151428568</v>
      </c>
      <c r="N162" s="840">
        <v>73.393001012857141</v>
      </c>
      <c r="O162" s="840">
        <v>22.044856754285714</v>
      </c>
    </row>
    <row r="163" spans="10:15">
      <c r="L163" s="839">
        <v>3</v>
      </c>
      <c r="M163" s="840">
        <v>46.443999700000006</v>
      </c>
      <c r="N163" s="840">
        <v>73.092571804285726</v>
      </c>
      <c r="O163" s="840">
        <v>18.210142817142859</v>
      </c>
    </row>
    <row r="164" spans="10:15">
      <c r="L164" s="839">
        <v>4</v>
      </c>
      <c r="M164" s="840">
        <v>56.559571404285713</v>
      </c>
      <c r="N164" s="840">
        <v>140.69343129999999</v>
      </c>
      <c r="O164" s="840">
        <v>15.934428624285713</v>
      </c>
    </row>
    <row r="165" spans="10:15">
      <c r="L165" s="839">
        <v>5</v>
      </c>
      <c r="M165" s="840">
        <v>85.997285015714283</v>
      </c>
      <c r="N165" s="840">
        <v>189.96014404285714</v>
      </c>
      <c r="O165" s="840">
        <v>16.347999845714288</v>
      </c>
    </row>
    <row r="166" spans="10:15">
      <c r="L166" s="839">
        <v>6</v>
      </c>
      <c r="M166" s="840">
        <v>79.643857683454215</v>
      </c>
      <c r="N166" s="840">
        <v>184.55100359235459</v>
      </c>
      <c r="O166" s="840">
        <v>24.545571190970243</v>
      </c>
    </row>
    <row r="167" spans="10:15">
      <c r="L167" s="839">
        <v>7</v>
      </c>
      <c r="M167" s="840">
        <v>62.11542837857143</v>
      </c>
      <c r="N167" s="840">
        <v>141.4891401142857</v>
      </c>
      <c r="O167" s="840">
        <v>17.933714184285712</v>
      </c>
    </row>
    <row r="168" spans="10:15">
      <c r="K168" s="839">
        <v>8</v>
      </c>
      <c r="L168" s="839">
        <v>8</v>
      </c>
      <c r="M168" s="840">
        <v>41.134571620396166</v>
      </c>
      <c r="N168" s="840">
        <v>83.969571794782198</v>
      </c>
      <c r="O168" s="840">
        <v>15.5625712530953</v>
      </c>
    </row>
    <row r="169" spans="10:15">
      <c r="L169" s="839">
        <v>9</v>
      </c>
      <c r="M169" s="840">
        <v>70.027142117142859</v>
      </c>
      <c r="N169" s="840">
        <v>124.34114185428572</v>
      </c>
      <c r="O169" s="840">
        <v>23.340428760000002</v>
      </c>
    </row>
    <row r="170" spans="10:15">
      <c r="L170" s="839">
        <v>10</v>
      </c>
      <c r="M170" s="840">
        <v>51.713285718571434</v>
      </c>
      <c r="N170" s="840">
        <v>110.96499854142857</v>
      </c>
      <c r="O170" s="840">
        <v>51.143429344285714</v>
      </c>
    </row>
    <row r="171" spans="10:15">
      <c r="L171" s="839">
        <v>11</v>
      </c>
      <c r="M171" s="840">
        <v>64.999999455714274</v>
      </c>
      <c r="N171" s="840">
        <v>130.17914037142856</v>
      </c>
      <c r="O171" s="840">
        <v>73.820713587142862</v>
      </c>
    </row>
    <row r="172" spans="10:15">
      <c r="L172" s="839">
        <v>12</v>
      </c>
      <c r="M172" s="840">
        <v>70.530143192836164</v>
      </c>
      <c r="N172" s="840">
        <v>127.86657169886942</v>
      </c>
      <c r="O172" s="840">
        <v>34.1388571602957</v>
      </c>
    </row>
    <row r="173" spans="10:15">
      <c r="L173" s="839">
        <v>13</v>
      </c>
      <c r="M173" s="840">
        <v>73.710714612688278</v>
      </c>
      <c r="N173" s="840">
        <v>138.12900325230143</v>
      </c>
      <c r="O173" s="840">
        <v>66.457714898245612</v>
      </c>
    </row>
    <row r="174" spans="10:15">
      <c r="L174" s="839">
        <v>14</v>
      </c>
      <c r="M174" s="840">
        <v>57.796857017142862</v>
      </c>
      <c r="N174" s="840">
        <v>109.14457049285714</v>
      </c>
      <c r="O174" s="840">
        <v>82.626999985714278</v>
      </c>
    </row>
    <row r="175" spans="10:15">
      <c r="K175" s="843"/>
      <c r="L175" s="839">
        <v>15</v>
      </c>
      <c r="M175" s="840">
        <v>44.430285317142861</v>
      </c>
      <c r="N175" s="840">
        <v>80.133571635714276</v>
      </c>
      <c r="O175" s="840">
        <v>89.91342707714287</v>
      </c>
    </row>
    <row r="176" spans="10:15">
      <c r="K176" s="843">
        <v>16</v>
      </c>
      <c r="L176" s="839">
        <v>16</v>
      </c>
      <c r="M176" s="840">
        <v>30.701856885714285</v>
      </c>
      <c r="N176" s="840">
        <v>57.13714327142857</v>
      </c>
      <c r="O176" s="840">
        <v>73.487428932857142</v>
      </c>
    </row>
    <row r="177" spans="10:21" s="725" customFormat="1">
      <c r="J177" s="111"/>
      <c r="K177" s="843"/>
      <c r="L177" s="839">
        <v>17</v>
      </c>
      <c r="M177" s="840">
        <v>24.932857240949314</v>
      </c>
      <c r="N177" s="840">
        <v>55.184285845075259</v>
      </c>
      <c r="O177" s="840">
        <v>80.585714067731558</v>
      </c>
      <c r="P177" s="427"/>
      <c r="Q177" s="418"/>
      <c r="R177" s="418"/>
      <c r="S177" s="418"/>
      <c r="T177" s="418"/>
      <c r="U177" s="418"/>
    </row>
    <row r="178" spans="10:21" s="725" customFormat="1">
      <c r="J178" s="111"/>
      <c r="K178" s="843"/>
      <c r="L178" s="839">
        <v>18</v>
      </c>
      <c r="M178" s="840">
        <v>46.867285591428576</v>
      </c>
      <c r="N178" s="840">
        <v>80.201000221428572</v>
      </c>
      <c r="O178" s="840">
        <v>93.131286082857144</v>
      </c>
      <c r="P178" s="427"/>
      <c r="Q178" s="418"/>
      <c r="R178" s="418"/>
      <c r="S178" s="418"/>
      <c r="T178" s="418"/>
      <c r="U178" s="418"/>
    </row>
    <row r="179" spans="10:21" s="725" customFormat="1">
      <c r="J179" s="111"/>
      <c r="K179" s="843"/>
      <c r="L179" s="839">
        <v>19</v>
      </c>
      <c r="M179" s="840">
        <v>39.880857740000003</v>
      </c>
      <c r="N179" s="840">
        <v>73.398713792857151</v>
      </c>
      <c r="O179" s="840">
        <v>43.960427964285714</v>
      </c>
      <c r="P179" s="427"/>
      <c r="Q179" s="418"/>
      <c r="R179" s="418"/>
      <c r="S179" s="418"/>
      <c r="T179" s="418"/>
      <c r="U179" s="418"/>
    </row>
    <row r="180" spans="10:21" s="725" customFormat="1">
      <c r="J180" s="111"/>
      <c r="K180" s="843"/>
      <c r="L180" s="839">
        <v>20</v>
      </c>
      <c r="M180" s="840">
        <v>34.332998821428575</v>
      </c>
      <c r="N180" s="840">
        <v>57.629714421428567</v>
      </c>
      <c r="O180" s="840">
        <v>29.038571492857141</v>
      </c>
      <c r="P180" s="427"/>
      <c r="Q180" s="418"/>
      <c r="R180" s="418"/>
      <c r="S180" s="418"/>
      <c r="T180" s="418"/>
      <c r="U180" s="418"/>
    </row>
    <row r="181" spans="10:21" s="725" customFormat="1">
      <c r="J181" s="111"/>
      <c r="K181" s="843"/>
      <c r="L181" s="839">
        <v>21</v>
      </c>
      <c r="M181" s="840">
        <v>28.39914212908057</v>
      </c>
      <c r="N181" s="840">
        <v>47.208427974155924</v>
      </c>
      <c r="O181" s="840">
        <v>20.747856957571798</v>
      </c>
      <c r="P181" s="427"/>
      <c r="Q181" s="418"/>
      <c r="R181" s="418"/>
      <c r="S181" s="418"/>
      <c r="T181" s="418"/>
      <c r="U181" s="418"/>
    </row>
    <row r="182" spans="10:21" s="725" customFormat="1">
      <c r="J182" s="111"/>
      <c r="K182" s="843"/>
      <c r="L182" s="839">
        <v>22</v>
      </c>
      <c r="M182" s="840">
        <v>19.016142710000004</v>
      </c>
      <c r="N182" s="840">
        <v>39.635571071428572</v>
      </c>
      <c r="O182" s="840">
        <v>28.597570964285715</v>
      </c>
      <c r="P182" s="427"/>
      <c r="Q182" s="418"/>
      <c r="R182" s="418"/>
      <c r="S182" s="418"/>
      <c r="T182" s="418"/>
      <c r="U182" s="418"/>
    </row>
    <row r="183" spans="10:21" s="725" customFormat="1">
      <c r="J183" s="111"/>
      <c r="K183" s="843"/>
      <c r="L183" s="839">
        <v>23</v>
      </c>
      <c r="M183" s="840">
        <v>16.323713982857143</v>
      </c>
      <c r="N183" s="840">
        <v>49.136857168571431</v>
      </c>
      <c r="O183" s="840">
        <v>19.104714530000003</v>
      </c>
      <c r="P183" s="427"/>
      <c r="Q183" s="418"/>
      <c r="R183" s="418"/>
      <c r="S183" s="418"/>
      <c r="T183" s="418"/>
      <c r="U183" s="418"/>
    </row>
    <row r="184" spans="10:21" s="725" customFormat="1">
      <c r="J184" s="111"/>
      <c r="K184" s="843">
        <v>24</v>
      </c>
      <c r="L184" s="839">
        <v>24</v>
      </c>
      <c r="M184" s="840">
        <v>14.458999906267413</v>
      </c>
      <c r="N184" s="840">
        <v>34.150428227015844</v>
      </c>
      <c r="O184" s="840">
        <v>14.211285591125442</v>
      </c>
      <c r="P184" s="427"/>
      <c r="Q184" s="418"/>
      <c r="R184" s="418"/>
      <c r="S184" s="418"/>
      <c r="T184" s="418"/>
      <c r="U184" s="418"/>
    </row>
    <row r="185" spans="10:21" s="725" customFormat="1">
      <c r="J185" s="111"/>
      <c r="K185" s="843"/>
      <c r="L185" s="839">
        <v>25</v>
      </c>
      <c r="M185" s="840">
        <v>13.476999827142858</v>
      </c>
      <c r="N185" s="840">
        <v>32.288857598571425</v>
      </c>
      <c r="O185" s="840">
        <v>11.628714288571429</v>
      </c>
      <c r="P185" s="427"/>
      <c r="Q185" s="418"/>
      <c r="R185" s="418"/>
      <c r="S185" s="418"/>
      <c r="T185" s="418"/>
      <c r="U185" s="418"/>
    </row>
    <row r="186" spans="10:21" s="725" customFormat="1">
      <c r="J186" s="111"/>
      <c r="K186" s="843"/>
      <c r="L186" s="839">
        <v>26</v>
      </c>
      <c r="M186" s="840">
        <v>14.175142699999999</v>
      </c>
      <c r="N186" s="840">
        <v>29.45585686714286</v>
      </c>
      <c r="O186" s="840">
        <v>11.67571422</v>
      </c>
      <c r="P186" s="427"/>
      <c r="Q186" s="418"/>
      <c r="R186" s="418"/>
      <c r="S186" s="418"/>
      <c r="T186" s="418"/>
      <c r="U186" s="418"/>
    </row>
    <row r="187" spans="10:21" s="725" customFormat="1">
      <c r="J187" s="111"/>
      <c r="K187" s="843"/>
      <c r="L187" s="839">
        <v>27</v>
      </c>
      <c r="M187" s="840">
        <v>12.859571456909155</v>
      </c>
      <c r="N187" s="840">
        <v>27.986428669520745</v>
      </c>
      <c r="O187" s="840">
        <v>27.48885754176543</v>
      </c>
      <c r="P187" s="427"/>
      <c r="Q187" s="418"/>
      <c r="R187" s="418"/>
      <c r="S187" s="418"/>
      <c r="T187" s="418"/>
      <c r="U187" s="418"/>
    </row>
    <row r="188" spans="10:21" s="725" customFormat="1">
      <c r="J188" s="111"/>
      <c r="K188" s="843"/>
      <c r="L188" s="839">
        <v>28</v>
      </c>
      <c r="M188" s="840">
        <v>11.472142902857144</v>
      </c>
      <c r="N188" s="840">
        <v>24.371857235714284</v>
      </c>
      <c r="O188" s="840">
        <v>32.395143782857147</v>
      </c>
      <c r="P188" s="427"/>
      <c r="Q188" s="418"/>
      <c r="R188" s="418"/>
      <c r="S188" s="418"/>
      <c r="T188" s="418"/>
      <c r="U188" s="418"/>
    </row>
    <row r="189" spans="10:21" s="725" customFormat="1">
      <c r="J189" s="111"/>
      <c r="K189" s="843"/>
      <c r="L189" s="839">
        <v>29</v>
      </c>
      <c r="M189" s="840">
        <v>11.32885715142857</v>
      </c>
      <c r="N189" s="840">
        <v>23.620857238571428</v>
      </c>
      <c r="O189" s="840">
        <v>14.974999971428572</v>
      </c>
      <c r="P189" s="427"/>
      <c r="Q189" s="418"/>
      <c r="R189" s="418"/>
      <c r="S189" s="418"/>
      <c r="T189" s="418"/>
      <c r="U189" s="418"/>
    </row>
    <row r="190" spans="10:21" s="725" customFormat="1">
      <c r="J190" s="111"/>
      <c r="K190" s="843"/>
      <c r="L190" s="839">
        <v>30</v>
      </c>
      <c r="M190" s="840">
        <v>11.152000155714285</v>
      </c>
      <c r="N190" s="840">
        <v>26.757428577142853</v>
      </c>
      <c r="O190" s="840">
        <v>14.12842846</v>
      </c>
      <c r="P190" s="427"/>
      <c r="Q190" s="418"/>
      <c r="R190" s="418"/>
      <c r="S190" s="418"/>
      <c r="T190" s="418"/>
      <c r="U190" s="418"/>
    </row>
    <row r="191" spans="10:21" s="725" customFormat="1">
      <c r="J191" s="111"/>
      <c r="K191" s="843"/>
      <c r="L191" s="839">
        <v>31</v>
      </c>
      <c r="M191" s="840">
        <v>10.852571488571428</v>
      </c>
      <c r="N191" s="840">
        <v>26.481285638571428</v>
      </c>
      <c r="O191" s="840">
        <v>10.121857098285714</v>
      </c>
      <c r="P191" s="427"/>
      <c r="Q191" s="418"/>
      <c r="R191" s="418"/>
      <c r="S191" s="418"/>
      <c r="T191" s="418"/>
      <c r="U191" s="418"/>
    </row>
    <row r="192" spans="10:21" s="725" customFormat="1">
      <c r="J192" s="111"/>
      <c r="K192" s="843">
        <v>32</v>
      </c>
      <c r="L192" s="839">
        <v>32</v>
      </c>
      <c r="M192" s="840">
        <v>10.338285718645329</v>
      </c>
      <c r="N192" s="840">
        <v>25.506571633475126</v>
      </c>
      <c r="O192" s="840">
        <v>7.7241428239004906</v>
      </c>
      <c r="P192" s="427"/>
      <c r="Q192" s="418"/>
      <c r="R192" s="418"/>
      <c r="S192" s="418"/>
      <c r="T192" s="418"/>
      <c r="U192" s="418"/>
    </row>
    <row r="193" spans="10:21" s="725" customFormat="1">
      <c r="J193" s="111"/>
      <c r="K193" s="843"/>
      <c r="L193" s="839">
        <v>33</v>
      </c>
      <c r="M193" s="840">
        <v>11.413999967142857</v>
      </c>
      <c r="N193" s="840">
        <v>31.441428594285707</v>
      </c>
      <c r="O193" s="840">
        <v>8.5772858349999996</v>
      </c>
      <c r="P193" s="427"/>
      <c r="Q193" s="418"/>
      <c r="R193" s="418"/>
      <c r="S193" s="418"/>
      <c r="T193" s="418"/>
      <c r="U193" s="418"/>
    </row>
    <row r="194" spans="10:21" s="725" customFormat="1">
      <c r="J194" s="111"/>
      <c r="K194" s="843"/>
      <c r="L194" s="839">
        <v>34</v>
      </c>
      <c r="M194" s="840">
        <v>11.662143027142859</v>
      </c>
      <c r="N194" s="840">
        <v>33.365713935714282</v>
      </c>
      <c r="O194" s="840">
        <v>6.7090001108571427</v>
      </c>
      <c r="P194" s="427"/>
      <c r="Q194" s="418"/>
      <c r="R194" s="418"/>
      <c r="S194" s="418"/>
      <c r="T194" s="418"/>
      <c r="U194" s="418"/>
    </row>
    <row r="195" spans="10:21">
      <c r="K195" s="843"/>
      <c r="L195" s="839">
        <v>35</v>
      </c>
      <c r="M195" s="840">
        <v>11.541428702218141</v>
      </c>
      <c r="N195" s="840">
        <v>29.068999699183816</v>
      </c>
      <c r="O195" s="840">
        <v>5.7295714105878517</v>
      </c>
    </row>
    <row r="196" spans="10:21">
      <c r="K196" s="843"/>
      <c r="L196" s="839">
        <v>36</v>
      </c>
      <c r="M196" s="840">
        <v>13.286857196262856</v>
      </c>
      <c r="N196" s="840">
        <v>26.005428859165701</v>
      </c>
      <c r="O196" s="840">
        <v>5.6865714618137853</v>
      </c>
    </row>
    <row r="197" spans="10:21">
      <c r="K197" s="843"/>
      <c r="L197" s="843">
        <v>37</v>
      </c>
      <c r="M197" s="840">
        <v>15.49071434565947</v>
      </c>
      <c r="N197" s="840">
        <v>25.021857125418485</v>
      </c>
      <c r="O197" s="840">
        <v>5.3568570954459016</v>
      </c>
    </row>
    <row r="198" spans="10:21">
      <c r="K198" s="843"/>
      <c r="L198" s="843">
        <v>38</v>
      </c>
      <c r="M198" s="840">
        <v>16.166143281119158</v>
      </c>
      <c r="N198" s="840">
        <v>27.854714257376486</v>
      </c>
      <c r="O198" s="840">
        <v>6.9268571308680906</v>
      </c>
    </row>
    <row r="199" spans="10:21">
      <c r="K199" s="843"/>
      <c r="L199" s="843">
        <v>39</v>
      </c>
      <c r="M199" s="427">
        <v>16.810999734285712</v>
      </c>
      <c r="N199" s="840">
        <v>27.986571175714282</v>
      </c>
      <c r="O199" s="427">
        <v>9.9768571861428565</v>
      </c>
    </row>
    <row r="200" spans="10:21">
      <c r="K200" s="843">
        <v>40</v>
      </c>
      <c r="L200" s="843">
        <v>40</v>
      </c>
      <c r="M200" s="840">
        <v>14.579285758571428</v>
      </c>
      <c r="N200" s="840">
        <v>25.258999961428572</v>
      </c>
      <c r="O200" s="840">
        <v>7.1328571184285705</v>
      </c>
    </row>
    <row r="201" spans="10:21">
      <c r="K201" s="843"/>
      <c r="L201" s="843">
        <v>41</v>
      </c>
      <c r="M201" s="840">
        <v>13.048857279999998</v>
      </c>
      <c r="N201" s="840">
        <v>25.185571671428566</v>
      </c>
      <c r="O201" s="840">
        <v>4.9102856772857146</v>
      </c>
    </row>
    <row r="202" spans="10:21">
      <c r="K202" s="843"/>
      <c r="L202" s="843">
        <v>42</v>
      </c>
      <c r="M202" s="840">
        <v>14.871000289916955</v>
      </c>
      <c r="N202" s="840">
        <v>33.125999450683558</v>
      </c>
      <c r="O202" s="840">
        <v>6.3367142677306969</v>
      </c>
    </row>
    <row r="203" spans="10:21">
      <c r="K203" s="843"/>
      <c r="L203" s="843">
        <v>43</v>
      </c>
      <c r="M203" s="427">
        <v>21.991714477142857</v>
      </c>
      <c r="N203" s="840">
        <v>41.127143314285711</v>
      </c>
      <c r="O203" s="427">
        <v>11.867142950714285</v>
      </c>
    </row>
    <row r="204" spans="10:21" s="725" customFormat="1">
      <c r="J204" s="111"/>
      <c r="K204" s="843">
        <v>44</v>
      </c>
      <c r="L204" s="843">
        <v>44</v>
      </c>
      <c r="M204" s="427">
        <v>13.904857091428573</v>
      </c>
      <c r="N204" s="840">
        <v>33.038428169999996</v>
      </c>
      <c r="O204" s="427">
        <v>5.2337141718571427</v>
      </c>
      <c r="P204" s="427"/>
      <c r="Q204" s="418"/>
      <c r="R204" s="418"/>
      <c r="S204" s="418"/>
      <c r="T204" s="418"/>
      <c r="U204" s="418"/>
    </row>
    <row r="205" spans="10:21" s="725" customFormat="1">
      <c r="J205" s="111"/>
      <c r="K205" s="843"/>
      <c r="L205" s="843">
        <v>45</v>
      </c>
      <c r="M205" s="427">
        <v>13.184428621428571</v>
      </c>
      <c r="N205" s="840">
        <v>40.115713391428571</v>
      </c>
      <c r="O205" s="427">
        <v>5.0682858059999996</v>
      </c>
      <c r="P205" s="427"/>
      <c r="Q205" s="418"/>
      <c r="R205" s="418"/>
      <c r="S205" s="418"/>
      <c r="T205" s="418"/>
      <c r="U205" s="418"/>
    </row>
    <row r="206" spans="10:21" s="725" customFormat="1">
      <c r="J206" s="111"/>
      <c r="K206" s="843"/>
      <c r="L206" s="843">
        <v>46</v>
      </c>
      <c r="M206" s="427">
        <v>13.14228561857143</v>
      </c>
      <c r="N206" s="840">
        <v>43.881571090000001</v>
      </c>
      <c r="O206" s="427">
        <v>4.7745714188571426</v>
      </c>
      <c r="P206" s="427"/>
      <c r="Q206" s="418"/>
      <c r="R206" s="418"/>
      <c r="S206" s="418"/>
      <c r="T206" s="418"/>
      <c r="U206" s="418"/>
    </row>
    <row r="207" spans="10:21" s="725" customFormat="1">
      <c r="J207" s="111"/>
      <c r="K207" s="843"/>
      <c r="L207" s="843">
        <v>47</v>
      </c>
      <c r="M207" s="427">
        <v>15.124714305714289</v>
      </c>
      <c r="N207" s="840">
        <v>42.811571392857147</v>
      </c>
      <c r="O207" s="427">
        <v>5.635714394571429</v>
      </c>
      <c r="P207" s="427"/>
      <c r="Q207" s="418"/>
      <c r="R207" s="418"/>
      <c r="S207" s="418"/>
      <c r="T207" s="418"/>
      <c r="U207" s="418"/>
    </row>
    <row r="208" spans="10:21">
      <c r="K208" s="843">
        <v>48</v>
      </c>
      <c r="L208" s="843">
        <v>48</v>
      </c>
      <c r="M208" s="840">
        <v>27.692142758571432</v>
      </c>
      <c r="N208" s="840">
        <v>66.262570518571422</v>
      </c>
      <c r="O208" s="840">
        <v>27.02714340957143</v>
      </c>
    </row>
    <row r="209" spans="11:15">
      <c r="K209" s="843"/>
      <c r="L209" s="843"/>
      <c r="M209" s="840"/>
      <c r="N209" s="840"/>
      <c r="O209" s="840"/>
    </row>
    <row r="210" spans="11:15">
      <c r="K210" s="843"/>
      <c r="L210" s="843"/>
      <c r="M210" s="840"/>
      <c r="N210" s="840"/>
      <c r="O210" s="840"/>
    </row>
    <row r="211" spans="11:15">
      <c r="K211" s="843"/>
      <c r="L211" s="843"/>
      <c r="M211" s="840" t="s">
        <v>263</v>
      </c>
      <c r="N211" s="840" t="s">
        <v>264</v>
      </c>
      <c r="O211" s="840" t="s">
        <v>265</v>
      </c>
    </row>
    <row r="212" spans="11:15">
      <c r="K212" s="843"/>
      <c r="L212" s="843"/>
      <c r="M212" s="840"/>
      <c r="N212" s="840"/>
      <c r="O212" s="840"/>
    </row>
    <row r="213" spans="11:15">
      <c r="K213" s="843"/>
      <c r="L213" s="843"/>
      <c r="M213" s="840"/>
      <c r="N213" s="840"/>
      <c r="O213" s="840"/>
    </row>
    <row r="214" spans="11:15">
      <c r="K214" s="843"/>
      <c r="L214" s="843"/>
      <c r="M214" s="840"/>
      <c r="N214" s="840"/>
      <c r="O214" s="840"/>
    </row>
    <row r="215" spans="11:15">
      <c r="K215" s="843"/>
      <c r="L215" s="843"/>
      <c r="M215" s="840"/>
      <c r="N215" s="840"/>
      <c r="O215" s="840"/>
    </row>
    <row r="216" spans="11:15">
      <c r="K216" s="843"/>
      <c r="L216" s="843"/>
      <c r="M216" s="840"/>
      <c r="N216" s="840"/>
      <c r="O216" s="840"/>
    </row>
    <row r="217" spans="11:15">
      <c r="K217" s="843"/>
      <c r="L217" s="843"/>
      <c r="M217" s="840"/>
      <c r="N217" s="840"/>
      <c r="O217" s="840"/>
    </row>
    <row r="218" spans="11:15">
      <c r="K218" s="843"/>
      <c r="L218" s="843"/>
      <c r="M218" s="840"/>
      <c r="N218" s="840"/>
      <c r="O218" s="840"/>
    </row>
    <row r="219" spans="11:15">
      <c r="K219" s="843"/>
      <c r="L219" s="843"/>
      <c r="M219" s="840"/>
      <c r="N219" s="840"/>
      <c r="O219" s="840"/>
    </row>
    <row r="220" spans="11:15">
      <c r="M220" s="840"/>
      <c r="N220" s="840"/>
      <c r="O220" s="840"/>
    </row>
    <row r="221" spans="11:15">
      <c r="M221" s="840"/>
      <c r="N221" s="840"/>
      <c r="O221" s="840"/>
    </row>
    <row r="222" spans="11:15">
      <c r="M222" s="840"/>
      <c r="N222" s="840"/>
      <c r="O222" s="840"/>
    </row>
    <row r="223" spans="11:15">
      <c r="M223" s="840"/>
      <c r="N223" s="840"/>
      <c r="O223" s="840"/>
    </row>
    <row r="224" spans="11:15">
      <c r="M224" s="840"/>
      <c r="N224" s="840"/>
      <c r="O224" s="840"/>
    </row>
    <row r="225" spans="13:15">
      <c r="M225" s="840"/>
      <c r="N225" s="840"/>
      <c r="O225" s="840"/>
    </row>
    <row r="226" spans="13:15">
      <c r="M226" s="840"/>
      <c r="N226" s="840"/>
      <c r="O226" s="840"/>
    </row>
    <row r="227" spans="13:15">
      <c r="M227" s="840"/>
      <c r="N227" s="840"/>
      <c r="O227" s="840"/>
    </row>
    <row r="228" spans="13:15">
      <c r="M228" s="840"/>
      <c r="N228" s="840"/>
      <c r="O228" s="840"/>
    </row>
    <row r="229" spans="13:15">
      <c r="M229" s="840"/>
      <c r="N229" s="840"/>
      <c r="O229" s="840"/>
    </row>
    <row r="230" spans="13:15">
      <c r="M230" s="840"/>
      <c r="N230" s="840"/>
      <c r="O230" s="840"/>
    </row>
    <row r="231" spans="13:15">
      <c r="M231" s="840"/>
      <c r="N231" s="840"/>
      <c r="O231" s="840"/>
    </row>
    <row r="232" spans="13:15">
      <c r="M232" s="840"/>
      <c r="N232" s="840"/>
      <c r="O232" s="840"/>
    </row>
    <row r="233" spans="13:15">
      <c r="M233" s="840"/>
      <c r="N233" s="840"/>
      <c r="O233" s="840"/>
    </row>
    <row r="235" spans="13:15">
      <c r="M235" s="427" t="s">
        <v>263</v>
      </c>
      <c r="N235" s="427" t="s">
        <v>264</v>
      </c>
      <c r="O235" s="427" t="s">
        <v>265</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Mensual-Noviembre 2020
INFSGI-MES-11-2020
14/12/2020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47"/>
  <sheetViews>
    <sheetView showGridLines="0" view="pageBreakPreview" topLeftCell="B1" zoomScale="130" zoomScaleNormal="100" zoomScaleSheetLayoutView="130" zoomScalePageLayoutView="130" workbookViewId="0">
      <selection activeCell="T44" sqref="T44"/>
    </sheetView>
  </sheetViews>
  <sheetFormatPr baseColWidth="10" defaultColWidth="9.28515625" defaultRowHeight="10.199999999999999"/>
  <cols>
    <col min="10" max="11" width="9.28515625" customWidth="1"/>
    <col min="13" max="16" width="9.28515625" style="418"/>
    <col min="17" max="17" width="11.7109375" style="418" bestFit="1" customWidth="1"/>
    <col min="18" max="18" width="15.140625" style="418" customWidth="1"/>
    <col min="19" max="19" width="14.28515625" style="418" customWidth="1"/>
    <col min="20" max="20" width="14.42578125" style="418" customWidth="1"/>
    <col min="21" max="21" width="9.42578125" style="418" bestFit="1" customWidth="1"/>
    <col min="22" max="22" width="14.7109375" style="418" customWidth="1"/>
    <col min="23" max="23" width="9.42578125" style="418" customWidth="1"/>
    <col min="24" max="24" width="9.7109375" style="418" bestFit="1" customWidth="1"/>
    <col min="25" max="25" width="9.42578125" style="418" bestFit="1" customWidth="1"/>
    <col min="26" max="26" width="9.28515625" style="408"/>
    <col min="27" max="30" width="9.28515625" style="298"/>
    <col min="31" max="32" width="9.28515625" style="286"/>
  </cols>
  <sheetData>
    <row r="1" spans="1:25" ht="11.25" customHeight="1"/>
    <row r="2" spans="1:25" ht="11.25" customHeight="1">
      <c r="A2" s="299"/>
      <c r="B2" s="300"/>
      <c r="C2" s="300"/>
      <c r="D2" s="300"/>
      <c r="E2" s="300"/>
      <c r="F2" s="300"/>
      <c r="G2" s="174"/>
      <c r="H2" s="174"/>
      <c r="I2" s="132"/>
    </row>
    <row r="3" spans="1:25" ht="11.25" customHeight="1">
      <c r="A3" s="132"/>
      <c r="B3" s="132"/>
      <c r="C3" s="132"/>
      <c r="D3" s="132"/>
      <c r="E3" s="132"/>
      <c r="F3" s="132"/>
      <c r="G3" s="138"/>
      <c r="H3" s="138"/>
      <c r="I3" s="138"/>
      <c r="J3" s="148"/>
      <c r="K3" s="148"/>
      <c r="L3" s="148"/>
      <c r="O3" s="418" t="s">
        <v>262</v>
      </c>
      <c r="P3" s="419"/>
      <c r="Q3" s="418" t="s">
        <v>266</v>
      </c>
      <c r="R3" s="418" t="s">
        <v>267</v>
      </c>
      <c r="S3" s="418" t="s">
        <v>268</v>
      </c>
      <c r="T3" s="418" t="s">
        <v>269</v>
      </c>
      <c r="U3" s="418" t="s">
        <v>270</v>
      </c>
      <c r="V3" s="418" t="s">
        <v>271</v>
      </c>
      <c r="W3" s="418" t="s">
        <v>272</v>
      </c>
      <c r="X3" s="418" t="s">
        <v>273</v>
      </c>
      <c r="Y3" s="418" t="s">
        <v>274</v>
      </c>
    </row>
    <row r="4" spans="1:25" ht="11.25" customHeight="1">
      <c r="A4" s="132"/>
      <c r="B4" s="132"/>
      <c r="C4" s="132"/>
      <c r="D4" s="132"/>
      <c r="E4" s="132"/>
      <c r="F4" s="132"/>
      <c r="G4" s="138"/>
      <c r="H4" s="138"/>
      <c r="I4" s="138"/>
      <c r="J4" s="148"/>
      <c r="K4" s="148"/>
      <c r="L4" s="148"/>
      <c r="N4" s="418">
        <v>2017</v>
      </c>
      <c r="O4" s="418">
        <v>1</v>
      </c>
      <c r="P4" s="419">
        <v>1</v>
      </c>
      <c r="Q4" s="420">
        <v>13.85</v>
      </c>
      <c r="R4" s="420">
        <v>11.3</v>
      </c>
      <c r="S4" s="420">
        <v>104.02</v>
      </c>
      <c r="T4" s="420">
        <v>148.43</v>
      </c>
      <c r="U4" s="420">
        <v>24.1</v>
      </c>
      <c r="V4" s="420">
        <v>10.220000000000001</v>
      </c>
      <c r="W4" s="420">
        <v>3.28</v>
      </c>
      <c r="X4" s="420">
        <v>89.46</v>
      </c>
      <c r="Y4" s="420">
        <v>25.43</v>
      </c>
    </row>
    <row r="5" spans="1:25" ht="11.25" customHeight="1">
      <c r="A5" s="176"/>
      <c r="B5" s="176"/>
      <c r="C5" s="176"/>
      <c r="D5" s="176"/>
      <c r="E5" s="176"/>
      <c r="F5" s="176"/>
      <c r="G5" s="176"/>
      <c r="H5" s="176"/>
      <c r="I5" s="176"/>
      <c r="J5" s="24"/>
      <c r="K5" s="24"/>
      <c r="L5" s="131"/>
      <c r="P5" s="419">
        <v>2</v>
      </c>
      <c r="Q5" s="420">
        <v>14.96</v>
      </c>
      <c r="R5" s="420">
        <v>15.4</v>
      </c>
      <c r="S5" s="420">
        <v>143.97</v>
      </c>
      <c r="T5" s="420">
        <v>175.88</v>
      </c>
      <c r="U5" s="420">
        <v>33.74</v>
      </c>
      <c r="V5" s="420">
        <v>10.17</v>
      </c>
      <c r="W5" s="420">
        <v>6.45</v>
      </c>
      <c r="X5" s="420">
        <v>178.14</v>
      </c>
      <c r="Y5" s="420">
        <v>55.67</v>
      </c>
    </row>
    <row r="6" spans="1:25" ht="11.25" customHeight="1">
      <c r="A6" s="132"/>
      <c r="B6" s="301"/>
      <c r="C6" s="302"/>
      <c r="D6" s="303"/>
      <c r="E6" s="303"/>
      <c r="F6" s="177"/>
      <c r="G6" s="178"/>
      <c r="H6" s="178"/>
      <c r="I6" s="179"/>
      <c r="J6" s="24"/>
      <c r="K6" s="24"/>
      <c r="L6" s="19"/>
      <c r="P6" s="419">
        <v>3</v>
      </c>
      <c r="Q6" s="420">
        <v>28.98</v>
      </c>
      <c r="R6" s="420">
        <v>21.94</v>
      </c>
      <c r="S6" s="420">
        <v>355.12</v>
      </c>
      <c r="T6" s="420">
        <v>177.57</v>
      </c>
      <c r="U6" s="420">
        <v>35.49</v>
      </c>
      <c r="V6" s="420">
        <v>10</v>
      </c>
      <c r="W6" s="420">
        <v>9.0500000000000007</v>
      </c>
      <c r="X6" s="420">
        <v>174.94</v>
      </c>
      <c r="Y6" s="420">
        <v>58.31</v>
      </c>
    </row>
    <row r="7" spans="1:25" ht="11.25" customHeight="1">
      <c r="A7" s="132"/>
      <c r="B7" s="180"/>
      <c r="C7" s="180"/>
      <c r="D7" s="181"/>
      <c r="E7" s="181"/>
      <c r="F7" s="177"/>
      <c r="G7" s="178"/>
      <c r="H7" s="178"/>
      <c r="I7" s="179"/>
      <c r="J7" s="25"/>
      <c r="K7" s="25"/>
      <c r="L7" s="22"/>
      <c r="P7" s="419">
        <v>4</v>
      </c>
      <c r="Q7" s="420">
        <v>30.46</v>
      </c>
      <c r="R7" s="420">
        <v>23.91</v>
      </c>
      <c r="S7" s="420">
        <v>519.4</v>
      </c>
      <c r="T7" s="420">
        <v>205.76</v>
      </c>
      <c r="U7" s="420">
        <v>48.48</v>
      </c>
      <c r="V7" s="420">
        <v>10</v>
      </c>
      <c r="W7" s="420">
        <v>2.4300000000000002</v>
      </c>
      <c r="X7" s="420">
        <v>141.31</v>
      </c>
      <c r="Y7" s="420">
        <v>47.49</v>
      </c>
    </row>
    <row r="8" spans="1:25" ht="11.25" customHeight="1">
      <c r="A8" s="132"/>
      <c r="B8" s="182"/>
      <c r="C8" s="132"/>
      <c r="D8" s="156"/>
      <c r="E8" s="156"/>
      <c r="F8" s="177"/>
      <c r="G8" s="178"/>
      <c r="H8" s="178"/>
      <c r="I8" s="179"/>
      <c r="J8" s="23"/>
      <c r="K8" s="23"/>
      <c r="L8" s="24"/>
      <c r="P8" s="419">
        <v>5</v>
      </c>
      <c r="Q8" s="420">
        <v>21.36</v>
      </c>
      <c r="R8" s="420">
        <v>18.07</v>
      </c>
      <c r="S8" s="420">
        <v>330.78</v>
      </c>
      <c r="T8" s="420">
        <v>123.41</v>
      </c>
      <c r="U8" s="420">
        <v>25.33</v>
      </c>
      <c r="V8" s="420">
        <v>11.41</v>
      </c>
      <c r="W8" s="420">
        <v>2.87</v>
      </c>
      <c r="X8" s="420">
        <v>123.59</v>
      </c>
      <c r="Y8" s="420">
        <v>45.46</v>
      </c>
    </row>
    <row r="9" spans="1:25" ht="11.25" customHeight="1">
      <c r="A9" s="132"/>
      <c r="B9" s="182"/>
      <c r="C9" s="132"/>
      <c r="D9" s="156"/>
      <c r="E9" s="156"/>
      <c r="F9" s="177"/>
      <c r="G9" s="178"/>
      <c r="H9" s="178"/>
      <c r="I9" s="179"/>
      <c r="J9" s="25"/>
      <c r="K9" s="26"/>
      <c r="L9" s="22"/>
      <c r="P9" s="419">
        <v>6</v>
      </c>
      <c r="Q9" s="420">
        <v>25.42</v>
      </c>
      <c r="R9" s="420">
        <v>21.42</v>
      </c>
      <c r="S9" s="420">
        <v>200.58</v>
      </c>
      <c r="T9" s="420">
        <v>108.48</v>
      </c>
      <c r="U9" s="420">
        <v>22.99</v>
      </c>
      <c r="V9" s="420">
        <v>10.57</v>
      </c>
      <c r="W9" s="420">
        <v>3.01</v>
      </c>
      <c r="X9" s="420">
        <v>85.48</v>
      </c>
      <c r="Y9" s="420">
        <v>28.56</v>
      </c>
    </row>
    <row r="10" spans="1:25" ht="11.25" customHeight="1">
      <c r="A10" s="132"/>
      <c r="B10" s="182"/>
      <c r="C10" s="132"/>
      <c r="D10" s="156"/>
      <c r="E10" s="156"/>
      <c r="F10" s="177"/>
      <c r="G10" s="178"/>
      <c r="H10" s="178"/>
      <c r="I10" s="179"/>
      <c r="J10" s="25"/>
      <c r="K10" s="25"/>
      <c r="L10" s="22"/>
      <c r="P10" s="419">
        <v>7</v>
      </c>
      <c r="Q10" s="420">
        <v>35.43</v>
      </c>
      <c r="R10" s="420">
        <v>25.12</v>
      </c>
      <c r="S10" s="420">
        <v>393.69</v>
      </c>
      <c r="T10" s="420">
        <v>144.62</v>
      </c>
      <c r="U10" s="420">
        <v>39.44</v>
      </c>
      <c r="V10" s="420">
        <v>10</v>
      </c>
      <c r="W10" s="420">
        <v>2.88</v>
      </c>
      <c r="X10" s="420">
        <v>100.57</v>
      </c>
      <c r="Y10" s="420">
        <v>25.04</v>
      </c>
    </row>
    <row r="11" spans="1:25" ht="11.25" customHeight="1">
      <c r="A11" s="132"/>
      <c r="B11" s="156"/>
      <c r="C11" s="132"/>
      <c r="D11" s="156"/>
      <c r="E11" s="156"/>
      <c r="F11" s="177"/>
      <c r="G11" s="178"/>
      <c r="H11" s="178"/>
      <c r="I11" s="179"/>
      <c r="J11" s="25"/>
      <c r="K11" s="25"/>
      <c r="L11" s="22"/>
      <c r="O11" s="418">
        <v>8</v>
      </c>
      <c r="P11" s="419">
        <v>8</v>
      </c>
      <c r="Q11" s="420">
        <v>30.45</v>
      </c>
      <c r="R11" s="420">
        <v>23.33</v>
      </c>
      <c r="S11" s="420">
        <v>345.37</v>
      </c>
      <c r="T11" s="420">
        <v>140.63</v>
      </c>
      <c r="U11" s="420">
        <v>30.47</v>
      </c>
      <c r="V11" s="420">
        <v>9.58</v>
      </c>
      <c r="W11" s="420">
        <v>2.0699999999999998</v>
      </c>
      <c r="X11" s="420">
        <v>163.72999999999999</v>
      </c>
      <c r="Y11" s="420">
        <v>58.84</v>
      </c>
    </row>
    <row r="12" spans="1:25" ht="11.25" customHeight="1">
      <c r="A12" s="132"/>
      <c r="B12" s="156"/>
      <c r="C12" s="132"/>
      <c r="D12" s="156"/>
      <c r="E12" s="156"/>
      <c r="F12" s="177"/>
      <c r="G12" s="178"/>
      <c r="H12" s="178"/>
      <c r="I12" s="179"/>
      <c r="J12" s="25"/>
      <c r="K12" s="25"/>
      <c r="L12" s="22"/>
      <c r="P12" s="419">
        <v>9</v>
      </c>
      <c r="Q12" s="420">
        <v>37.72</v>
      </c>
      <c r="R12" s="420">
        <v>24.83</v>
      </c>
      <c r="S12" s="420">
        <v>567.22</v>
      </c>
      <c r="T12" s="420">
        <v>245.85</v>
      </c>
      <c r="U12" s="420">
        <v>67.56</v>
      </c>
      <c r="V12" s="420">
        <v>9.01</v>
      </c>
      <c r="W12" s="420">
        <v>7.33</v>
      </c>
      <c r="X12" s="420">
        <v>285.31</v>
      </c>
      <c r="Y12" s="420">
        <v>102.26</v>
      </c>
    </row>
    <row r="13" spans="1:25" ht="11.25" customHeight="1">
      <c r="A13" s="132"/>
      <c r="B13" s="156"/>
      <c r="C13" s="132"/>
      <c r="D13" s="156"/>
      <c r="E13" s="156"/>
      <c r="F13" s="177"/>
      <c r="G13" s="178"/>
      <c r="H13" s="178"/>
      <c r="I13" s="179"/>
      <c r="J13" s="23"/>
      <c r="K13" s="23"/>
      <c r="L13" s="24"/>
      <c r="P13" s="419">
        <v>10</v>
      </c>
      <c r="Q13" s="420">
        <v>36.46</v>
      </c>
      <c r="R13" s="420">
        <v>24.95</v>
      </c>
      <c r="S13" s="420">
        <v>467.04</v>
      </c>
      <c r="T13" s="420">
        <v>188.01</v>
      </c>
      <c r="U13" s="420">
        <v>50.5</v>
      </c>
      <c r="V13" s="420">
        <v>10.06</v>
      </c>
      <c r="W13" s="420">
        <v>3.71</v>
      </c>
      <c r="X13" s="420">
        <v>374.33</v>
      </c>
      <c r="Y13" s="420">
        <v>83.74</v>
      </c>
    </row>
    <row r="14" spans="1:25" ht="11.25" customHeight="1">
      <c r="A14" s="132"/>
      <c r="B14" s="156"/>
      <c r="C14" s="132"/>
      <c r="D14" s="156"/>
      <c r="E14" s="156"/>
      <c r="F14" s="177"/>
      <c r="G14" s="178"/>
      <c r="H14" s="178"/>
      <c r="I14" s="179"/>
      <c r="J14" s="25"/>
      <c r="K14" s="26"/>
      <c r="L14" s="22"/>
      <c r="P14" s="419">
        <v>11</v>
      </c>
      <c r="Q14" s="420">
        <v>35.590000000000003</v>
      </c>
      <c r="R14" s="420">
        <v>26.89</v>
      </c>
      <c r="S14" s="420">
        <v>448.3</v>
      </c>
      <c r="T14" s="420">
        <v>169.95</v>
      </c>
      <c r="U14" s="420">
        <v>51.21</v>
      </c>
      <c r="V14" s="420">
        <v>26.15</v>
      </c>
      <c r="W14" s="420">
        <v>8.66</v>
      </c>
      <c r="X14" s="420">
        <v>219.86</v>
      </c>
      <c r="Y14" s="420">
        <v>62.42</v>
      </c>
    </row>
    <row r="15" spans="1:25" ht="11.25" customHeight="1">
      <c r="A15" s="132"/>
      <c r="B15" s="156"/>
      <c r="C15" s="132"/>
      <c r="D15" s="156"/>
      <c r="E15" s="156"/>
      <c r="F15" s="177"/>
      <c r="G15" s="178"/>
      <c r="H15" s="178"/>
      <c r="I15" s="179"/>
      <c r="J15" s="25"/>
      <c r="K15" s="26"/>
      <c r="L15" s="22"/>
      <c r="P15" s="419">
        <v>12</v>
      </c>
      <c r="Q15" s="420">
        <v>37.82</v>
      </c>
      <c r="R15" s="420">
        <v>20.6</v>
      </c>
      <c r="S15" s="420">
        <v>350.87</v>
      </c>
      <c r="T15" s="420">
        <v>146.01</v>
      </c>
      <c r="U15" s="420">
        <v>38.08</v>
      </c>
      <c r="V15" s="420">
        <v>12.43</v>
      </c>
      <c r="W15" s="420">
        <v>5.63</v>
      </c>
      <c r="X15" s="420">
        <v>190.11</v>
      </c>
      <c r="Y15" s="420">
        <v>52.01</v>
      </c>
    </row>
    <row r="16" spans="1:25" ht="11.25" customHeight="1">
      <c r="A16" s="132"/>
      <c r="B16" s="156"/>
      <c r="C16" s="132"/>
      <c r="D16" s="156"/>
      <c r="E16" s="156"/>
      <c r="F16" s="177"/>
      <c r="G16" s="178"/>
      <c r="H16" s="178"/>
      <c r="I16" s="179"/>
      <c r="J16" s="25"/>
      <c r="K16" s="26"/>
      <c r="L16" s="22"/>
      <c r="P16" s="419">
        <v>13</v>
      </c>
      <c r="Q16" s="420">
        <v>35.93</v>
      </c>
      <c r="R16" s="420">
        <v>24.02</v>
      </c>
      <c r="S16" s="420">
        <v>380.48</v>
      </c>
      <c r="T16" s="420">
        <v>173.02</v>
      </c>
      <c r="U16" s="420">
        <v>38.869999999999997</v>
      </c>
      <c r="V16" s="420">
        <v>11.98</v>
      </c>
      <c r="W16" s="420">
        <v>5.83</v>
      </c>
      <c r="X16" s="420">
        <v>272.08999999999997</v>
      </c>
      <c r="Y16" s="420">
        <v>65.430000000000007</v>
      </c>
    </row>
    <row r="17" spans="1:25" ht="11.25" customHeight="1">
      <c r="A17" s="132"/>
      <c r="B17" s="156"/>
      <c r="C17" s="132"/>
      <c r="D17" s="156"/>
      <c r="E17" s="156"/>
      <c r="F17" s="177"/>
      <c r="G17" s="178"/>
      <c r="H17" s="178"/>
      <c r="I17" s="179"/>
      <c r="J17" s="25"/>
      <c r="K17" s="26"/>
      <c r="L17" s="22"/>
      <c r="P17" s="419">
        <v>14</v>
      </c>
      <c r="Q17" s="420">
        <v>42.9</v>
      </c>
      <c r="R17" s="420">
        <v>17.87</v>
      </c>
      <c r="S17" s="420">
        <v>427.28</v>
      </c>
      <c r="T17" s="420">
        <v>137.65</v>
      </c>
      <c r="U17" s="420">
        <v>35.950000000000003</v>
      </c>
      <c r="V17" s="420">
        <v>28.72</v>
      </c>
      <c r="W17" s="420">
        <v>4.95</v>
      </c>
      <c r="X17" s="420">
        <v>301.82</v>
      </c>
      <c r="Y17" s="420">
        <v>71.06</v>
      </c>
    </row>
    <row r="18" spans="1:25" ht="11.25" customHeight="1">
      <c r="A18" s="960" t="s">
        <v>469</v>
      </c>
      <c r="B18" s="960"/>
      <c r="C18" s="960"/>
      <c r="D18" s="960"/>
      <c r="E18" s="960"/>
      <c r="F18" s="960"/>
      <c r="G18" s="960"/>
      <c r="H18" s="960"/>
      <c r="I18" s="960"/>
      <c r="J18" s="960"/>
      <c r="K18" s="960"/>
      <c r="L18" s="960"/>
      <c r="P18" s="419">
        <v>15</v>
      </c>
      <c r="Q18" s="420">
        <v>31.19</v>
      </c>
      <c r="R18" s="420">
        <v>17.87</v>
      </c>
      <c r="S18" s="420">
        <v>334.14</v>
      </c>
      <c r="T18" s="420">
        <v>129.9</v>
      </c>
      <c r="U18" s="420">
        <v>29.93</v>
      </c>
      <c r="V18" s="420">
        <v>16.28</v>
      </c>
      <c r="W18" s="420">
        <v>1.82</v>
      </c>
      <c r="X18" s="420">
        <v>203.49</v>
      </c>
      <c r="Y18" s="420">
        <v>77.099999999999994</v>
      </c>
    </row>
    <row r="19" spans="1:25" ht="11.25" customHeight="1">
      <c r="A19" s="25"/>
      <c r="B19" s="156"/>
      <c r="C19" s="132"/>
      <c r="D19" s="156"/>
      <c r="E19" s="156"/>
      <c r="F19" s="177"/>
      <c r="G19" s="178"/>
      <c r="H19" s="178"/>
      <c r="I19" s="179"/>
      <c r="J19" s="25"/>
      <c r="K19" s="26"/>
      <c r="L19" s="22"/>
      <c r="O19" s="418">
        <v>16</v>
      </c>
      <c r="P19" s="419">
        <v>16</v>
      </c>
      <c r="Q19" s="420">
        <v>22.8</v>
      </c>
      <c r="R19" s="420">
        <v>11.46</v>
      </c>
      <c r="S19" s="420">
        <v>218.96</v>
      </c>
      <c r="T19" s="420">
        <v>100.66</v>
      </c>
      <c r="U19" s="420">
        <v>21.85</v>
      </c>
      <c r="V19" s="420">
        <v>15.43</v>
      </c>
      <c r="W19" s="420">
        <v>2.33</v>
      </c>
      <c r="X19" s="420">
        <v>155.33000000000001</v>
      </c>
      <c r="Y19" s="420">
        <v>48.77</v>
      </c>
    </row>
    <row r="20" spans="1:25" ht="11.25" customHeight="1">
      <c r="A20" s="132"/>
      <c r="B20" s="156"/>
      <c r="C20" s="132"/>
      <c r="D20" s="156"/>
      <c r="E20" s="156"/>
      <c r="F20" s="177"/>
      <c r="G20" s="178"/>
      <c r="H20" s="178"/>
      <c r="I20" s="179"/>
      <c r="J20" s="25"/>
      <c r="K20" s="26"/>
      <c r="L20" s="22"/>
      <c r="P20" s="419">
        <v>17</v>
      </c>
      <c r="Q20" s="420">
        <v>20.18</v>
      </c>
      <c r="R20" s="420">
        <v>11.46</v>
      </c>
      <c r="S20" s="420">
        <v>180.47</v>
      </c>
      <c r="T20" s="420">
        <v>91.24</v>
      </c>
      <c r="U20" s="420">
        <v>18.89</v>
      </c>
      <c r="V20" s="420">
        <v>12.29</v>
      </c>
      <c r="W20" s="420">
        <v>1.9</v>
      </c>
      <c r="X20" s="420">
        <v>111.37</v>
      </c>
      <c r="Y20" s="420">
        <v>34.409999999999997</v>
      </c>
    </row>
    <row r="21" spans="1:25" ht="11.25" customHeight="1">
      <c r="A21" s="132"/>
      <c r="B21" s="156"/>
      <c r="C21" s="132"/>
      <c r="D21" s="156"/>
      <c r="E21" s="156"/>
      <c r="F21" s="177"/>
      <c r="G21" s="178"/>
      <c r="H21" s="178"/>
      <c r="I21" s="179"/>
      <c r="J21" s="25"/>
      <c r="K21" s="29"/>
      <c r="L21" s="30"/>
      <c r="P21" s="419">
        <v>18</v>
      </c>
      <c r="Q21" s="420">
        <v>19.84</v>
      </c>
      <c r="R21" s="420">
        <v>10.36</v>
      </c>
      <c r="S21" s="420">
        <v>212.89</v>
      </c>
      <c r="T21" s="420">
        <v>98.95</v>
      </c>
      <c r="U21" s="420">
        <v>19.899999999999999</v>
      </c>
      <c r="V21" s="420">
        <v>11.64</v>
      </c>
      <c r="W21" s="420">
        <v>1.46</v>
      </c>
      <c r="X21" s="420">
        <v>117.05</v>
      </c>
      <c r="Y21" s="420">
        <v>28.8</v>
      </c>
    </row>
    <row r="22" spans="1:25" ht="11.25" customHeight="1">
      <c r="A22" s="137"/>
      <c r="B22" s="156"/>
      <c r="C22" s="132"/>
      <c r="D22" s="156"/>
      <c r="E22" s="156"/>
      <c r="F22" s="177"/>
      <c r="G22" s="178"/>
      <c r="H22" s="178"/>
      <c r="I22" s="179"/>
      <c r="J22" s="25"/>
      <c r="K22" s="26"/>
      <c r="L22" s="22"/>
      <c r="P22" s="419">
        <v>19</v>
      </c>
      <c r="Q22" s="420">
        <v>21.4</v>
      </c>
      <c r="R22" s="420">
        <v>9.25</v>
      </c>
      <c r="S22" s="420">
        <v>199.54</v>
      </c>
      <c r="T22" s="420">
        <v>89.02</v>
      </c>
      <c r="U22" s="420">
        <v>15.9</v>
      </c>
      <c r="V22" s="420">
        <v>11</v>
      </c>
      <c r="W22" s="420">
        <v>1.36</v>
      </c>
      <c r="X22" s="420">
        <v>79.2</v>
      </c>
      <c r="Y22" s="420">
        <v>22.78</v>
      </c>
    </row>
    <row r="23" spans="1:25" ht="11.25" customHeight="1">
      <c r="A23" s="137"/>
      <c r="B23" s="156"/>
      <c r="C23" s="132"/>
      <c r="D23" s="156"/>
      <c r="E23" s="156"/>
      <c r="F23" s="177"/>
      <c r="G23" s="178"/>
      <c r="H23" s="178"/>
      <c r="I23" s="179"/>
      <c r="J23" s="25"/>
      <c r="K23" s="26"/>
      <c r="L23" s="22"/>
      <c r="P23" s="419">
        <v>20</v>
      </c>
      <c r="Q23" s="420">
        <v>17.23</v>
      </c>
      <c r="R23" s="420">
        <v>6.32</v>
      </c>
      <c r="S23" s="420">
        <v>136.84</v>
      </c>
      <c r="T23" s="420">
        <v>72.95</v>
      </c>
      <c r="U23" s="420">
        <v>15.03</v>
      </c>
      <c r="V23" s="420">
        <v>11</v>
      </c>
      <c r="W23" s="420">
        <v>1.98</v>
      </c>
      <c r="X23" s="420">
        <v>69.37</v>
      </c>
      <c r="Y23" s="420">
        <v>17.8</v>
      </c>
    </row>
    <row r="24" spans="1:25" ht="11.25" customHeight="1">
      <c r="A24" s="137"/>
      <c r="B24" s="156"/>
      <c r="C24" s="132"/>
      <c r="D24" s="156"/>
      <c r="E24" s="156"/>
      <c r="F24" s="177"/>
      <c r="G24" s="178"/>
      <c r="H24" s="178"/>
      <c r="I24" s="179"/>
      <c r="J24" s="26"/>
      <c r="K24" s="26"/>
      <c r="L24" s="22"/>
      <c r="P24" s="419">
        <v>21</v>
      </c>
      <c r="Q24" s="420">
        <v>16.09</v>
      </c>
      <c r="R24" s="420">
        <v>6.32</v>
      </c>
      <c r="S24" s="420">
        <v>116.86</v>
      </c>
      <c r="T24" s="420">
        <v>99.42</v>
      </c>
      <c r="U24" s="420">
        <v>20.059999999999999</v>
      </c>
      <c r="V24" s="420">
        <v>11.01</v>
      </c>
      <c r="W24" s="420">
        <v>1.6</v>
      </c>
      <c r="X24" s="420">
        <v>68.8</v>
      </c>
      <c r="Y24" s="420">
        <v>17.84</v>
      </c>
    </row>
    <row r="25" spans="1:25" ht="11.25" customHeight="1">
      <c r="A25" s="137"/>
      <c r="B25" s="156"/>
      <c r="C25" s="132"/>
      <c r="D25" s="156"/>
      <c r="E25" s="156"/>
      <c r="F25" s="177"/>
      <c r="G25" s="178"/>
      <c r="H25" s="178"/>
      <c r="I25" s="179"/>
      <c r="J25" s="25"/>
      <c r="K25" s="29"/>
      <c r="L25" s="30"/>
      <c r="P25" s="419">
        <v>22</v>
      </c>
      <c r="Q25" s="420">
        <v>15.1</v>
      </c>
      <c r="R25" s="420">
        <v>5.59</v>
      </c>
      <c r="S25" s="420">
        <v>118.58</v>
      </c>
      <c r="T25" s="420">
        <v>79.099999999999994</v>
      </c>
      <c r="U25" s="420">
        <v>16</v>
      </c>
      <c r="V25" s="420">
        <v>11</v>
      </c>
      <c r="W25" s="420">
        <v>1.01</v>
      </c>
      <c r="X25" s="420">
        <v>69.05</v>
      </c>
      <c r="Y25" s="420">
        <v>16.37</v>
      </c>
    </row>
    <row r="26" spans="1:25" ht="11.25" customHeight="1">
      <c r="A26" s="137"/>
      <c r="B26" s="156"/>
      <c r="C26" s="132"/>
      <c r="D26" s="156"/>
      <c r="E26" s="156"/>
      <c r="F26" s="138"/>
      <c r="G26" s="138"/>
      <c r="H26" s="138"/>
      <c r="I26" s="138"/>
      <c r="J26" s="23"/>
      <c r="K26" s="26"/>
      <c r="L26" s="22"/>
      <c r="P26" s="419">
        <v>23</v>
      </c>
      <c r="Q26" s="420">
        <v>14.28</v>
      </c>
      <c r="R26" s="420">
        <v>4.8499999999999996</v>
      </c>
      <c r="S26" s="420">
        <v>112.05</v>
      </c>
      <c r="T26" s="420">
        <v>63.27</v>
      </c>
      <c r="U26" s="420">
        <v>13.78</v>
      </c>
      <c r="V26" s="420">
        <v>11</v>
      </c>
      <c r="W26" s="420">
        <v>1.82</v>
      </c>
      <c r="X26" s="420">
        <v>54.09</v>
      </c>
      <c r="Y26" s="420">
        <v>13.15</v>
      </c>
    </row>
    <row r="27" spans="1:25" ht="11.25" customHeight="1">
      <c r="A27" s="137"/>
      <c r="B27" s="156"/>
      <c r="C27" s="132"/>
      <c r="D27" s="156"/>
      <c r="E27" s="156"/>
      <c r="F27" s="138"/>
      <c r="G27" s="138"/>
      <c r="H27" s="138"/>
      <c r="I27" s="138"/>
      <c r="J27" s="23"/>
      <c r="K27" s="26"/>
      <c r="L27" s="22"/>
      <c r="O27" s="418">
        <v>24</v>
      </c>
      <c r="P27" s="419">
        <v>24</v>
      </c>
      <c r="Q27" s="420">
        <v>13.3</v>
      </c>
      <c r="R27" s="420">
        <v>4.8499999999999996</v>
      </c>
      <c r="S27" s="420">
        <v>91.62</v>
      </c>
      <c r="T27" s="420">
        <v>49.79</v>
      </c>
      <c r="U27" s="420">
        <v>11.29</v>
      </c>
      <c r="V27" s="420">
        <v>11</v>
      </c>
      <c r="W27" s="420">
        <v>1.89</v>
      </c>
      <c r="X27" s="420">
        <v>45.31</v>
      </c>
      <c r="Y27" s="420">
        <v>10.85</v>
      </c>
    </row>
    <row r="28" spans="1:25" ht="11.25" customHeight="1">
      <c r="A28" s="136"/>
      <c r="B28" s="138"/>
      <c r="C28" s="138"/>
      <c r="D28" s="138"/>
      <c r="E28" s="138"/>
      <c r="F28" s="138"/>
      <c r="G28" s="138"/>
      <c r="H28" s="138"/>
      <c r="I28" s="138"/>
      <c r="J28" s="25"/>
      <c r="K28" s="26"/>
      <c r="L28" s="22"/>
      <c r="P28" s="419">
        <v>25</v>
      </c>
      <c r="Q28" s="420">
        <v>12.63</v>
      </c>
      <c r="R28" s="420">
        <v>3.77</v>
      </c>
      <c r="S28" s="420">
        <v>81.33</v>
      </c>
      <c r="T28" s="420">
        <v>46.74</v>
      </c>
      <c r="U28" s="420">
        <v>10.02</v>
      </c>
      <c r="V28" s="420">
        <v>11</v>
      </c>
      <c r="W28" s="420">
        <v>1.77</v>
      </c>
      <c r="X28" s="420">
        <v>40.42</v>
      </c>
      <c r="Y28" s="420">
        <v>8.98</v>
      </c>
    </row>
    <row r="29" spans="1:25" ht="11.25" customHeight="1">
      <c r="A29" s="136"/>
      <c r="B29" s="138"/>
      <c r="C29" s="138"/>
      <c r="D29" s="138"/>
      <c r="E29" s="138"/>
      <c r="F29" s="138"/>
      <c r="G29" s="138"/>
      <c r="H29" s="138"/>
      <c r="I29" s="138"/>
      <c r="J29" s="25"/>
      <c r="K29" s="26"/>
      <c r="L29" s="22"/>
      <c r="P29" s="419">
        <v>26</v>
      </c>
      <c r="Q29" s="420">
        <v>11.92</v>
      </c>
      <c r="R29" s="420">
        <v>3.77</v>
      </c>
      <c r="S29" s="420">
        <v>80.900000000000006</v>
      </c>
      <c r="T29" s="420">
        <v>41.45</v>
      </c>
      <c r="U29" s="420">
        <v>9.24</v>
      </c>
      <c r="V29" s="420">
        <v>12</v>
      </c>
      <c r="W29" s="420">
        <v>1.86</v>
      </c>
      <c r="X29" s="420">
        <v>37.89</v>
      </c>
      <c r="Y29" s="420">
        <v>9.41</v>
      </c>
    </row>
    <row r="30" spans="1:25" ht="11.25" customHeight="1">
      <c r="A30" s="136"/>
      <c r="B30" s="138"/>
      <c r="C30" s="138"/>
      <c r="D30" s="138"/>
      <c r="E30" s="138"/>
      <c r="F30" s="138"/>
      <c r="G30" s="138"/>
      <c r="H30" s="138"/>
      <c r="I30" s="138"/>
      <c r="J30" s="25"/>
      <c r="K30" s="26"/>
      <c r="L30" s="22"/>
      <c r="P30" s="419">
        <v>27</v>
      </c>
      <c r="Q30" s="420">
        <v>11.92</v>
      </c>
      <c r="R30" s="420">
        <v>3.91</v>
      </c>
      <c r="S30" s="420">
        <v>82.99</v>
      </c>
      <c r="T30" s="420">
        <v>60.31</v>
      </c>
      <c r="U30" s="420">
        <v>9.73</v>
      </c>
      <c r="V30" s="420">
        <v>12</v>
      </c>
      <c r="W30" s="420">
        <v>1.9</v>
      </c>
      <c r="X30" s="420">
        <v>38.229999999999997</v>
      </c>
      <c r="Y30" s="420">
        <v>8.58</v>
      </c>
    </row>
    <row r="31" spans="1:25" ht="11.25" customHeight="1">
      <c r="A31" s="136"/>
      <c r="B31" s="138"/>
      <c r="C31" s="138"/>
      <c r="D31" s="138"/>
      <c r="E31" s="138"/>
      <c r="F31" s="138"/>
      <c r="G31" s="138"/>
      <c r="H31" s="138"/>
      <c r="I31" s="138"/>
      <c r="J31" s="25"/>
      <c r="K31" s="26"/>
      <c r="L31" s="22"/>
      <c r="P31" s="419">
        <v>28</v>
      </c>
      <c r="Q31" s="420">
        <v>11.04</v>
      </c>
      <c r="R31" s="420">
        <v>3.91</v>
      </c>
      <c r="S31" s="420">
        <v>71.739999999999995</v>
      </c>
      <c r="T31" s="420">
        <v>39.090000000000003</v>
      </c>
      <c r="U31" s="420">
        <v>8.42</v>
      </c>
      <c r="V31" s="420">
        <v>12</v>
      </c>
      <c r="W31" s="420">
        <v>1.65</v>
      </c>
      <c r="X31" s="420">
        <v>33.9</v>
      </c>
      <c r="Y31" s="420">
        <v>6.64</v>
      </c>
    </row>
    <row r="32" spans="1:25" ht="11.25" customHeight="1">
      <c r="A32" s="136"/>
      <c r="B32" s="138"/>
      <c r="C32" s="138"/>
      <c r="D32" s="138"/>
      <c r="E32" s="138"/>
      <c r="F32" s="138"/>
      <c r="G32" s="138"/>
      <c r="H32" s="138"/>
      <c r="I32" s="138"/>
      <c r="J32" s="26"/>
      <c r="K32" s="26"/>
      <c r="L32" s="22"/>
      <c r="P32" s="419">
        <v>29</v>
      </c>
      <c r="Q32" s="420">
        <v>10.27</v>
      </c>
      <c r="R32" s="420">
        <v>3.42</v>
      </c>
      <c r="S32" s="420">
        <v>67.8</v>
      </c>
      <c r="T32" s="420">
        <v>32.590000000000003</v>
      </c>
      <c r="U32" s="420">
        <v>7.7</v>
      </c>
      <c r="V32" s="420">
        <v>10.51</v>
      </c>
      <c r="W32" s="420">
        <v>1.79</v>
      </c>
      <c r="X32" s="420">
        <v>31.97</v>
      </c>
      <c r="Y32" s="420">
        <v>6.49</v>
      </c>
    </row>
    <row r="33" spans="1:25" ht="11.25" customHeight="1">
      <c r="A33" s="136"/>
      <c r="B33" s="138"/>
      <c r="C33" s="138"/>
      <c r="D33" s="138"/>
      <c r="E33" s="138"/>
      <c r="F33" s="138"/>
      <c r="G33" s="138"/>
      <c r="H33" s="138"/>
      <c r="I33" s="138"/>
      <c r="J33" s="25"/>
      <c r="K33" s="26"/>
      <c r="L33" s="22"/>
      <c r="P33" s="419">
        <v>30</v>
      </c>
      <c r="Q33" s="420">
        <v>9.4700000000000006</v>
      </c>
      <c r="R33" s="420">
        <v>3.42</v>
      </c>
      <c r="S33" s="420">
        <v>69.62</v>
      </c>
      <c r="T33" s="420">
        <v>28.39</v>
      </c>
      <c r="U33" s="420">
        <v>7.39</v>
      </c>
      <c r="V33" s="420">
        <v>12</v>
      </c>
      <c r="W33" s="420">
        <v>1.64</v>
      </c>
      <c r="X33" s="420">
        <v>31.76</v>
      </c>
      <c r="Y33" s="420">
        <v>6.15</v>
      </c>
    </row>
    <row r="34" spans="1:25" ht="11.25" customHeight="1">
      <c r="A34" s="136"/>
      <c r="B34" s="138"/>
      <c r="C34" s="138"/>
      <c r="D34" s="138"/>
      <c r="E34" s="138"/>
      <c r="F34" s="138"/>
      <c r="G34" s="138"/>
      <c r="H34" s="138"/>
      <c r="I34" s="138"/>
      <c r="J34" s="25"/>
      <c r="K34" s="34"/>
      <c r="L34" s="22"/>
      <c r="P34" s="419">
        <v>31</v>
      </c>
      <c r="Q34" s="420">
        <v>9.0500000000000007</v>
      </c>
      <c r="R34" s="420">
        <v>3.3</v>
      </c>
      <c r="S34" s="420">
        <v>61.71</v>
      </c>
      <c r="T34" s="420">
        <v>26.51</v>
      </c>
      <c r="U34" s="420">
        <v>7.02</v>
      </c>
      <c r="V34" s="420">
        <v>12</v>
      </c>
      <c r="W34" s="420">
        <v>1.87</v>
      </c>
      <c r="X34" s="420">
        <v>31.68</v>
      </c>
      <c r="Y34" s="420">
        <v>5.51</v>
      </c>
    </row>
    <row r="35" spans="1:25" ht="11.25" customHeight="1">
      <c r="A35" s="136"/>
      <c r="B35" s="138"/>
      <c r="C35" s="138"/>
      <c r="D35" s="138"/>
      <c r="E35" s="138"/>
      <c r="F35" s="138"/>
      <c r="G35" s="138"/>
      <c r="H35" s="138"/>
      <c r="I35" s="138"/>
      <c r="J35" s="25"/>
      <c r="K35" s="34"/>
      <c r="L35" s="38"/>
      <c r="O35" s="418">
        <v>32</v>
      </c>
      <c r="P35" s="419">
        <v>32</v>
      </c>
      <c r="Q35" s="420">
        <v>9.9</v>
      </c>
      <c r="R35" s="420">
        <v>2.68</v>
      </c>
      <c r="S35" s="420">
        <v>65.38</v>
      </c>
      <c r="T35" s="420">
        <v>24.1</v>
      </c>
      <c r="U35" s="420">
        <v>6.7</v>
      </c>
      <c r="V35" s="420">
        <v>12</v>
      </c>
      <c r="W35" s="420">
        <v>1.95</v>
      </c>
      <c r="X35" s="420">
        <v>31.01</v>
      </c>
      <c r="Y35" s="420">
        <v>5.16</v>
      </c>
    </row>
    <row r="36" spans="1:25" ht="11.25" customHeight="1">
      <c r="A36" s="136"/>
      <c r="B36" s="138"/>
      <c r="C36" s="138"/>
      <c r="D36" s="138"/>
      <c r="E36" s="138"/>
      <c r="F36" s="138"/>
      <c r="G36" s="138"/>
      <c r="H36" s="138"/>
      <c r="I36" s="138"/>
      <c r="J36" s="25"/>
      <c r="K36" s="29"/>
      <c r="L36" s="22"/>
      <c r="P36" s="419">
        <v>33</v>
      </c>
      <c r="Q36" s="420">
        <v>9.17</v>
      </c>
      <c r="R36" s="420">
        <v>2.4300000000000002</v>
      </c>
      <c r="S36" s="420">
        <v>59.63</v>
      </c>
      <c r="T36" s="420">
        <v>24.29</v>
      </c>
      <c r="U36" s="420">
        <v>6.44</v>
      </c>
      <c r="V36" s="420">
        <v>12</v>
      </c>
      <c r="W36" s="420">
        <v>1.82</v>
      </c>
      <c r="X36" s="420">
        <v>30.23</v>
      </c>
      <c r="Y36" s="420">
        <v>5.27</v>
      </c>
    </row>
    <row r="37" spans="1:25" ht="11.25" customHeight="1">
      <c r="A37" s="136"/>
      <c r="B37" s="138"/>
      <c r="C37" s="138"/>
      <c r="D37" s="138"/>
      <c r="E37" s="138"/>
      <c r="F37" s="138"/>
      <c r="G37" s="138"/>
      <c r="H37" s="138"/>
      <c r="I37" s="138"/>
      <c r="J37" s="25"/>
      <c r="K37" s="29"/>
      <c r="L37" s="22"/>
      <c r="P37" s="419">
        <v>34</v>
      </c>
      <c r="Q37" s="420">
        <v>7.78</v>
      </c>
      <c r="R37" s="420">
        <v>2.61</v>
      </c>
      <c r="S37" s="420">
        <v>60.62</v>
      </c>
      <c r="T37" s="420">
        <v>25.9</v>
      </c>
      <c r="U37" s="420">
        <v>6.62</v>
      </c>
      <c r="V37" s="420">
        <v>12</v>
      </c>
      <c r="W37" s="420">
        <v>1.89</v>
      </c>
      <c r="X37" s="420">
        <v>32.17</v>
      </c>
      <c r="Y37" s="420">
        <v>5.0599999999999996</v>
      </c>
    </row>
    <row r="38" spans="1:25" ht="11.25" customHeight="1">
      <c r="A38" s="136"/>
      <c r="B38" s="138"/>
      <c r="C38" s="138"/>
      <c r="D38" s="138"/>
      <c r="E38" s="138"/>
      <c r="F38" s="138"/>
      <c r="G38" s="138"/>
      <c r="H38" s="138"/>
      <c r="I38" s="138"/>
      <c r="J38" s="25"/>
      <c r="K38" s="29"/>
      <c r="L38" s="22"/>
      <c r="P38" s="419">
        <v>35</v>
      </c>
      <c r="Q38" s="420">
        <v>7.73</v>
      </c>
      <c r="R38" s="420">
        <v>3.07</v>
      </c>
      <c r="S38" s="420">
        <v>58.47</v>
      </c>
      <c r="T38" s="420">
        <v>26.33</v>
      </c>
      <c r="U38" s="420">
        <v>6.66</v>
      </c>
      <c r="V38" s="420">
        <v>12.14</v>
      </c>
      <c r="W38" s="420">
        <v>1.97</v>
      </c>
      <c r="X38" s="420">
        <v>31.63</v>
      </c>
      <c r="Y38" s="420">
        <v>4.84</v>
      </c>
    </row>
    <row r="39" spans="1:25" ht="11.25" customHeight="1">
      <c r="P39" s="419">
        <v>36</v>
      </c>
      <c r="Q39" s="420">
        <v>7.1</v>
      </c>
      <c r="R39" s="420">
        <v>3.57</v>
      </c>
      <c r="S39" s="420">
        <v>61.13</v>
      </c>
      <c r="T39" s="420">
        <v>27.35</v>
      </c>
      <c r="U39" s="420">
        <v>6.84</v>
      </c>
      <c r="V39" s="420">
        <v>13</v>
      </c>
      <c r="W39" s="420">
        <v>1.76</v>
      </c>
      <c r="X39" s="420">
        <v>34.090000000000003</v>
      </c>
      <c r="Y39" s="420">
        <v>4.8899999999999997</v>
      </c>
    </row>
    <row r="40" spans="1:25" ht="11.25" customHeight="1">
      <c r="A40" s="960" t="s">
        <v>470</v>
      </c>
      <c r="B40" s="960"/>
      <c r="C40" s="960"/>
      <c r="D40" s="960"/>
      <c r="E40" s="960"/>
      <c r="F40" s="960"/>
      <c r="G40" s="960"/>
      <c r="H40" s="960"/>
      <c r="I40" s="960"/>
      <c r="J40" s="960"/>
      <c r="K40" s="960"/>
      <c r="L40" s="960"/>
      <c r="P40" s="419">
        <v>37</v>
      </c>
      <c r="Q40" s="420">
        <v>7.53</v>
      </c>
      <c r="R40" s="420">
        <v>5.04</v>
      </c>
      <c r="S40" s="420">
        <v>59.93</v>
      </c>
      <c r="T40" s="420">
        <v>34.56</v>
      </c>
      <c r="U40" s="420">
        <v>7.96</v>
      </c>
      <c r="V40" s="420">
        <v>13</v>
      </c>
      <c r="W40" s="420">
        <v>1.7</v>
      </c>
      <c r="X40" s="420">
        <v>38.06</v>
      </c>
      <c r="Y40" s="420">
        <v>8.4</v>
      </c>
    </row>
    <row r="41" spans="1:25" ht="11.25" customHeight="1">
      <c r="P41" s="419">
        <v>38</v>
      </c>
      <c r="Q41" s="420">
        <v>9.73</v>
      </c>
      <c r="R41" s="420">
        <v>3.75</v>
      </c>
      <c r="S41" s="420">
        <v>64.319999999999993</v>
      </c>
      <c r="T41" s="420">
        <v>41.74</v>
      </c>
      <c r="U41" s="420">
        <v>9.43</v>
      </c>
      <c r="V41" s="420">
        <v>13</v>
      </c>
      <c r="W41" s="420">
        <v>1.77</v>
      </c>
      <c r="X41" s="420">
        <v>41.12</v>
      </c>
      <c r="Y41" s="420">
        <v>6.42</v>
      </c>
    </row>
    <row r="42" spans="1:25" ht="11.25" customHeight="1">
      <c r="A42" s="136"/>
      <c r="B42" s="138"/>
      <c r="C42" s="138"/>
      <c r="D42" s="138"/>
      <c r="E42" s="138"/>
      <c r="F42" s="138"/>
      <c r="G42" s="138"/>
      <c r="H42" s="138"/>
      <c r="I42" s="138"/>
      <c r="O42" s="418">
        <v>39</v>
      </c>
      <c r="P42" s="419">
        <v>39</v>
      </c>
      <c r="Q42" s="420">
        <v>7.21</v>
      </c>
      <c r="R42" s="420">
        <v>3.83</v>
      </c>
      <c r="S42" s="420">
        <v>66.83</v>
      </c>
      <c r="T42" s="420">
        <v>46.48</v>
      </c>
      <c r="U42" s="420">
        <v>7.93</v>
      </c>
      <c r="V42" s="420">
        <v>13</v>
      </c>
      <c r="W42" s="420">
        <v>1.99</v>
      </c>
      <c r="X42" s="420">
        <v>33.06</v>
      </c>
      <c r="Y42" s="420">
        <v>7.98</v>
      </c>
    </row>
    <row r="43" spans="1:25" ht="11.25" customHeight="1">
      <c r="A43" s="136"/>
      <c r="B43" s="138"/>
      <c r="C43" s="138"/>
      <c r="D43" s="138"/>
      <c r="E43" s="138"/>
      <c r="F43" s="138"/>
      <c r="G43" s="138"/>
      <c r="H43" s="138"/>
      <c r="I43" s="138"/>
      <c r="P43" s="419">
        <v>40</v>
      </c>
      <c r="Q43" s="420">
        <v>6.89</v>
      </c>
      <c r="R43" s="420">
        <v>3.2</v>
      </c>
      <c r="S43" s="420">
        <v>56.32</v>
      </c>
      <c r="T43" s="420">
        <v>28.11</v>
      </c>
      <c r="U43" s="420">
        <v>6.02</v>
      </c>
      <c r="V43" s="420">
        <v>13</v>
      </c>
      <c r="W43" s="420">
        <v>1.48</v>
      </c>
      <c r="X43" s="420">
        <v>35.54</v>
      </c>
      <c r="Y43" s="420">
        <v>5.32</v>
      </c>
    </row>
    <row r="44" spans="1:25" ht="11.25" customHeight="1">
      <c r="A44" s="136"/>
      <c r="B44" s="138"/>
      <c r="C44" s="138"/>
      <c r="D44" s="138"/>
      <c r="E44" s="138"/>
      <c r="F44" s="138"/>
      <c r="G44" s="138"/>
      <c r="H44" s="138"/>
      <c r="I44" s="138"/>
      <c r="P44" s="419">
        <v>41</v>
      </c>
      <c r="Q44" s="420">
        <v>7.51</v>
      </c>
      <c r="R44" s="420">
        <v>3.26</v>
      </c>
      <c r="S44" s="420">
        <v>57.18</v>
      </c>
      <c r="T44" s="420">
        <v>32.11</v>
      </c>
      <c r="U44" s="420">
        <v>6.5</v>
      </c>
      <c r="V44" s="420">
        <v>13</v>
      </c>
      <c r="W44" s="420">
        <v>1.53</v>
      </c>
      <c r="X44" s="420">
        <v>37.47</v>
      </c>
      <c r="Y44" s="420">
        <v>4.95</v>
      </c>
    </row>
    <row r="45" spans="1:25" ht="11.25" customHeight="1">
      <c r="A45" s="136"/>
      <c r="B45" s="138"/>
      <c r="C45" s="138"/>
      <c r="D45" s="138"/>
      <c r="E45" s="138"/>
      <c r="F45" s="138"/>
      <c r="G45" s="138"/>
      <c r="H45" s="138"/>
      <c r="I45" s="138"/>
      <c r="P45" s="419">
        <v>42</v>
      </c>
      <c r="Q45" s="420">
        <v>7.92</v>
      </c>
      <c r="R45" s="420">
        <v>3.59</v>
      </c>
      <c r="S45" s="420">
        <v>71.87</v>
      </c>
      <c r="T45" s="420">
        <v>64.69</v>
      </c>
      <c r="U45" s="420">
        <v>9.44</v>
      </c>
      <c r="V45" s="420">
        <v>13</v>
      </c>
      <c r="W45" s="420">
        <v>1.93</v>
      </c>
      <c r="X45" s="420">
        <v>52.42</v>
      </c>
      <c r="Y45" s="420">
        <v>7.39</v>
      </c>
    </row>
    <row r="46" spans="1:25" ht="11.25" customHeight="1">
      <c r="A46" s="136"/>
      <c r="B46" s="138"/>
      <c r="C46" s="138"/>
      <c r="D46" s="138"/>
      <c r="E46" s="138"/>
      <c r="F46" s="138"/>
      <c r="G46" s="138"/>
      <c r="H46" s="138"/>
      <c r="I46" s="138"/>
      <c r="P46" s="419">
        <v>43</v>
      </c>
      <c r="Q46" s="420">
        <v>9.16</v>
      </c>
      <c r="R46" s="420">
        <v>3.99</v>
      </c>
      <c r="S46" s="420">
        <v>73.22</v>
      </c>
      <c r="T46" s="420">
        <v>71.16</v>
      </c>
      <c r="U46" s="420">
        <v>8.8800000000000008</v>
      </c>
      <c r="V46" s="420">
        <v>13</v>
      </c>
      <c r="W46" s="420">
        <v>1.69</v>
      </c>
      <c r="X46" s="420">
        <v>43.93</v>
      </c>
      <c r="Y46" s="420">
        <v>6.18</v>
      </c>
    </row>
    <row r="47" spans="1:25" ht="11.25" customHeight="1">
      <c r="A47" s="136"/>
      <c r="B47" s="138"/>
      <c r="C47" s="138"/>
      <c r="D47" s="138"/>
      <c r="E47" s="138"/>
      <c r="F47" s="138"/>
      <c r="G47" s="138"/>
      <c r="H47" s="138"/>
      <c r="I47" s="138"/>
      <c r="P47" s="419">
        <v>44</v>
      </c>
      <c r="Q47" s="420">
        <v>8.81</v>
      </c>
      <c r="R47" s="420">
        <v>5.0199999999999996</v>
      </c>
      <c r="S47" s="420">
        <v>75.150000000000006</v>
      </c>
      <c r="T47" s="420">
        <v>62.33</v>
      </c>
      <c r="U47" s="420">
        <v>10.59</v>
      </c>
      <c r="V47" s="420">
        <v>13</v>
      </c>
      <c r="W47" s="420">
        <v>1.65</v>
      </c>
      <c r="X47" s="420">
        <v>40.229999999999997</v>
      </c>
      <c r="Y47" s="420">
        <v>8.7899999999999991</v>
      </c>
    </row>
    <row r="48" spans="1:25">
      <c r="A48" s="136"/>
      <c r="B48" s="138"/>
      <c r="C48" s="138"/>
      <c r="D48" s="138"/>
      <c r="E48" s="138"/>
      <c r="F48" s="138"/>
      <c r="G48" s="138"/>
      <c r="H48" s="138"/>
      <c r="I48" s="138"/>
      <c r="P48" s="419">
        <v>45</v>
      </c>
      <c r="Q48" s="420">
        <v>8.3800000000000008</v>
      </c>
      <c r="R48" s="420">
        <v>4.2</v>
      </c>
      <c r="S48" s="420">
        <v>67.39</v>
      </c>
      <c r="T48" s="420">
        <v>61.76</v>
      </c>
      <c r="U48" s="420">
        <v>10.039999999999999</v>
      </c>
      <c r="V48" s="420">
        <v>13</v>
      </c>
      <c r="W48" s="420">
        <v>1.51</v>
      </c>
      <c r="X48" s="420">
        <v>41.85</v>
      </c>
      <c r="Y48" s="420">
        <v>11.45</v>
      </c>
    </row>
    <row r="49" spans="1:25">
      <c r="A49" s="136"/>
      <c r="B49" s="138"/>
      <c r="C49" s="138"/>
      <c r="D49" s="138"/>
      <c r="E49" s="138"/>
      <c r="F49" s="138"/>
      <c r="G49" s="138"/>
      <c r="H49" s="138"/>
      <c r="I49" s="138"/>
      <c r="P49" s="419">
        <v>46</v>
      </c>
      <c r="Q49" s="420">
        <v>7.55</v>
      </c>
      <c r="R49" s="420">
        <v>3.7</v>
      </c>
      <c r="S49" s="420">
        <v>66.959999999999994</v>
      </c>
      <c r="T49" s="420">
        <v>66.040000000000006</v>
      </c>
      <c r="U49" s="420">
        <v>8.7799999999999994</v>
      </c>
      <c r="V49" s="420">
        <v>13</v>
      </c>
      <c r="W49" s="420">
        <v>1.65</v>
      </c>
      <c r="X49" s="420">
        <v>70.849999999999994</v>
      </c>
      <c r="Y49" s="420">
        <v>14.58</v>
      </c>
    </row>
    <row r="50" spans="1:25">
      <c r="A50" s="136"/>
      <c r="B50" s="138"/>
      <c r="C50" s="138"/>
      <c r="D50" s="138"/>
      <c r="E50" s="138"/>
      <c r="F50" s="138"/>
      <c r="G50" s="138"/>
      <c r="H50" s="138"/>
      <c r="I50" s="138"/>
      <c r="P50" s="419">
        <v>47</v>
      </c>
      <c r="Q50" s="420">
        <v>7.39</v>
      </c>
      <c r="R50" s="420">
        <v>3.85</v>
      </c>
      <c r="S50" s="420">
        <v>67.72</v>
      </c>
      <c r="T50" s="420">
        <v>52.82</v>
      </c>
      <c r="U50" s="420">
        <v>7.81</v>
      </c>
      <c r="V50" s="420">
        <v>13</v>
      </c>
      <c r="W50" s="420">
        <v>1.6</v>
      </c>
      <c r="X50" s="420">
        <v>64.819999999999993</v>
      </c>
      <c r="Y50" s="420">
        <v>12.14</v>
      </c>
    </row>
    <row r="51" spans="1:25">
      <c r="A51" s="136"/>
      <c r="B51" s="138"/>
      <c r="C51" s="138"/>
      <c r="D51" s="138"/>
      <c r="E51" s="138"/>
      <c r="F51" s="138"/>
      <c r="G51" s="138"/>
      <c r="H51" s="138"/>
      <c r="I51" s="138"/>
      <c r="O51" s="418">
        <v>48</v>
      </c>
      <c r="P51" s="419">
        <v>48</v>
      </c>
      <c r="Q51" s="420">
        <v>7.9678571564285718</v>
      </c>
      <c r="R51" s="420">
        <v>3.558142900428571</v>
      </c>
      <c r="S51" s="420">
        <v>77.366571698571434</v>
      </c>
      <c r="T51" s="420">
        <v>66.577285762857144</v>
      </c>
      <c r="U51" s="420">
        <v>9.1851428580000007</v>
      </c>
      <c r="V51" s="420">
        <v>13.005714417142858</v>
      </c>
      <c r="W51" s="420">
        <v>1.6</v>
      </c>
      <c r="X51" s="420">
        <v>47.846427917142854</v>
      </c>
      <c r="Y51" s="420">
        <v>12.516714369142859</v>
      </c>
    </row>
    <row r="52" spans="1:25">
      <c r="A52" s="136"/>
      <c r="B52" s="138"/>
      <c r="C52" s="138"/>
      <c r="D52" s="138"/>
      <c r="E52" s="138"/>
      <c r="F52" s="138"/>
      <c r="G52" s="138"/>
      <c r="H52" s="138"/>
      <c r="I52" s="138"/>
      <c r="P52" s="419">
        <v>49</v>
      </c>
      <c r="Q52" s="420">
        <v>8.4875713758571436</v>
      </c>
      <c r="R52" s="420">
        <v>3.2600000074285718</v>
      </c>
      <c r="S52" s="420">
        <v>84.55585806714285</v>
      </c>
      <c r="T52" s="420">
        <v>72.732000077142857</v>
      </c>
      <c r="U52" s="420">
        <v>14.04828548342857</v>
      </c>
      <c r="V52" s="420">
        <v>13.002857208571429</v>
      </c>
      <c r="W52" s="420">
        <v>1.6</v>
      </c>
      <c r="X52" s="420">
        <v>57.322143555714298</v>
      </c>
      <c r="Y52" s="420">
        <v>18.826999800000003</v>
      </c>
    </row>
    <row r="53" spans="1:25">
      <c r="A53" s="136"/>
      <c r="B53" s="138"/>
      <c r="C53" s="138"/>
      <c r="D53" s="138"/>
      <c r="E53" s="138"/>
      <c r="F53" s="138"/>
      <c r="G53" s="138"/>
      <c r="H53" s="138"/>
      <c r="I53" s="138"/>
      <c r="P53" s="419">
        <v>50</v>
      </c>
      <c r="Q53" s="420">
        <v>8.7257142747142868</v>
      </c>
      <c r="R53" s="420">
        <v>3.4628571441428577</v>
      </c>
      <c r="S53" s="420">
        <v>77.460142951428566</v>
      </c>
      <c r="T53" s="420">
        <v>64.097142899999994</v>
      </c>
      <c r="U53" s="420">
        <v>11.032857077571427</v>
      </c>
      <c r="V53" s="420">
        <v>13</v>
      </c>
      <c r="W53" s="420">
        <v>1.6000000240000001</v>
      </c>
      <c r="X53" s="420">
        <v>51.470714571428573</v>
      </c>
      <c r="Y53" s="420">
        <v>20.280285972857143</v>
      </c>
    </row>
    <row r="54" spans="1:25">
      <c r="A54" s="136"/>
      <c r="B54" s="138"/>
      <c r="C54" s="138"/>
      <c r="D54" s="138"/>
      <c r="E54" s="138"/>
      <c r="F54" s="138"/>
      <c r="G54" s="138"/>
      <c r="H54" s="138"/>
      <c r="I54" s="138"/>
      <c r="P54" s="419">
        <v>51</v>
      </c>
      <c r="Q54" s="420">
        <v>9.7215715127142861</v>
      </c>
      <c r="R54" s="420">
        <v>4.2539999484285715</v>
      </c>
      <c r="S54" s="420">
        <v>78.166143688571424</v>
      </c>
      <c r="T54" s="420">
        <v>94.237856191428577</v>
      </c>
      <c r="U54" s="420">
        <v>14.381428445285712</v>
      </c>
      <c r="V54" s="420">
        <v>13.01285743857143</v>
      </c>
      <c r="W54" s="420">
        <v>1.6257142851428572</v>
      </c>
      <c r="X54" s="420">
        <v>65.58357184285714</v>
      </c>
      <c r="Y54" s="420">
        <v>34.849000112857141</v>
      </c>
    </row>
    <row r="55" spans="1:25">
      <c r="A55" s="136"/>
      <c r="B55" s="138"/>
      <c r="C55" s="138"/>
      <c r="D55" s="138"/>
      <c r="E55" s="138"/>
      <c r="F55" s="138"/>
      <c r="G55" s="138"/>
      <c r="H55" s="138"/>
      <c r="I55" s="138"/>
      <c r="O55" s="418">
        <v>52</v>
      </c>
      <c r="P55" s="419">
        <v>52</v>
      </c>
      <c r="Q55" s="420">
        <v>10.323285784571427</v>
      </c>
      <c r="R55" s="420">
        <v>4.6457142829999993</v>
      </c>
      <c r="S55" s="420">
        <v>86.972714017142849</v>
      </c>
      <c r="T55" s="420">
        <v>94.357285634285716</v>
      </c>
      <c r="U55" s="420">
        <v>13.293999945714287</v>
      </c>
      <c r="V55" s="420">
        <v>13.09681579142857</v>
      </c>
      <c r="W55" s="420">
        <v>1.644999981</v>
      </c>
      <c r="X55" s="420">
        <v>104.27285767571428</v>
      </c>
      <c r="Y55" s="420">
        <v>35.335714887142856</v>
      </c>
    </row>
    <row r="56" spans="1:25">
      <c r="A56" s="136"/>
      <c r="B56" s="138"/>
      <c r="C56" s="138"/>
      <c r="D56" s="138"/>
      <c r="E56" s="138"/>
      <c r="F56" s="138"/>
      <c r="G56" s="138"/>
      <c r="H56" s="138"/>
      <c r="I56" s="138"/>
      <c r="N56" s="418">
        <v>2018</v>
      </c>
      <c r="O56" s="418">
        <v>1</v>
      </c>
      <c r="P56" s="419">
        <v>1</v>
      </c>
      <c r="Q56" s="420">
        <v>10.34</v>
      </c>
      <c r="R56" s="420">
        <v>4.4628571428571426</v>
      </c>
      <c r="S56" s="420">
        <v>140.04142857142858</v>
      </c>
      <c r="T56" s="420">
        <v>143.09</v>
      </c>
      <c r="U56" s="420">
        <v>20.63</v>
      </c>
      <c r="V56" s="420">
        <v>13</v>
      </c>
      <c r="W56" s="420">
        <v>1.64</v>
      </c>
      <c r="X56" s="420">
        <v>201.2428571428571</v>
      </c>
      <c r="Y56" s="420">
        <v>63.23</v>
      </c>
    </row>
    <row r="57" spans="1:25">
      <c r="A57" s="136"/>
      <c r="B57" s="138"/>
      <c r="C57" s="138"/>
      <c r="D57" s="138"/>
      <c r="E57" s="138"/>
      <c r="F57" s="138"/>
      <c r="G57" s="138"/>
      <c r="H57" s="138"/>
      <c r="I57" s="138"/>
      <c r="P57" s="419">
        <v>2</v>
      </c>
      <c r="Q57" s="420">
        <v>13.730999947142859</v>
      </c>
      <c r="R57" s="420">
        <v>3.5944285392857145</v>
      </c>
      <c r="S57" s="420">
        <v>209.91800362857143</v>
      </c>
      <c r="T57" s="420">
        <v>160.98214394285716</v>
      </c>
      <c r="U57" s="420">
        <v>36.213856559999996</v>
      </c>
      <c r="V57" s="420">
        <v>11.774285724285715</v>
      </c>
      <c r="W57" s="420">
        <v>1.5914286031428568</v>
      </c>
      <c r="X57" s="420">
        <v>229.4250030571429</v>
      </c>
      <c r="Y57" s="420">
        <v>56.654285431428562</v>
      </c>
    </row>
    <row r="58" spans="1:25">
      <c r="A58" s="136"/>
      <c r="B58" s="138"/>
      <c r="C58" s="138"/>
      <c r="D58" s="138"/>
      <c r="E58" s="138"/>
      <c r="F58" s="138"/>
      <c r="G58" s="138"/>
      <c r="H58" s="138"/>
      <c r="I58" s="138"/>
      <c r="P58" s="419">
        <v>3</v>
      </c>
      <c r="Q58" s="420">
        <v>15.983285902857142</v>
      </c>
      <c r="R58" s="420">
        <v>8.3045714242857152</v>
      </c>
      <c r="S58" s="420">
        <v>223.6645725857143</v>
      </c>
      <c r="T58" s="420">
        <v>190.44042751428574</v>
      </c>
      <c r="U58" s="420">
        <v>30.819142750000001</v>
      </c>
      <c r="V58" s="420">
        <v>11.857142857142858</v>
      </c>
      <c r="W58" s="420">
        <v>1.5814286125714285</v>
      </c>
      <c r="X58" s="420">
        <v>261.56357028571426</v>
      </c>
      <c r="Y58" s="420">
        <v>68.516428267142857</v>
      </c>
    </row>
    <row r="59" spans="1:25">
      <c r="A59" s="136"/>
      <c r="B59" s="138"/>
      <c r="C59" s="138"/>
      <c r="D59" s="138"/>
      <c r="E59" s="138"/>
      <c r="F59" s="138"/>
      <c r="G59" s="138"/>
      <c r="H59" s="138"/>
      <c r="I59" s="138"/>
      <c r="P59" s="419">
        <v>4</v>
      </c>
      <c r="Q59" s="420">
        <v>21.988571574285714</v>
      </c>
      <c r="R59" s="420">
        <v>15.598142828000002</v>
      </c>
      <c r="S59" s="420">
        <v>346.88342720000003</v>
      </c>
      <c r="T59" s="420">
        <v>205.5832868285714</v>
      </c>
      <c r="U59" s="420">
        <v>40.893000467142862</v>
      </c>
      <c r="V59" s="420">
        <v>18.734285627142857</v>
      </c>
      <c r="W59" s="420">
        <v>1.5700000519999997</v>
      </c>
      <c r="X59" s="420">
        <v>261.98000009999998</v>
      </c>
      <c r="Y59" s="420">
        <v>58.935427530000005</v>
      </c>
    </row>
    <row r="60" spans="1:25">
      <c r="A60" s="136"/>
      <c r="B60" s="138"/>
      <c r="C60" s="138"/>
      <c r="D60" s="138"/>
      <c r="E60" s="138"/>
      <c r="F60" s="138"/>
      <c r="G60" s="138"/>
      <c r="H60" s="138"/>
      <c r="I60" s="138"/>
      <c r="P60" s="419">
        <v>5</v>
      </c>
      <c r="Q60" s="420">
        <v>17.729000225714284</v>
      </c>
      <c r="R60" s="420">
        <v>13.724571365714285</v>
      </c>
      <c r="S60" s="420">
        <v>214.95928737142859</v>
      </c>
      <c r="T60" s="420">
        <v>93.607142857142861</v>
      </c>
      <c r="U60" s="420">
        <v>17.748285841428572</v>
      </c>
      <c r="V60" s="420">
        <v>23.390000208571426</v>
      </c>
      <c r="W60" s="420">
        <v>1.5700000519999997</v>
      </c>
      <c r="X60" s="420">
        <v>141.83571514285714</v>
      </c>
      <c r="Y60" s="420">
        <v>45.332857951428579</v>
      </c>
    </row>
    <row r="61" spans="1:25">
      <c r="A61" s="136"/>
      <c r="B61" s="138"/>
      <c r="C61" s="138"/>
      <c r="D61" s="138"/>
      <c r="E61" s="138"/>
      <c r="F61" s="138"/>
      <c r="G61" s="138"/>
      <c r="H61" s="138"/>
      <c r="I61" s="138"/>
      <c r="P61" s="419">
        <v>6</v>
      </c>
      <c r="Q61" s="420">
        <v>13.582571572857143</v>
      </c>
      <c r="R61" s="420">
        <v>8.6634286477142854</v>
      </c>
      <c r="S61" s="420">
        <v>166.34242902857142</v>
      </c>
      <c r="T61" s="420">
        <v>108.25571334000001</v>
      </c>
      <c r="U61" s="420">
        <v>18.79157175142857</v>
      </c>
      <c r="V61" s="420">
        <v>20.201017107142857</v>
      </c>
      <c r="W61" s="420">
        <v>2.3694285491428571</v>
      </c>
      <c r="X61" s="420">
        <v>164.55714089999998</v>
      </c>
      <c r="Y61" s="420">
        <v>65.987571171428584</v>
      </c>
    </row>
    <row r="62" spans="1:25">
      <c r="A62" s="136"/>
      <c r="B62" s="138"/>
      <c r="C62" s="138"/>
      <c r="D62" s="138"/>
      <c r="E62" s="138"/>
      <c r="F62" s="138"/>
      <c r="G62" s="138"/>
      <c r="H62" s="138"/>
      <c r="I62" s="138"/>
      <c r="P62" s="419">
        <v>7</v>
      </c>
      <c r="Q62" s="420">
        <v>14.722571237142859</v>
      </c>
      <c r="R62" s="420">
        <v>11.071428435428571</v>
      </c>
      <c r="S62" s="420">
        <v>239.50057330000001</v>
      </c>
      <c r="T62" s="420">
        <v>202.98199900000003</v>
      </c>
      <c r="U62" s="420">
        <v>42.088571821428573</v>
      </c>
      <c r="V62" s="420">
        <v>15.283185821428571</v>
      </c>
      <c r="W62" s="420">
        <v>3.1689999100000001</v>
      </c>
      <c r="X62" s="420">
        <v>355.31285748571423</v>
      </c>
      <c r="Y62" s="420">
        <v>97.722999031428586</v>
      </c>
    </row>
    <row r="63" spans="1:25">
      <c r="A63" s="136"/>
      <c r="B63" s="138"/>
      <c r="C63" s="138"/>
      <c r="D63" s="138"/>
      <c r="E63" s="138"/>
      <c r="F63" s="138"/>
      <c r="G63" s="138"/>
      <c r="H63" s="138"/>
      <c r="I63" s="138"/>
      <c r="O63" s="418">
        <v>8</v>
      </c>
      <c r="P63" s="419">
        <v>8</v>
      </c>
      <c r="Q63" s="420">
        <v>18.48</v>
      </c>
      <c r="R63" s="420">
        <v>14.97</v>
      </c>
      <c r="S63" s="420">
        <v>357.61814662857148</v>
      </c>
      <c r="T63" s="420">
        <v>251.1</v>
      </c>
      <c r="U63" s="420">
        <v>43.74</v>
      </c>
      <c r="V63" s="420">
        <v>16.564</v>
      </c>
      <c r="W63" s="420">
        <v>3.16</v>
      </c>
      <c r="X63" s="420">
        <v>437.78</v>
      </c>
      <c r="Y63" s="420">
        <v>142.13</v>
      </c>
    </row>
    <row r="64" spans="1:25" ht="6" customHeight="1">
      <c r="A64" s="136"/>
      <c r="B64" s="138"/>
      <c r="C64" s="138"/>
      <c r="D64" s="138"/>
      <c r="E64" s="138"/>
      <c r="F64" s="138"/>
      <c r="G64" s="138"/>
      <c r="H64" s="138"/>
      <c r="I64" s="138"/>
      <c r="P64" s="419">
        <v>9</v>
      </c>
      <c r="Q64" s="420">
        <v>21.652428627142854</v>
      </c>
      <c r="R64" s="420">
        <v>14.185285431142857</v>
      </c>
      <c r="S64" s="420">
        <v>333.90885488571433</v>
      </c>
      <c r="T64" s="420">
        <v>204.95843285714287</v>
      </c>
      <c r="U64" s="420">
        <v>31.755000522857138</v>
      </c>
      <c r="V64" s="420">
        <v>15.852976190476195</v>
      </c>
      <c r="W64" s="420">
        <v>3.1689999100000001</v>
      </c>
      <c r="X64" s="420">
        <v>424.14571271428576</v>
      </c>
      <c r="Y64" s="420">
        <v>142.13857270714286</v>
      </c>
    </row>
    <row r="65" spans="1:25" ht="24.75" customHeight="1">
      <c r="A65" s="933" t="s">
        <v>471</v>
      </c>
      <c r="B65" s="933"/>
      <c r="C65" s="933"/>
      <c r="D65" s="933"/>
      <c r="E65" s="933"/>
      <c r="F65" s="933"/>
      <c r="G65" s="933"/>
      <c r="H65" s="933"/>
      <c r="I65" s="933"/>
      <c r="J65" s="933"/>
      <c r="K65" s="933"/>
      <c r="L65" s="933"/>
      <c r="P65" s="419">
        <v>10</v>
      </c>
      <c r="Q65" s="420">
        <v>30.272714344285713</v>
      </c>
      <c r="R65" s="420">
        <v>17.434571538571429</v>
      </c>
      <c r="S65" s="420">
        <v>431.64157101428572</v>
      </c>
      <c r="T65" s="420">
        <v>177.15485925714287</v>
      </c>
      <c r="U65" s="420">
        <v>31.196571622857142</v>
      </c>
      <c r="V65" s="420">
        <v>14.442</v>
      </c>
      <c r="W65" s="420">
        <v>4.7437142644285712</v>
      </c>
      <c r="X65" s="420">
        <v>293.69142804285718</v>
      </c>
      <c r="Y65" s="420">
        <v>72.30971418</v>
      </c>
    </row>
    <row r="66" spans="1:25" ht="20.25" customHeight="1">
      <c r="P66" s="419">
        <v>11</v>
      </c>
      <c r="Q66" s="420">
        <v>28.071857179999999</v>
      </c>
      <c r="R66" s="420">
        <v>17.048571724285715</v>
      </c>
      <c r="S66" s="420">
        <v>485.98543439999997</v>
      </c>
      <c r="T66" s="420">
        <v>169.375</v>
      </c>
      <c r="U66" s="420">
        <v>52.626284462857136</v>
      </c>
      <c r="V66" s="420">
        <v>18.273</v>
      </c>
      <c r="W66" s="420">
        <v>3.0879999738571429</v>
      </c>
      <c r="X66" s="420">
        <v>511.54500034285724</v>
      </c>
      <c r="Y66" s="420">
        <v>119.7894287057143</v>
      </c>
    </row>
    <row r="67" spans="1:25">
      <c r="P67" s="419">
        <v>12</v>
      </c>
      <c r="Q67" s="420">
        <v>29.90999984714286</v>
      </c>
      <c r="R67" s="420">
        <v>21.62</v>
      </c>
      <c r="S67" s="420">
        <v>465.24414497142863</v>
      </c>
      <c r="T67" s="420">
        <v>201.58328465714288</v>
      </c>
      <c r="U67" s="420">
        <v>57.669144221428567</v>
      </c>
      <c r="V67" s="420">
        <v>23.244</v>
      </c>
      <c r="W67" s="420">
        <v>4.5095714328571432</v>
      </c>
      <c r="X67" s="420">
        <v>433.89143152857145</v>
      </c>
      <c r="Y67" s="420">
        <v>152.80443028571429</v>
      </c>
    </row>
    <row r="68" spans="1:25">
      <c r="P68" s="419">
        <v>13</v>
      </c>
      <c r="Q68" s="420">
        <v>28.360142844285718</v>
      </c>
      <c r="R68" s="420">
        <v>17.439428465714283</v>
      </c>
      <c r="S68" s="420">
        <v>396.37686155714289</v>
      </c>
      <c r="T68" s="420">
        <v>163.75585502857143</v>
      </c>
      <c r="U68" s="420">
        <v>35.725570951428573</v>
      </c>
      <c r="V68" s="420">
        <v>23.143392837142859</v>
      </c>
      <c r="W68" s="420">
        <v>3.3929999999999998</v>
      </c>
      <c r="X68" s="420">
        <v>281.79928587142859</v>
      </c>
      <c r="Y68" s="420">
        <v>107.32928468714286</v>
      </c>
    </row>
    <row r="69" spans="1:25">
      <c r="P69" s="419">
        <v>14</v>
      </c>
      <c r="Q69" s="420">
        <v>23.830285752857144</v>
      </c>
      <c r="R69" s="420">
        <v>12.833285604571429</v>
      </c>
      <c r="S69" s="420">
        <v>226.32643345714288</v>
      </c>
      <c r="T69" s="420">
        <v>133.53585814285714</v>
      </c>
      <c r="U69" s="420">
        <v>28.622000282857147</v>
      </c>
      <c r="V69" s="420">
        <v>19.16</v>
      </c>
      <c r="W69" s="420">
        <v>1.736</v>
      </c>
      <c r="X69" s="420">
        <v>176.23214502857144</v>
      </c>
      <c r="Y69" s="420">
        <v>80.936570849999995</v>
      </c>
    </row>
    <row r="70" spans="1:25">
      <c r="P70" s="419">
        <v>15</v>
      </c>
      <c r="Q70" s="420">
        <v>27</v>
      </c>
      <c r="R70" s="420">
        <v>15.571285655714286</v>
      </c>
      <c r="S70" s="420">
        <v>207.40800040000002</v>
      </c>
      <c r="T70" s="420">
        <v>107.59514291428572</v>
      </c>
      <c r="U70" s="420">
        <v>30.753999982857145</v>
      </c>
      <c r="V70" s="420">
        <v>14.377143042857142</v>
      </c>
      <c r="W70" s="420">
        <v>1.8612856864285716</v>
      </c>
      <c r="X70" s="420">
        <v>130.09</v>
      </c>
      <c r="Y70" s="420">
        <v>42.693143572857146</v>
      </c>
    </row>
    <row r="71" spans="1:25">
      <c r="O71" s="418">
        <v>16</v>
      </c>
      <c r="P71" s="419">
        <v>16</v>
      </c>
      <c r="Q71" s="420">
        <v>19.899999999999999</v>
      </c>
      <c r="R71" s="420">
        <v>12.83</v>
      </c>
      <c r="S71" s="420">
        <v>166.38871437142856</v>
      </c>
      <c r="T71" s="420">
        <v>95.78</v>
      </c>
      <c r="U71" s="420">
        <v>29.88</v>
      </c>
      <c r="V71" s="420">
        <v>12.36</v>
      </c>
      <c r="W71" s="420">
        <v>1.9</v>
      </c>
      <c r="X71" s="420">
        <v>96.9</v>
      </c>
      <c r="Y71" s="420">
        <v>33.717142651428574</v>
      </c>
    </row>
    <row r="72" spans="1:25">
      <c r="P72" s="419">
        <v>17</v>
      </c>
      <c r="Q72" s="420">
        <v>19.14</v>
      </c>
      <c r="R72" s="420">
        <v>13.52</v>
      </c>
      <c r="S72" s="420">
        <v>168.19342804285716</v>
      </c>
      <c r="T72" s="420">
        <v>95.39</v>
      </c>
      <c r="U72" s="420">
        <v>22.257285525714284</v>
      </c>
      <c r="V72" s="420">
        <v>13.4</v>
      </c>
      <c r="W72" s="420">
        <v>1.7940000124285713</v>
      </c>
      <c r="X72" s="420">
        <v>89.59</v>
      </c>
      <c r="Y72" s="420">
        <v>27.06</v>
      </c>
    </row>
    <row r="73" spans="1:25">
      <c r="P73" s="419">
        <v>18</v>
      </c>
      <c r="Q73" s="420">
        <v>19.703571455714286</v>
      </c>
      <c r="R73" s="420">
        <v>14.166857039571427</v>
      </c>
      <c r="S73" s="420">
        <v>171.5428597714286</v>
      </c>
      <c r="T73" s="420">
        <v>85.958285739999994</v>
      </c>
      <c r="U73" s="420">
        <v>21.651714052857141</v>
      </c>
      <c r="V73" s="420">
        <v>12.785805702857145</v>
      </c>
      <c r="W73" s="420">
        <v>2.3024285860000004</v>
      </c>
      <c r="X73" s="420">
        <v>89.602142331428567</v>
      </c>
      <c r="Y73" s="420">
        <v>22.269714081428571</v>
      </c>
    </row>
    <row r="74" spans="1:25">
      <c r="P74" s="419">
        <v>19</v>
      </c>
      <c r="Q74" s="420">
        <v>15.48828561</v>
      </c>
      <c r="R74" s="420">
        <v>12.650857108142857</v>
      </c>
      <c r="S74" s="420">
        <v>146.54485865714287</v>
      </c>
      <c r="T74" s="420">
        <v>88.244000028571435</v>
      </c>
      <c r="U74" s="420">
        <v>19.037142890000002</v>
      </c>
      <c r="V74" s="420">
        <v>11.328391347142857</v>
      </c>
      <c r="W74" s="420">
        <v>1.8057142665714285</v>
      </c>
      <c r="X74" s="420">
        <v>75.568572998571426</v>
      </c>
      <c r="Y74" s="420">
        <v>17.565999711428571</v>
      </c>
    </row>
    <row r="75" spans="1:25">
      <c r="P75" s="419">
        <v>20</v>
      </c>
      <c r="Q75" s="420">
        <v>14.601142882857145</v>
      </c>
      <c r="R75" s="420">
        <v>10.013285772</v>
      </c>
      <c r="S75" s="420">
        <v>112.76242937142857</v>
      </c>
      <c r="T75" s="420">
        <v>64.809571402857145</v>
      </c>
      <c r="U75" s="420">
        <v>16.531571660000001</v>
      </c>
      <c r="V75" s="420">
        <v>10.899261474285714</v>
      </c>
      <c r="W75" s="420">
        <v>1.7767143248571429</v>
      </c>
      <c r="X75" s="420">
        <v>62.208570752857149</v>
      </c>
      <c r="Y75" s="420">
        <v>14.502285821428572</v>
      </c>
    </row>
    <row r="76" spans="1:25">
      <c r="P76" s="419">
        <v>21</v>
      </c>
      <c r="Q76" s="420">
        <v>13.411285537142858</v>
      </c>
      <c r="R76" s="420">
        <v>7.8631429672857154</v>
      </c>
      <c r="S76" s="420">
        <v>94.636570517142857</v>
      </c>
      <c r="T76" s="420">
        <v>49.303714208571428</v>
      </c>
      <c r="U76" s="420">
        <v>13.450571468571427</v>
      </c>
      <c r="V76" s="420">
        <v>11.166911400000002</v>
      </c>
      <c r="W76" s="420">
        <v>1.8437143055714282</v>
      </c>
      <c r="X76" s="420">
        <v>54.38714218285714</v>
      </c>
      <c r="Y76" s="420">
        <v>12.214999879999999</v>
      </c>
    </row>
    <row r="77" spans="1:25">
      <c r="P77" s="419">
        <v>22</v>
      </c>
      <c r="Q77" s="420">
        <v>12.490285737142855</v>
      </c>
      <c r="R77" s="420">
        <v>6.4215714250000007</v>
      </c>
      <c r="S77" s="420">
        <v>81.718714031428576</v>
      </c>
      <c r="T77" s="420">
        <v>42.928571428571431</v>
      </c>
      <c r="U77" s="420">
        <v>11.897571562857141</v>
      </c>
      <c r="V77" s="420">
        <v>10.57333578442857</v>
      </c>
      <c r="W77" s="420">
        <v>1.8770000252857142</v>
      </c>
      <c r="X77" s="420">
        <v>48.837857382857138</v>
      </c>
      <c r="Y77" s="420">
        <v>10.894571441428569</v>
      </c>
    </row>
    <row r="78" spans="1:25">
      <c r="P78" s="419">
        <v>23</v>
      </c>
      <c r="Q78" s="420">
        <v>12.278000014285713</v>
      </c>
      <c r="R78" s="420">
        <v>5.5577142921428564</v>
      </c>
      <c r="S78" s="420">
        <v>83.760285512857152</v>
      </c>
      <c r="T78" s="420">
        <v>67.797571451428567</v>
      </c>
      <c r="U78" s="420">
        <v>15.801714215714284</v>
      </c>
      <c r="V78" s="420">
        <v>11.341294289999999</v>
      </c>
      <c r="W78" s="420">
        <v>1.7928571701428571</v>
      </c>
      <c r="X78" s="420">
        <v>58.175000328571436</v>
      </c>
      <c r="Y78" s="420">
        <v>13.860571451428571</v>
      </c>
    </row>
    <row r="79" spans="1:25">
      <c r="O79" s="418">
        <v>24</v>
      </c>
      <c r="P79" s="419">
        <v>24</v>
      </c>
      <c r="Q79" s="420">
        <v>10.882714271142857</v>
      </c>
      <c r="R79" s="420">
        <v>5.3317142215714286</v>
      </c>
      <c r="S79" s="420">
        <v>82.799001421428557</v>
      </c>
      <c r="T79" s="420">
        <v>63.982142857142854</v>
      </c>
      <c r="U79" s="420">
        <v>15.595999989999999</v>
      </c>
      <c r="V79" s="420">
        <v>11.96411841142857</v>
      </c>
      <c r="W79" s="420">
        <v>2.0252857377142854</v>
      </c>
      <c r="X79" s="420">
        <v>61.988572801428582</v>
      </c>
      <c r="Y79" s="420">
        <v>13.392856871428572</v>
      </c>
    </row>
    <row r="80" spans="1:25">
      <c r="P80" s="419">
        <v>25</v>
      </c>
      <c r="Q80" s="420">
        <v>10.290999957142857</v>
      </c>
      <c r="R80" s="420">
        <v>3.7498572211428569</v>
      </c>
      <c r="S80" s="420">
        <v>74.093855721428568</v>
      </c>
      <c r="T80" s="420">
        <v>53.035571505714287</v>
      </c>
      <c r="U80" s="420">
        <v>14.135857038571428</v>
      </c>
      <c r="V80" s="420">
        <v>11.79</v>
      </c>
      <c r="W80" s="420">
        <v>2.0514285564285717</v>
      </c>
      <c r="X80" s="420">
        <v>51.970714024285719</v>
      </c>
      <c r="Y80" s="420">
        <v>10.749428476857142</v>
      </c>
    </row>
    <row r="81" spans="15:25">
      <c r="P81" s="419">
        <v>26</v>
      </c>
      <c r="Q81" s="420">
        <v>9.5591429302857147</v>
      </c>
      <c r="R81" s="420">
        <v>3.5651427677142853</v>
      </c>
      <c r="S81" s="420">
        <v>66.795142037142867</v>
      </c>
      <c r="T81" s="420">
        <v>40.369000025714286</v>
      </c>
      <c r="U81" s="420">
        <v>10.912428581428573</v>
      </c>
      <c r="V81" s="420">
        <v>10.93</v>
      </c>
      <c r="W81" s="420">
        <v>2.1038571597142854</v>
      </c>
      <c r="X81" s="420">
        <v>44.390714371428579</v>
      </c>
      <c r="Y81" s="420">
        <v>9.1145714351428584</v>
      </c>
    </row>
    <row r="82" spans="15:25">
      <c r="P82" s="419">
        <v>27</v>
      </c>
      <c r="Q82" s="420">
        <v>9.3137141635714293</v>
      </c>
      <c r="R82" s="420">
        <v>4.7600000245714282</v>
      </c>
      <c r="S82" s="420">
        <v>67.368571689999996</v>
      </c>
      <c r="T82" s="420">
        <v>33.409999999999997</v>
      </c>
      <c r="U82" s="420">
        <v>9.4035714009999989</v>
      </c>
      <c r="V82" s="420">
        <v>12.51</v>
      </c>
      <c r="W82" s="420">
        <v>2.0499999999999998</v>
      </c>
      <c r="X82" s="420">
        <v>39.173571994285716</v>
      </c>
      <c r="Y82" s="420">
        <v>7.6487142698571438</v>
      </c>
    </row>
    <row r="83" spans="15:25">
      <c r="P83" s="419">
        <v>28</v>
      </c>
      <c r="Q83" s="420">
        <v>8.7544284548571447</v>
      </c>
      <c r="R83" s="420">
        <v>2.5707143034285713</v>
      </c>
      <c r="S83" s="420">
        <v>65.073571887142847</v>
      </c>
      <c r="T83" s="420">
        <v>33.160714285714285</v>
      </c>
      <c r="U83" s="420">
        <v>9.4155716217142871</v>
      </c>
      <c r="V83" s="420">
        <v>12.3</v>
      </c>
      <c r="W83" s="420">
        <v>2.2505714212857142</v>
      </c>
      <c r="X83" s="420">
        <v>36.999285560000011</v>
      </c>
      <c r="Y83" s="420">
        <v>7.0544285774285713</v>
      </c>
    </row>
    <row r="84" spans="15:25">
      <c r="P84" s="419">
        <v>29</v>
      </c>
      <c r="Q84" s="420">
        <v>8.6149000000000004</v>
      </c>
      <c r="R84" s="420">
        <v>3.7006000000000001</v>
      </c>
      <c r="S84" s="420">
        <v>62.515714285714289</v>
      </c>
      <c r="T84" s="420">
        <v>35.738</v>
      </c>
      <c r="U84" s="420">
        <v>9.5503999999999998</v>
      </c>
      <c r="V84" s="420">
        <v>12.245714285714286</v>
      </c>
      <c r="W84" s="420">
        <v>1.9771428571428571</v>
      </c>
      <c r="X84" s="420">
        <v>38.677142857142861</v>
      </c>
      <c r="Y84" s="420">
        <v>6.3400000000000007</v>
      </c>
    </row>
    <row r="85" spans="15:25">
      <c r="P85" s="419">
        <v>30</v>
      </c>
      <c r="Q85" s="420">
        <v>8.1221428598571439</v>
      </c>
      <c r="R85" s="420">
        <v>4.9111429789999992</v>
      </c>
      <c r="S85" s="420">
        <v>57.148857115714286</v>
      </c>
      <c r="T85" s="420">
        <v>85.065429679999994</v>
      </c>
      <c r="U85" s="420">
        <v>15.534142631428571</v>
      </c>
      <c r="V85" s="420">
        <v>10.995952741142858</v>
      </c>
      <c r="W85" s="420">
        <v>2.2859999964285715</v>
      </c>
      <c r="X85" s="420">
        <v>56.166428702857139</v>
      </c>
      <c r="Y85" s="420">
        <v>9.4385714285714304</v>
      </c>
    </row>
    <row r="86" spans="15:25">
      <c r="P86" s="419">
        <v>31</v>
      </c>
      <c r="Q86" s="420">
        <v>7.5620000000000003</v>
      </c>
      <c r="R86" s="420">
        <v>3.28</v>
      </c>
      <c r="S86" s="420">
        <v>58.768000000000001</v>
      </c>
      <c r="T86" s="420">
        <v>40.375</v>
      </c>
      <c r="U86" s="420">
        <v>8.5579999999999998</v>
      </c>
      <c r="V86" s="420">
        <v>13.18</v>
      </c>
      <c r="W86" s="420">
        <v>2</v>
      </c>
      <c r="X86" s="420">
        <v>50.215000000000003</v>
      </c>
      <c r="Y86" s="420">
        <v>8.5770238095238049</v>
      </c>
    </row>
    <row r="87" spans="15:25">
      <c r="O87" s="418">
        <v>32</v>
      </c>
      <c r="P87" s="419">
        <v>32</v>
      </c>
      <c r="Q87" s="420">
        <v>8.4994284765714276</v>
      </c>
      <c r="R87" s="420">
        <v>4.8781427315714287</v>
      </c>
      <c r="S87" s="420">
        <v>54.703428540000004</v>
      </c>
      <c r="T87" s="420">
        <v>52.946428571428569</v>
      </c>
      <c r="U87" s="420">
        <v>10.739857128857144</v>
      </c>
      <c r="V87" s="420">
        <v>10.850328444285712</v>
      </c>
      <c r="W87" s="420">
        <v>2.0667142697142857</v>
      </c>
      <c r="X87" s="420">
        <v>50.460713522857141</v>
      </c>
      <c r="Y87" s="420">
        <v>9.7962856299999999</v>
      </c>
    </row>
    <row r="88" spans="15:25">
      <c r="P88" s="419">
        <v>33</v>
      </c>
      <c r="Q88" s="420">
        <v>7.8117142411428571</v>
      </c>
      <c r="R88" s="420">
        <v>4.5999999999999996</v>
      </c>
      <c r="S88" s="420">
        <v>59.066285269999995</v>
      </c>
      <c r="T88" s="420">
        <v>47.13</v>
      </c>
      <c r="U88" s="420">
        <v>9.23</v>
      </c>
      <c r="V88" s="420">
        <v>10.84</v>
      </c>
      <c r="W88" s="420">
        <v>2.0499999999999998</v>
      </c>
      <c r="X88" s="420">
        <v>44.64</v>
      </c>
      <c r="Y88" s="420">
        <v>8.7822855541428577</v>
      </c>
    </row>
    <row r="89" spans="15:25">
      <c r="P89" s="419">
        <v>34</v>
      </c>
      <c r="Q89" s="420">
        <v>6.44</v>
      </c>
      <c r="R89" s="420">
        <v>5.1568571165714285</v>
      </c>
      <c r="S89" s="420">
        <v>82.033571515714272</v>
      </c>
      <c r="T89" s="420">
        <v>63.892999920000001</v>
      </c>
      <c r="U89" s="420">
        <v>10.917285918714287</v>
      </c>
      <c r="V89" s="420">
        <v>10.534582955714285</v>
      </c>
      <c r="W89" s="420">
        <v>1.8788571358571429</v>
      </c>
      <c r="X89" s="420">
        <v>35.627857751428571</v>
      </c>
      <c r="Y89" s="420">
        <v>11.383714402571428</v>
      </c>
    </row>
    <row r="90" spans="15:25">
      <c r="P90" s="419">
        <v>35</v>
      </c>
      <c r="Q90" s="420">
        <v>7.5428571428571427</v>
      </c>
      <c r="R90" s="420">
        <v>2.15</v>
      </c>
      <c r="S90" s="420">
        <v>71.48</v>
      </c>
      <c r="T90" s="420">
        <v>45.64</v>
      </c>
      <c r="U90" s="420">
        <v>9.4700000000000006</v>
      </c>
      <c r="V90" s="420">
        <v>10.92</v>
      </c>
      <c r="W90" s="420">
        <v>1.88</v>
      </c>
      <c r="X90" s="420">
        <v>32.979999999999997</v>
      </c>
      <c r="Y90" s="420">
        <v>7.88</v>
      </c>
    </row>
    <row r="91" spans="15:25">
      <c r="P91" s="419">
        <v>36</v>
      </c>
      <c r="Q91" s="420">
        <v>7.1671427998571433</v>
      </c>
      <c r="R91" s="420">
        <v>4.8342857142857136</v>
      </c>
      <c r="S91" s="420">
        <v>63.092857142857149</v>
      </c>
      <c r="T91" s="420">
        <v>34.571428571428569</v>
      </c>
      <c r="U91" s="420">
        <v>7.5942857142857134</v>
      </c>
      <c r="V91" s="420">
        <v>11.091428571428571</v>
      </c>
      <c r="W91" s="420">
        <v>1.8442857142857143</v>
      </c>
      <c r="X91" s="420">
        <v>31.20428571428571</v>
      </c>
      <c r="Y91" s="420">
        <v>8.0857142857142854</v>
      </c>
    </row>
    <row r="92" spans="15:25">
      <c r="P92" s="419">
        <v>37</v>
      </c>
      <c r="Q92" s="420">
        <v>7.1637143408571422</v>
      </c>
      <c r="R92" s="420">
        <v>3.1535714688571423</v>
      </c>
      <c r="S92" s="420">
        <v>61.141713821428574</v>
      </c>
      <c r="T92" s="420">
        <v>28.744000025714286</v>
      </c>
      <c r="U92" s="420">
        <v>6.5637142318571433</v>
      </c>
      <c r="V92" s="420">
        <v>10.825238499999999</v>
      </c>
      <c r="W92" s="420">
        <v>1.8114285809999999</v>
      </c>
      <c r="X92" s="420">
        <v>29.614285605714283</v>
      </c>
      <c r="Y92" s="420">
        <v>8.6452856064285708</v>
      </c>
    </row>
    <row r="93" spans="15:25">
      <c r="P93" s="419">
        <v>38</v>
      </c>
      <c r="Q93" s="420">
        <v>8.31</v>
      </c>
      <c r="R93" s="420">
        <v>3.3441428289999995</v>
      </c>
      <c r="S93" s="420">
        <v>49.664428712857145</v>
      </c>
      <c r="T93" s="420">
        <v>35.571571351428574</v>
      </c>
      <c r="U93" s="420">
        <v>7.2939999444285712</v>
      </c>
      <c r="V93" s="420">
        <v>11.159824370000001</v>
      </c>
      <c r="W93" s="420">
        <v>1.8427142925714282</v>
      </c>
      <c r="X93" s="420">
        <v>30.912857054285716</v>
      </c>
      <c r="Y93" s="420">
        <v>8.6452856064285708</v>
      </c>
    </row>
    <row r="94" spans="15:25">
      <c r="P94" s="419">
        <v>39</v>
      </c>
      <c r="Q94" s="420">
        <v>7.621428489714285</v>
      </c>
      <c r="R94" s="420">
        <v>4.6500000000000004</v>
      </c>
      <c r="S94" s="420">
        <v>42.24</v>
      </c>
      <c r="T94" s="420">
        <v>39.39</v>
      </c>
      <c r="U94" s="420">
        <v>7.68</v>
      </c>
      <c r="V94" s="420">
        <v>11.33</v>
      </c>
      <c r="W94" s="420">
        <v>1.64</v>
      </c>
      <c r="X94" s="420">
        <v>37.200000000000003</v>
      </c>
      <c r="Y94" s="420">
        <v>7.4194285528571422</v>
      </c>
    </row>
    <row r="95" spans="15:25">
      <c r="O95" s="418">
        <v>40</v>
      </c>
      <c r="P95" s="419">
        <v>40</v>
      </c>
      <c r="Q95" s="420">
        <v>7.621428489714285</v>
      </c>
      <c r="R95" s="420">
        <v>5.128571373571428</v>
      </c>
      <c r="S95" s="420">
        <v>38.906285422857138</v>
      </c>
      <c r="T95" s="420">
        <v>41.34000069857143</v>
      </c>
      <c r="U95" s="420">
        <v>9.112857137571428</v>
      </c>
      <c r="V95" s="420">
        <v>11.565001485714285</v>
      </c>
      <c r="W95" s="420">
        <v>1.8221428395714285</v>
      </c>
      <c r="X95" s="420">
        <v>42.197143011428572</v>
      </c>
      <c r="Y95" s="420">
        <v>9.6005713597142837</v>
      </c>
    </row>
    <row r="96" spans="15:25">
      <c r="P96" s="419">
        <v>41</v>
      </c>
      <c r="Q96" s="420">
        <v>7.2698572022574259</v>
      </c>
      <c r="R96" s="420">
        <v>4.8594285079410948</v>
      </c>
      <c r="S96" s="420">
        <v>42.923713956560341</v>
      </c>
      <c r="T96" s="420">
        <v>56.607142857142847</v>
      </c>
      <c r="U96" s="420">
        <v>11.170142854962995</v>
      </c>
      <c r="V96" s="420">
        <v>12.740178653172041</v>
      </c>
      <c r="W96" s="420">
        <v>1.7041428429739784</v>
      </c>
      <c r="X96" s="420">
        <v>49.475714547293492</v>
      </c>
      <c r="Y96" s="420">
        <v>10.943285942077617</v>
      </c>
    </row>
    <row r="97" spans="14:25">
      <c r="P97" s="419">
        <v>42</v>
      </c>
      <c r="Q97" s="420">
        <v>6.2732856614249064</v>
      </c>
      <c r="R97" s="420">
        <v>4.00314286776951</v>
      </c>
      <c r="S97" s="420">
        <v>73.976001194545148</v>
      </c>
      <c r="T97" s="420">
        <v>89.232285635811792</v>
      </c>
      <c r="U97" s="420">
        <v>19.282285690307582</v>
      </c>
      <c r="V97" s="420">
        <v>11.792381422860229</v>
      </c>
      <c r="W97" s="420">
        <v>1.5524285691124997</v>
      </c>
      <c r="X97" s="420">
        <v>72.350713457379968</v>
      </c>
      <c r="Y97" s="420">
        <v>17.972571236746628</v>
      </c>
    </row>
    <row r="98" spans="14:25">
      <c r="P98" s="419">
        <v>43</v>
      </c>
      <c r="Q98" s="420">
        <v>8.3208571161542526</v>
      </c>
      <c r="R98" s="420">
        <v>6.0481427737644662</v>
      </c>
      <c r="S98" s="420">
        <v>97.234427315848038</v>
      </c>
      <c r="T98" s="420">
        <v>125.70828465052978</v>
      </c>
      <c r="U98" s="420">
        <v>26.382142475673081</v>
      </c>
      <c r="V98" s="420">
        <v>12.0416071755545</v>
      </c>
      <c r="W98" s="420">
        <v>1.585428544453207</v>
      </c>
      <c r="X98" s="420">
        <v>82.484284537179079</v>
      </c>
      <c r="Y98" s="420">
        <v>19.552571432931028</v>
      </c>
    </row>
    <row r="99" spans="14:25">
      <c r="P99" s="419">
        <v>44</v>
      </c>
      <c r="Q99" s="420">
        <v>9.2941429947142868</v>
      </c>
      <c r="R99" s="420">
        <v>7.6531428608571428</v>
      </c>
      <c r="S99" s="420">
        <v>120.62971387142855</v>
      </c>
      <c r="T99" s="420">
        <v>157.60714285714286</v>
      </c>
      <c r="U99" s="420">
        <v>33.364427840000005</v>
      </c>
      <c r="V99" s="420">
        <v>12.188929967142856</v>
      </c>
      <c r="W99" s="420">
        <v>1.6864285471428571</v>
      </c>
      <c r="X99" s="420">
        <v>110.40928649571428</v>
      </c>
      <c r="Y99" s="420">
        <v>33.081571032857141</v>
      </c>
    </row>
    <row r="100" spans="14:25">
      <c r="P100" s="419">
        <v>45</v>
      </c>
      <c r="Q100" s="420">
        <v>8.6642857274285721</v>
      </c>
      <c r="R100" s="420">
        <v>4.2061428341428568</v>
      </c>
      <c r="S100" s="420">
        <v>125.43157086857143</v>
      </c>
      <c r="T100" s="420">
        <v>105.63685608857143</v>
      </c>
      <c r="U100" s="420">
        <v>18.735571588571428</v>
      </c>
      <c r="V100" s="420">
        <v>13</v>
      </c>
      <c r="W100" s="420">
        <v>1.7397142818571427</v>
      </c>
      <c r="X100" s="420">
        <v>114.14357212285714</v>
      </c>
      <c r="Y100" s="420">
        <v>39.80185754</v>
      </c>
    </row>
    <row r="101" spans="14:25">
      <c r="P101" s="419">
        <v>46</v>
      </c>
      <c r="Q101" s="420">
        <v>8.5371428571428574</v>
      </c>
      <c r="R101" s="420">
        <v>5.9</v>
      </c>
      <c r="S101" s="420">
        <v>78.757142857142853</v>
      </c>
      <c r="T101" s="420">
        <v>79.304285714285712</v>
      </c>
      <c r="U101" s="420">
        <v>13.16</v>
      </c>
      <c r="V101" s="420">
        <v>13.001428571428571</v>
      </c>
      <c r="W101" s="420">
        <v>1.5</v>
      </c>
      <c r="X101" s="420">
        <v>93.457142857142841</v>
      </c>
      <c r="Y101" s="420">
        <v>37.212857142857146</v>
      </c>
    </row>
    <row r="102" spans="14:25">
      <c r="P102" s="419">
        <v>47</v>
      </c>
      <c r="Q102" s="420">
        <v>9.0094285692857135</v>
      </c>
      <c r="R102" s="420">
        <v>7.1015714912857133</v>
      </c>
      <c r="S102" s="420">
        <v>88.111712864285735</v>
      </c>
      <c r="T102" s="420">
        <v>74.684428622857141</v>
      </c>
      <c r="U102" s="420">
        <v>13.483142988571428</v>
      </c>
      <c r="V102" s="420">
        <v>12.142405645714286</v>
      </c>
      <c r="W102" s="420">
        <v>1.5</v>
      </c>
      <c r="X102" s="420">
        <v>104.10500007571429</v>
      </c>
      <c r="Y102" s="420">
        <v>35.055428368571434</v>
      </c>
    </row>
    <row r="103" spans="14:25">
      <c r="O103" s="418">
        <v>48</v>
      </c>
      <c r="P103" s="419">
        <v>48</v>
      </c>
      <c r="Q103" s="420">
        <v>8.5042856081428582</v>
      </c>
      <c r="R103" s="420">
        <v>4.3617142950000005</v>
      </c>
      <c r="S103" s="420">
        <v>80.151286534285717</v>
      </c>
      <c r="T103" s="420">
        <v>95.303570342857142</v>
      </c>
      <c r="U103" s="420">
        <v>12.543571337142859</v>
      </c>
      <c r="V103" s="420">
        <v>11.975262778571429</v>
      </c>
      <c r="W103" s="420">
        <v>1.5</v>
      </c>
      <c r="X103" s="420">
        <v>91.569999695714287</v>
      </c>
      <c r="Y103" s="420">
        <v>28.370000294285713</v>
      </c>
    </row>
    <row r="104" spans="14:25">
      <c r="P104" s="419">
        <v>49</v>
      </c>
      <c r="Q104" s="420">
        <v>8.27</v>
      </c>
      <c r="R104" s="420">
        <v>6.9099999999999993</v>
      </c>
      <c r="S104" s="420">
        <v>66.555714285714288</v>
      </c>
      <c r="T104" s="420">
        <v>54.31</v>
      </c>
      <c r="U104" s="420">
        <v>8.99</v>
      </c>
      <c r="V104" s="420">
        <v>12.26</v>
      </c>
      <c r="W104" s="420">
        <v>1.5</v>
      </c>
      <c r="X104" s="420">
        <v>62.974285714285706</v>
      </c>
      <c r="Y104" s="420">
        <v>22.919999999999998</v>
      </c>
    </row>
    <row r="105" spans="14:25">
      <c r="P105" s="419">
        <v>50</v>
      </c>
      <c r="Q105" s="420">
        <v>8.1765714374285707</v>
      </c>
      <c r="R105" s="420">
        <v>6.5639999597142857</v>
      </c>
      <c r="S105" s="420">
        <v>61.602715082857152</v>
      </c>
      <c r="T105" s="420">
        <v>52.47614288285714</v>
      </c>
      <c r="U105" s="420">
        <v>10.909571511285714</v>
      </c>
      <c r="V105" s="420">
        <v>13.001428604285715</v>
      </c>
      <c r="W105" s="420">
        <v>1.457142846857143</v>
      </c>
      <c r="X105" s="420">
        <v>52.244286674285718</v>
      </c>
      <c r="Y105" s="420">
        <v>17.695714271428571</v>
      </c>
    </row>
    <row r="106" spans="14:25">
      <c r="P106" s="419">
        <v>51</v>
      </c>
      <c r="Q106" s="420">
        <v>10.342857142857142</v>
      </c>
      <c r="R106" s="420">
        <v>7.3285714285714283</v>
      </c>
      <c r="S106" s="420">
        <v>53.9</v>
      </c>
      <c r="T106" s="420">
        <v>126.14285714285714</v>
      </c>
      <c r="U106" s="420">
        <v>16.8</v>
      </c>
      <c r="V106" s="420">
        <v>12.257142857142856</v>
      </c>
      <c r="W106" s="420">
        <v>1.3857142857142859</v>
      </c>
      <c r="X106" s="420">
        <v>86.528571428571439</v>
      </c>
      <c r="Y106" s="420">
        <v>33.51428571428572</v>
      </c>
    </row>
    <row r="107" spans="14:25">
      <c r="O107" s="418">
        <v>52</v>
      </c>
      <c r="P107" s="419">
        <v>52</v>
      </c>
      <c r="Q107" s="420">
        <v>10.661999840142856</v>
      </c>
      <c r="R107" s="420">
        <v>7.4820000789999996</v>
      </c>
      <c r="S107" s="420">
        <v>57.504999978571433</v>
      </c>
      <c r="T107" s="420">
        <v>100.38085719714286</v>
      </c>
      <c r="U107" s="420">
        <v>16.435142652857145</v>
      </c>
      <c r="V107" s="420">
        <v>12.222315514285714</v>
      </c>
      <c r="W107" s="420">
        <v>1.2999999520000001</v>
      </c>
      <c r="X107" s="420">
        <v>103.53357153142858</v>
      </c>
      <c r="Y107" s="420">
        <v>52.753143308571431</v>
      </c>
    </row>
    <row r="108" spans="14:25">
      <c r="N108" s="418">
        <v>2019</v>
      </c>
      <c r="O108" s="418">
        <v>1</v>
      </c>
      <c r="P108" s="419">
        <v>1</v>
      </c>
      <c r="Q108" s="420">
        <v>8.992857251428573</v>
      </c>
      <c r="R108" s="420">
        <v>4.4642857141428571</v>
      </c>
      <c r="S108" s="420">
        <v>57.514999934285704</v>
      </c>
      <c r="T108" s="420">
        <v>79.871427261428579</v>
      </c>
      <c r="U108" s="420">
        <v>13.115714484285716</v>
      </c>
      <c r="V108" s="420">
        <v>11.571904317142856</v>
      </c>
      <c r="W108" s="420">
        <v>1.2999999520000001</v>
      </c>
      <c r="X108" s="420">
        <v>121.75642612857142</v>
      </c>
      <c r="Y108" s="420">
        <v>64.398429325714275</v>
      </c>
    </row>
    <row r="109" spans="14:25">
      <c r="P109" s="419">
        <v>2</v>
      </c>
      <c r="Q109" s="420">
        <v>7.4904285157142843</v>
      </c>
      <c r="R109" s="420">
        <v>3.3685714177142856</v>
      </c>
      <c r="S109" s="420">
        <v>63.363856724285711</v>
      </c>
      <c r="T109" s="420">
        <v>84.184571402857145</v>
      </c>
      <c r="U109" s="420">
        <v>16.11014284285714</v>
      </c>
      <c r="V109" s="420">
        <v>11.570298602857141</v>
      </c>
      <c r="W109" s="420">
        <v>1.2999999520000001</v>
      </c>
      <c r="X109" s="420">
        <v>180.32999965714288</v>
      </c>
      <c r="Y109" s="420">
        <v>70.997858864285703</v>
      </c>
    </row>
    <row r="110" spans="14:25">
      <c r="P110" s="419">
        <v>3</v>
      </c>
      <c r="Q110" s="420">
        <v>14.36</v>
      </c>
      <c r="R110" s="420">
        <v>10.74</v>
      </c>
      <c r="S110" s="420">
        <v>80.75</v>
      </c>
      <c r="T110" s="420">
        <v>149.30000000000001</v>
      </c>
      <c r="U110" s="420">
        <v>29.23</v>
      </c>
      <c r="V110" s="420">
        <v>11.28</v>
      </c>
      <c r="W110" s="420">
        <v>1.33</v>
      </c>
      <c r="X110" s="420">
        <v>167.22</v>
      </c>
      <c r="Y110" s="420">
        <v>68.83</v>
      </c>
    </row>
    <row r="111" spans="14:25">
      <c r="P111" s="419">
        <v>4</v>
      </c>
      <c r="Q111" s="420">
        <v>17.131428719999999</v>
      </c>
      <c r="R111" s="420">
        <v>11.155714580142858</v>
      </c>
      <c r="S111" s="420">
        <v>85.689570837142853</v>
      </c>
      <c r="T111" s="420">
        <v>168.80999974285714</v>
      </c>
      <c r="U111" s="420">
        <v>36.200000218571425</v>
      </c>
      <c r="V111" s="420">
        <v>11.843988554285716</v>
      </c>
      <c r="W111" s="420">
        <v>3.0287143159999999</v>
      </c>
      <c r="X111" s="420">
        <v>185.51500375714286</v>
      </c>
      <c r="Y111" s="420">
        <v>70.089428494285713</v>
      </c>
    </row>
    <row r="112" spans="14:25">
      <c r="P112" s="419">
        <v>5</v>
      </c>
      <c r="Q112" s="420">
        <v>30.592286245714288</v>
      </c>
      <c r="R112" s="420">
        <v>16.463000024285716</v>
      </c>
      <c r="S112" s="420">
        <v>416.48700821428571</v>
      </c>
      <c r="T112" s="420">
        <v>195.24999782857142</v>
      </c>
      <c r="U112" s="420">
        <v>36.703999928571427</v>
      </c>
      <c r="V112" s="420">
        <v>12.496724401428571</v>
      </c>
      <c r="W112" s="420">
        <v>6.6928571292857146</v>
      </c>
      <c r="X112" s="420">
        <v>199.03571430000002</v>
      </c>
      <c r="Y112" s="420">
        <v>74.655428748571438</v>
      </c>
    </row>
    <row r="113" spans="15:25">
      <c r="P113" s="419">
        <v>6</v>
      </c>
      <c r="Q113" s="420">
        <v>20.372857142857146</v>
      </c>
      <c r="R113" s="420">
        <v>17.05857142857143</v>
      </c>
      <c r="S113" s="420">
        <v>426.67142857142863</v>
      </c>
      <c r="T113" s="420">
        <v>265.28000000000003</v>
      </c>
      <c r="U113" s="420">
        <v>51.29</v>
      </c>
      <c r="V113" s="420">
        <v>12.744285714285715</v>
      </c>
      <c r="W113" s="420">
        <v>14.464285714285714</v>
      </c>
      <c r="X113" s="420">
        <v>338.89857142857142</v>
      </c>
      <c r="Y113" s="420">
        <v>117.82857142857142</v>
      </c>
    </row>
    <row r="114" spans="15:25">
      <c r="P114" s="419">
        <v>7</v>
      </c>
      <c r="Q114" s="420">
        <v>28.837571554285717</v>
      </c>
      <c r="R114" s="420">
        <v>18.065285818571429</v>
      </c>
      <c r="S114" s="420">
        <v>581.62514822857145</v>
      </c>
      <c r="T114" s="420">
        <v>230.7322888857143</v>
      </c>
      <c r="U114" s="420">
        <v>46.224000658571427</v>
      </c>
      <c r="V114" s="420">
        <v>23.841369902857146</v>
      </c>
      <c r="W114" s="420">
        <v>21.059571402857141</v>
      </c>
      <c r="X114" s="420">
        <v>288.0957205571429</v>
      </c>
      <c r="Y114" s="420">
        <v>118.07871352857144</v>
      </c>
    </row>
    <row r="115" spans="15:25">
      <c r="O115" s="418">
        <v>8</v>
      </c>
      <c r="P115" s="419">
        <v>8</v>
      </c>
      <c r="Q115" s="420">
        <v>20.077857700000003</v>
      </c>
      <c r="R115" s="420">
        <v>14.531571660571432</v>
      </c>
      <c r="S115" s="420">
        <v>439.74099729999995</v>
      </c>
      <c r="T115" s="420">
        <v>219.37485614285717</v>
      </c>
      <c r="U115" s="420">
        <v>42.94585745571429</v>
      </c>
      <c r="V115" s="420">
        <v>23.894881112857146</v>
      </c>
      <c r="W115" s="420">
        <v>6.8928571428571432</v>
      </c>
      <c r="X115" s="420">
        <v>411.75142995714288</v>
      </c>
      <c r="Y115" s="420">
        <v>98.32</v>
      </c>
    </row>
    <row r="116" spans="15:25">
      <c r="P116" s="419">
        <v>9</v>
      </c>
      <c r="Q116" s="420">
        <v>26.317999977142858</v>
      </c>
      <c r="R116" s="420">
        <v>19.520428521428574</v>
      </c>
      <c r="S116" s="420">
        <v>316.26999772857147</v>
      </c>
      <c r="T116" s="420">
        <v>191.17842539999998</v>
      </c>
      <c r="U116" s="420">
        <v>34.696428571428569</v>
      </c>
      <c r="V116" s="420">
        <v>22.406962801428573</v>
      </c>
      <c r="W116" s="420">
        <v>3.3807143142857146</v>
      </c>
      <c r="X116" s="420">
        <v>249.46285358571427</v>
      </c>
      <c r="Y116" s="420">
        <v>120.90099988571428</v>
      </c>
    </row>
    <row r="117" spans="15:25">
      <c r="P117" s="419">
        <v>10</v>
      </c>
      <c r="Q117" s="420">
        <v>27.959571565714288</v>
      </c>
      <c r="R117" s="420">
        <v>20.831714628571426</v>
      </c>
      <c r="S117" s="420">
        <v>326.63642664285715</v>
      </c>
      <c r="T117" s="420">
        <v>184.08928571428572</v>
      </c>
      <c r="U117" s="420">
        <v>38.680999754285715</v>
      </c>
      <c r="V117" s="420">
        <v>23.828572680000001</v>
      </c>
      <c r="W117" s="420">
        <v>2.3840000118571427</v>
      </c>
      <c r="X117" s="420">
        <v>225.10000174285716</v>
      </c>
      <c r="Y117" s="420">
        <v>78.177285328571429</v>
      </c>
    </row>
    <row r="118" spans="15:25">
      <c r="P118" s="419">
        <v>11</v>
      </c>
      <c r="Q118" s="420">
        <v>27.959571565714288</v>
      </c>
      <c r="R118" s="420">
        <v>22.247142927987216</v>
      </c>
      <c r="S118" s="420">
        <v>416.08099801199745</v>
      </c>
      <c r="T118" s="420">
        <v>226.88085501534573</v>
      </c>
      <c r="U118" s="420">
        <v>42.633285522460888</v>
      </c>
      <c r="V118" s="420">
        <v>23.809881482805473</v>
      </c>
      <c r="W118" s="420">
        <v>1.9291428668158341</v>
      </c>
      <c r="X118" s="420">
        <v>217.45642525809117</v>
      </c>
      <c r="Y118" s="420">
        <v>44.638999938964801</v>
      </c>
    </row>
    <row r="119" spans="15:25">
      <c r="P119" s="419">
        <v>12</v>
      </c>
      <c r="Q119" s="420">
        <v>28.476714270455457</v>
      </c>
      <c r="R119" s="420">
        <v>21.707857131428572</v>
      </c>
      <c r="S119" s="420">
        <v>394.13957431428571</v>
      </c>
      <c r="T119" s="420">
        <v>203.44642857142858</v>
      </c>
      <c r="U119" s="420">
        <v>43.529285431428569</v>
      </c>
      <c r="V119" s="420">
        <v>19.572964258571432</v>
      </c>
      <c r="W119" s="420">
        <v>1.7968571012857144</v>
      </c>
      <c r="X119" s="420">
        <v>327.82142857142861</v>
      </c>
      <c r="Y119" s="420">
        <v>98.4</v>
      </c>
    </row>
    <row r="120" spans="15:25">
      <c r="P120" s="419">
        <v>13</v>
      </c>
      <c r="Q120" s="420">
        <v>24.844714028571435</v>
      </c>
      <c r="R120" s="420">
        <v>20.569142751428576</v>
      </c>
      <c r="S120" s="420">
        <v>522.42285592857138</v>
      </c>
      <c r="T120" s="420">
        <v>225.26185825714285</v>
      </c>
      <c r="U120" s="420">
        <v>57.974427901428569</v>
      </c>
      <c r="V120" s="420">
        <v>12.582738467142859</v>
      </c>
      <c r="W120" s="420">
        <v>1.6904285634285714</v>
      </c>
      <c r="X120" s="420">
        <v>339.04356602857143</v>
      </c>
      <c r="Y120" s="420">
        <v>92.103571201428579</v>
      </c>
    </row>
    <row r="121" spans="15:25">
      <c r="P121" s="419">
        <v>14</v>
      </c>
      <c r="Q121" s="420">
        <v>29.483285902857141</v>
      </c>
      <c r="R121" s="420">
        <v>18.767857142857142</v>
      </c>
      <c r="S121" s="420">
        <v>316.33943394285717</v>
      </c>
      <c r="T121" s="420">
        <v>152.47643277142856</v>
      </c>
      <c r="U121" s="420">
        <v>55.119428907142868</v>
      </c>
      <c r="V121" s="420">
        <v>21.303751674285714</v>
      </c>
      <c r="W121" s="420">
        <v>1.6808571647142858</v>
      </c>
      <c r="X121" s="420">
        <v>250.08571298571431</v>
      </c>
      <c r="Y121" s="420">
        <v>65.665856497142855</v>
      </c>
    </row>
    <row r="122" spans="15:25">
      <c r="P122" s="419">
        <v>15</v>
      </c>
      <c r="Q122" s="420">
        <v>20.040428705714284</v>
      </c>
      <c r="R122" s="420">
        <v>14.275999887714287</v>
      </c>
      <c r="S122" s="420">
        <v>168.45457024285716</v>
      </c>
      <c r="T122" s="420">
        <v>98.160714291428576</v>
      </c>
      <c r="U122" s="420">
        <v>27.713714872857139</v>
      </c>
      <c r="V122" s="420">
        <v>17.810774395714287</v>
      </c>
      <c r="W122" s="420">
        <v>1.7205714498571432</v>
      </c>
      <c r="X122" s="420">
        <v>148.48785617142858</v>
      </c>
      <c r="Y122" s="420">
        <v>49.633285522857136</v>
      </c>
    </row>
    <row r="123" spans="15:25">
      <c r="O123" s="418">
        <v>16</v>
      </c>
      <c r="P123" s="419">
        <v>16</v>
      </c>
      <c r="Q123" s="420">
        <v>16.072142737142858</v>
      </c>
      <c r="R123" s="420">
        <v>10.180143014285713</v>
      </c>
      <c r="S123" s="420">
        <v>131.80142647142856</v>
      </c>
      <c r="T123" s="420">
        <v>98.279714314285712</v>
      </c>
      <c r="U123" s="420">
        <v>22.869143077142859</v>
      </c>
      <c r="V123" s="420">
        <v>12.210951395714286</v>
      </c>
      <c r="W123" s="420">
        <v>1.789857131857143</v>
      </c>
      <c r="X123" s="420">
        <v>105.47928511571429</v>
      </c>
      <c r="Y123" s="420">
        <v>31.291000095714285</v>
      </c>
    </row>
    <row r="124" spans="15:25">
      <c r="P124" s="419">
        <v>17</v>
      </c>
      <c r="Q124" s="420">
        <v>15.383999960000001</v>
      </c>
      <c r="R124" s="420">
        <v>12.121571608857142</v>
      </c>
      <c r="S124" s="420">
        <v>143.84128789999997</v>
      </c>
      <c r="T124" s="420">
        <v>83.547571454285716</v>
      </c>
      <c r="U124" s="420">
        <v>20.273857388571425</v>
      </c>
      <c r="V124" s="420">
        <v>12.949641501428573</v>
      </c>
      <c r="W124" s="420">
        <v>1.6648571664285714</v>
      </c>
      <c r="X124" s="420">
        <v>103.81928579571429</v>
      </c>
      <c r="Y124" s="420">
        <v>25.921857015714284</v>
      </c>
    </row>
    <row r="125" spans="15:25">
      <c r="P125" s="419">
        <v>18</v>
      </c>
      <c r="Q125" s="420">
        <v>16.026142665714286</v>
      </c>
      <c r="R125" s="420">
        <v>11.996285711571428</v>
      </c>
      <c r="S125" s="420">
        <v>111.12314277285714</v>
      </c>
      <c r="T125" s="420">
        <v>74.392857142857139</v>
      </c>
      <c r="U125" s="420">
        <v>18.103142875714287</v>
      </c>
      <c r="V125" s="420">
        <v>11.493274145714285</v>
      </c>
      <c r="W125" s="420">
        <v>1.55</v>
      </c>
      <c r="X125" s="420">
        <v>91.532855442857141</v>
      </c>
      <c r="Y125" s="420">
        <v>22.190428595714284</v>
      </c>
    </row>
    <row r="126" spans="15:25">
      <c r="P126" s="419">
        <v>19</v>
      </c>
      <c r="Q126" s="420">
        <v>14.769714355714287</v>
      </c>
      <c r="R126" s="420">
        <v>10.123285769857144</v>
      </c>
      <c r="S126" s="420">
        <v>89.41828482428572</v>
      </c>
      <c r="T126" s="420">
        <v>60.613000051428571</v>
      </c>
      <c r="U126" s="420">
        <v>15.728999954285714</v>
      </c>
      <c r="V126" s="420">
        <v>10.883738517142858</v>
      </c>
      <c r="W126" s="420">
        <v>1.5914285865714286</v>
      </c>
      <c r="X126" s="420">
        <v>82.45500183</v>
      </c>
      <c r="Y126" s="420">
        <v>20.991285870000006</v>
      </c>
    </row>
    <row r="127" spans="15:25">
      <c r="P127" s="419">
        <v>20</v>
      </c>
      <c r="Q127" s="420">
        <v>13.81242861</v>
      </c>
      <c r="R127" s="420">
        <v>9.3731427190000005</v>
      </c>
      <c r="S127" s="420">
        <v>79.212427410000004</v>
      </c>
      <c r="T127" s="420">
        <v>72.321428569999995</v>
      </c>
      <c r="U127" s="420">
        <v>20.647571429999999</v>
      </c>
      <c r="V127" s="420">
        <v>11.153748650000001</v>
      </c>
      <c r="W127" s="420">
        <v>1.5371428389999999</v>
      </c>
      <c r="X127" s="420">
        <v>76.857142859999996</v>
      </c>
      <c r="Y127" s="420">
        <v>23.085714070000002</v>
      </c>
    </row>
    <row r="128" spans="15:25">
      <c r="P128" s="419">
        <v>21</v>
      </c>
      <c r="Q128" s="420">
        <v>12.849714414285714</v>
      </c>
      <c r="R128" s="420">
        <v>7.085428442285715</v>
      </c>
      <c r="S128" s="420">
        <v>62.717000688571432</v>
      </c>
      <c r="T128" s="420">
        <v>52.565571377142859</v>
      </c>
      <c r="U128" s="420">
        <v>14.46171447</v>
      </c>
      <c r="V128" s="420">
        <v>12</v>
      </c>
      <c r="W128" s="420">
        <v>1.5128571304285714</v>
      </c>
      <c r="X128" s="420">
        <v>58.057856968571436</v>
      </c>
      <c r="Y128" s="420">
        <v>17.858285902857144</v>
      </c>
    </row>
    <row r="129" spans="15:26">
      <c r="P129" s="419">
        <v>22</v>
      </c>
      <c r="Q129" s="420">
        <v>12.105428559999998</v>
      </c>
      <c r="R129" s="420">
        <v>7.3308571058571435</v>
      </c>
      <c r="S129" s="420">
        <v>41.633143151428598</v>
      </c>
      <c r="T129" s="420">
        <v>49.261999948571429</v>
      </c>
      <c r="U129" s="420">
        <v>12.621714454285712</v>
      </c>
      <c r="V129" s="420">
        <v>10.442797251571431</v>
      </c>
      <c r="W129" s="420">
        <v>1.5</v>
      </c>
      <c r="X129" s="420">
        <v>51.520714895714285</v>
      </c>
      <c r="Y129" s="420">
        <v>15.324571202857143</v>
      </c>
    </row>
    <row r="130" spans="15:26">
      <c r="P130" s="419">
        <v>23</v>
      </c>
      <c r="Q130" s="420">
        <v>11.272714207142856</v>
      </c>
      <c r="R130" s="420">
        <v>7.7242857718571427</v>
      </c>
      <c r="S130" s="420">
        <v>41.633143151428598</v>
      </c>
      <c r="T130" s="420">
        <v>40.500142779999997</v>
      </c>
      <c r="U130" s="420">
        <v>10.571857179142857</v>
      </c>
      <c r="V130" s="420">
        <v>10.979225701428572</v>
      </c>
      <c r="W130" s="420">
        <v>1.5</v>
      </c>
      <c r="X130" s="420">
        <v>46.520714351428573</v>
      </c>
      <c r="Y130" s="420">
        <v>13.868142808571431</v>
      </c>
    </row>
    <row r="131" spans="15:26">
      <c r="P131" s="419">
        <v>24</v>
      </c>
      <c r="Q131" s="420">
        <v>10.867999894285715</v>
      </c>
      <c r="R131" s="420">
        <v>8.8337143495714301</v>
      </c>
      <c r="S131" s="420">
        <v>78.434000150000003</v>
      </c>
      <c r="T131" s="420">
        <v>35.785857065714289</v>
      </c>
      <c r="U131" s="420">
        <v>9.2180000031428584</v>
      </c>
      <c r="V131" s="420">
        <v>11.096784181428571</v>
      </c>
      <c r="W131" s="420">
        <v>1.5</v>
      </c>
      <c r="X131" s="420">
        <v>42.473571777142858</v>
      </c>
      <c r="Y131" s="420">
        <v>12.512571334285715</v>
      </c>
    </row>
    <row r="132" spans="15:26">
      <c r="P132" s="419">
        <v>25</v>
      </c>
      <c r="Q132" s="420">
        <v>10.167285918857143</v>
      </c>
      <c r="R132" s="420">
        <v>7.6592858184285708</v>
      </c>
      <c r="S132" s="420">
        <v>77.872000559999989</v>
      </c>
      <c r="T132" s="420">
        <v>33.357000077142857</v>
      </c>
      <c r="U132" s="420">
        <v>8.9321429390000002</v>
      </c>
      <c r="V132" s="420">
        <v>10.461965969999998</v>
      </c>
      <c r="W132" s="420">
        <v>1.5</v>
      </c>
      <c r="X132" s="420">
        <v>43.729285104285715</v>
      </c>
      <c r="Y132" s="420">
        <v>11.450428658571429</v>
      </c>
    </row>
    <row r="133" spans="15:26">
      <c r="O133" s="418">
        <v>26</v>
      </c>
      <c r="P133" s="419">
        <v>26</v>
      </c>
      <c r="Q133" s="420">
        <v>9.3535717554285718</v>
      </c>
      <c r="R133" s="420">
        <v>6.2751428064285708</v>
      </c>
      <c r="S133" s="420">
        <v>76.447856358571428</v>
      </c>
      <c r="T133" s="420">
        <v>29.154571531428569</v>
      </c>
      <c r="U133" s="420">
        <v>8.3007144928571428</v>
      </c>
      <c r="V133" s="420">
        <v>11.259941372857144</v>
      </c>
      <c r="W133" s="420">
        <v>1.5</v>
      </c>
      <c r="X133" s="420">
        <v>44.616428919999997</v>
      </c>
      <c r="Y133" s="420">
        <v>9.6660000944285702</v>
      </c>
    </row>
    <row r="134" spans="15:26">
      <c r="P134" s="419">
        <v>27</v>
      </c>
      <c r="Q134" s="420">
        <v>8.86</v>
      </c>
      <c r="R134" s="420">
        <v>7.15</v>
      </c>
      <c r="S134" s="420">
        <v>77.430000000000007</v>
      </c>
      <c r="T134" s="420">
        <v>30.35</v>
      </c>
      <c r="U134" s="420">
        <v>8.59</v>
      </c>
      <c r="V134" s="420">
        <v>10.758154460361988</v>
      </c>
      <c r="W134" s="420">
        <v>1.59</v>
      </c>
      <c r="X134" s="420">
        <v>43.84</v>
      </c>
      <c r="Y134" s="420">
        <v>8.27</v>
      </c>
    </row>
    <row r="135" spans="15:26">
      <c r="P135" s="419">
        <v>28</v>
      </c>
      <c r="Q135" s="420">
        <v>8.9135712215714289</v>
      </c>
      <c r="R135" s="420">
        <v>5.7058570728571425</v>
      </c>
      <c r="S135" s="420">
        <v>76.24514443428572</v>
      </c>
      <c r="T135" s="420">
        <v>27.702285765714286</v>
      </c>
      <c r="U135" s="420">
        <v>7.8261427880000003</v>
      </c>
      <c r="V135" s="420">
        <v>11.139168601428571</v>
      </c>
      <c r="W135" s="420">
        <v>1.6000000240000001</v>
      </c>
      <c r="X135" s="420">
        <v>39.995714458571435</v>
      </c>
      <c r="Y135" s="420">
        <v>7.4899999752857136</v>
      </c>
    </row>
    <row r="136" spans="15:26">
      <c r="P136" s="419">
        <v>29</v>
      </c>
      <c r="Q136" s="420">
        <v>9.1244284766060932</v>
      </c>
      <c r="R136" s="420">
        <v>6.4564285959516052</v>
      </c>
      <c r="S136" s="420">
        <v>66.31271307809007</v>
      </c>
      <c r="T136" s="420">
        <v>29.940428597586454</v>
      </c>
      <c r="U136" s="420">
        <v>7.6488569804600273</v>
      </c>
      <c r="V136" s="420">
        <v>10.810358456202879</v>
      </c>
      <c r="W136" s="420">
        <v>1.6000000238418504</v>
      </c>
      <c r="X136" s="420">
        <v>42.704285757882197</v>
      </c>
      <c r="Y136" s="420">
        <v>6.46428571428571</v>
      </c>
    </row>
    <row r="137" spans="15:26">
      <c r="P137" s="419">
        <v>30</v>
      </c>
      <c r="Q137" s="420">
        <v>8.5528571428571407</v>
      </c>
      <c r="R137" s="420">
        <v>4.6828571428571433</v>
      </c>
      <c r="S137" s="420">
        <v>72.048571428571435</v>
      </c>
      <c r="T137" s="420">
        <v>36.729999999999997</v>
      </c>
      <c r="U137" s="420">
        <v>8.18</v>
      </c>
      <c r="V137" s="420">
        <v>12.61</v>
      </c>
      <c r="W137" s="420">
        <v>1.6285714285714283</v>
      </c>
      <c r="X137" s="420">
        <v>44.611428571428576</v>
      </c>
      <c r="Y137" s="420">
        <v>8.2285714285714295</v>
      </c>
    </row>
    <row r="138" spans="15:26">
      <c r="P138" s="419">
        <v>31</v>
      </c>
      <c r="Q138" s="420">
        <v>8.6655714172857152</v>
      </c>
      <c r="R138" s="420">
        <v>6.0697142064285714</v>
      </c>
      <c r="S138" s="420">
        <v>71.543143134285714</v>
      </c>
      <c r="T138" s="420">
        <v>31.720428468571431</v>
      </c>
      <c r="U138" s="420">
        <v>7.0618571554285712</v>
      </c>
      <c r="V138" s="420">
        <v>12.322975702857141</v>
      </c>
      <c r="W138" s="420">
        <v>1.7000000479999999</v>
      </c>
      <c r="X138" s="420">
        <v>43.444999694285706</v>
      </c>
      <c r="Y138" s="420">
        <v>6.7562857354285706</v>
      </c>
    </row>
    <row r="139" spans="15:26">
      <c r="P139" s="419">
        <v>32</v>
      </c>
      <c r="Q139" s="420">
        <v>8.8231430052857132</v>
      </c>
      <c r="R139" s="420">
        <v>7.5088570807142858</v>
      </c>
      <c r="S139" s="420">
        <v>73.754999434285722</v>
      </c>
      <c r="T139" s="420">
        <v>23.255857194285714</v>
      </c>
      <c r="U139" s="420">
        <v>6.2595714159999991</v>
      </c>
      <c r="V139" s="420">
        <v>12.551451548571427</v>
      </c>
      <c r="W139" s="420">
        <v>1.7214285988571427</v>
      </c>
      <c r="X139" s="420">
        <v>38.432857512857147</v>
      </c>
      <c r="Y139" s="420">
        <v>6.4201429230000002</v>
      </c>
    </row>
    <row r="140" spans="15:26">
      <c r="P140" s="419">
        <v>33</v>
      </c>
      <c r="Q140" s="420">
        <v>7.5077142715714285</v>
      </c>
      <c r="R140" s="420">
        <v>3.2121428764285715</v>
      </c>
      <c r="S140" s="420">
        <v>68.878572191428574</v>
      </c>
      <c r="T140" s="420">
        <v>21.297428674285715</v>
      </c>
      <c r="U140" s="420">
        <v>6.3691428730000004</v>
      </c>
      <c r="V140" s="420">
        <v>12.137084417142857</v>
      </c>
      <c r="W140" s="420">
        <v>1.7482857022857143</v>
      </c>
      <c r="X140" s="420">
        <v>36.690713608571421</v>
      </c>
      <c r="Y140" s="420">
        <v>4.7154285567142855</v>
      </c>
    </row>
    <row r="141" spans="15:26">
      <c r="P141" s="419">
        <v>34</v>
      </c>
      <c r="Q141" s="420">
        <v>7.6147142817142859</v>
      </c>
      <c r="R141" s="420">
        <v>3.3949999810000002</v>
      </c>
      <c r="S141" s="420">
        <v>65.663999831428569</v>
      </c>
      <c r="T141" s="420">
        <v>20.922428674285715</v>
      </c>
      <c r="U141" s="420">
        <v>6.115428584</v>
      </c>
      <c r="V141" s="420">
        <v>12.034524235714285</v>
      </c>
      <c r="W141" s="420">
        <v>1.7482857022857143</v>
      </c>
      <c r="X141" s="420">
        <v>34.872856138571429</v>
      </c>
      <c r="Y141" s="420">
        <v>5.7421428814285713</v>
      </c>
    </row>
    <row r="142" spans="15:26">
      <c r="P142" s="419">
        <v>35</v>
      </c>
      <c r="Q142" s="420">
        <v>8.7815715245714294</v>
      </c>
      <c r="R142" s="420">
        <v>7.1025714534285722</v>
      </c>
      <c r="S142" s="420">
        <v>65.224427905714279</v>
      </c>
      <c r="T142" s="420">
        <v>19.458285740000001</v>
      </c>
      <c r="U142" s="420">
        <v>6.3137143680000003</v>
      </c>
      <c r="V142" s="420">
        <v>12.041607177142856</v>
      </c>
      <c r="W142" s="420">
        <v>1.75</v>
      </c>
      <c r="X142" s="420">
        <v>34.16142872428572</v>
      </c>
      <c r="Y142" s="420">
        <v>6.5945714541428577</v>
      </c>
    </row>
    <row r="143" spans="15:26">
      <c r="O143" s="418">
        <v>36</v>
      </c>
      <c r="P143" s="419">
        <v>36</v>
      </c>
      <c r="Q143" s="420">
        <v>8.2851428302857144</v>
      </c>
      <c r="R143" s="420">
        <v>6.7619999824285708</v>
      </c>
      <c r="S143" s="420">
        <v>60.719142914285719</v>
      </c>
      <c r="T143" s="420">
        <v>25.369000025714286</v>
      </c>
      <c r="U143" s="420">
        <v>5.8737142427142857</v>
      </c>
      <c r="V143" s="420">
        <v>12.055594308571429</v>
      </c>
      <c r="W143" s="420">
        <v>1.6425714154285713</v>
      </c>
      <c r="X143" s="420">
        <v>35.968571799999999</v>
      </c>
      <c r="Y143" s="420">
        <v>4.9847143037142851</v>
      </c>
      <c r="Z143" s="447"/>
    </row>
    <row r="144" spans="15:26">
      <c r="P144" s="419">
        <v>37</v>
      </c>
      <c r="Q144" s="420">
        <v>7.6475714954285712</v>
      </c>
      <c r="R144" s="420">
        <v>6.5272856442857137</v>
      </c>
      <c r="S144" s="420">
        <v>62.679428645714289</v>
      </c>
      <c r="T144" s="420">
        <v>28.136857168571428</v>
      </c>
      <c r="U144" s="420">
        <v>6.1154285838571436</v>
      </c>
      <c r="V144" s="420">
        <v>12.130952835714286</v>
      </c>
      <c r="W144" s="420">
        <v>1.6457142658571429</v>
      </c>
      <c r="X144" s="420">
        <v>34.324999674285714</v>
      </c>
      <c r="Y144" s="420">
        <v>5.502714293285714</v>
      </c>
    </row>
    <row r="145" spans="15:25">
      <c r="P145" s="419">
        <v>38</v>
      </c>
      <c r="Q145" s="420">
        <v>7.6971428571428575</v>
      </c>
      <c r="R145" s="420">
        <v>5.444285714285714</v>
      </c>
      <c r="S145" s="420">
        <v>65.47</v>
      </c>
      <c r="T145" s="420">
        <v>29.351428571428567</v>
      </c>
      <c r="U145" s="420">
        <v>6.8328571428571419</v>
      </c>
      <c r="V145" s="420">
        <v>12.194285714285716</v>
      </c>
      <c r="W145" s="420">
        <v>1.6014285714285712</v>
      </c>
      <c r="X145" s="420">
        <v>33.131428571428572</v>
      </c>
      <c r="Y145" s="420">
        <v>6.8414285714285716</v>
      </c>
    </row>
    <row r="146" spans="15:25">
      <c r="P146" s="419">
        <v>39</v>
      </c>
      <c r="Q146" s="420">
        <v>7.6702859061104887</v>
      </c>
      <c r="R146" s="420">
        <v>5.896142857415323</v>
      </c>
      <c r="S146" s="420">
        <v>72.930715288434641</v>
      </c>
      <c r="T146" s="420">
        <v>26.470285688127774</v>
      </c>
      <c r="U146" s="420">
        <v>9.2337144442966927</v>
      </c>
      <c r="V146" s="420">
        <v>12.167024339948341</v>
      </c>
      <c r="W146" s="420">
        <v>1.4285714115415273</v>
      </c>
      <c r="X146" s="420">
        <v>32.532142911638481</v>
      </c>
      <c r="Y146" s="420">
        <v>5.5879999569484111</v>
      </c>
    </row>
    <row r="147" spans="15:25">
      <c r="P147" s="419">
        <v>40</v>
      </c>
      <c r="Q147" s="420">
        <v>6.5494285314285721</v>
      </c>
      <c r="R147" s="420">
        <v>3.8238571030000004</v>
      </c>
      <c r="S147" s="420">
        <v>70.661287578571418</v>
      </c>
      <c r="T147" s="420">
        <v>28.190571377142856</v>
      </c>
      <c r="U147" s="420">
        <v>9.6928569934285722</v>
      </c>
      <c r="V147" s="420">
        <v>12.594642775714282</v>
      </c>
      <c r="W147" s="420">
        <v>1.3999999759999999</v>
      </c>
      <c r="X147" s="420">
        <v>36.384999957142853</v>
      </c>
      <c r="Y147" s="420">
        <v>8.0550000327142861</v>
      </c>
    </row>
    <row r="148" spans="15:25">
      <c r="P148" s="419">
        <v>41</v>
      </c>
      <c r="Q148" s="420">
        <v>8.096428529999999</v>
      </c>
      <c r="R148" s="420">
        <v>4.0404286040000006</v>
      </c>
      <c r="S148" s="420">
        <v>65.047571455714291</v>
      </c>
      <c r="T148" s="420">
        <v>47.010571615714284</v>
      </c>
      <c r="U148" s="420">
        <v>10.709857054714286</v>
      </c>
      <c r="V148" s="420">
        <v>13.274107117142858</v>
      </c>
      <c r="W148" s="420">
        <v>1.3785714251428571</v>
      </c>
      <c r="X148" s="420">
        <v>40.987143380000006</v>
      </c>
      <c r="Y148" s="420">
        <v>6.9969999451428562</v>
      </c>
    </row>
    <row r="149" spans="15:25">
      <c r="P149" s="419">
        <v>42</v>
      </c>
      <c r="Q149" s="420">
        <v>7.4685714285714289</v>
      </c>
      <c r="R149" s="420">
        <v>4.8257142857142856</v>
      </c>
      <c r="S149" s="420">
        <v>67.597142857142856</v>
      </c>
      <c r="T149" s="420">
        <v>47.291428571428575</v>
      </c>
      <c r="U149" s="420">
        <v>8.5642857142857132</v>
      </c>
      <c r="V149" s="420">
        <v>13.001428571428571</v>
      </c>
      <c r="W149" s="420">
        <v>1.3499999999999999</v>
      </c>
      <c r="X149" s="420">
        <v>37.554285714285712</v>
      </c>
      <c r="Y149" s="420">
        <v>6.2985714285714289</v>
      </c>
    </row>
    <row r="150" spans="15:25">
      <c r="P150" s="419">
        <v>43</v>
      </c>
      <c r="Q150" s="420">
        <v>8.9041427881428579</v>
      </c>
      <c r="R150" s="420">
        <v>7.354714223857143</v>
      </c>
      <c r="S150" s="420">
        <v>80.445570807142857</v>
      </c>
      <c r="T150" s="420">
        <v>71.934570317142857</v>
      </c>
      <c r="U150" s="420">
        <v>12.279142925142859</v>
      </c>
      <c r="V150" s="420">
        <v>13.139822822857143</v>
      </c>
      <c r="W150" s="420">
        <v>1.2642857177142857</v>
      </c>
      <c r="X150" s="420">
        <v>52.87071446142857</v>
      </c>
      <c r="Y150" s="420">
        <v>11.989999907285712</v>
      </c>
    </row>
    <row r="151" spans="15:25">
      <c r="O151" s="418">
        <v>44</v>
      </c>
      <c r="P151" s="419">
        <v>44</v>
      </c>
      <c r="Q151" s="420">
        <v>7.8245713370000001</v>
      </c>
      <c r="R151" s="420">
        <v>6.0929999348571409</v>
      </c>
      <c r="S151" s="420">
        <v>68.079284669999993</v>
      </c>
      <c r="T151" s="420">
        <v>33.011999948571429</v>
      </c>
      <c r="U151" s="420">
        <v>8.685571329857142</v>
      </c>
      <c r="V151" s="420">
        <v>13.275356975714287</v>
      </c>
      <c r="W151" s="420">
        <v>1.1857142621428574</v>
      </c>
      <c r="X151" s="420">
        <v>36.208572388571426</v>
      </c>
      <c r="Y151" s="420">
        <v>7.9394285338571438</v>
      </c>
    </row>
    <row r="152" spans="15:25">
      <c r="P152" s="419">
        <v>45</v>
      </c>
      <c r="Q152" s="420">
        <v>9.4607142031428566</v>
      </c>
      <c r="R152" s="420">
        <v>6.8107141777142859</v>
      </c>
      <c r="S152" s="420">
        <v>71.555715832857132</v>
      </c>
      <c r="T152" s="420">
        <v>77.119000028571435</v>
      </c>
      <c r="U152" s="420">
        <v>11.169571467285715</v>
      </c>
      <c r="V152" s="420">
        <v>14</v>
      </c>
      <c r="W152" s="420">
        <v>1.1200000049999999</v>
      </c>
      <c r="X152" s="420">
        <v>61.867856707142856</v>
      </c>
      <c r="Y152" s="420">
        <v>10.621285710571428</v>
      </c>
    </row>
    <row r="153" spans="15:25">
      <c r="P153" s="419">
        <v>46</v>
      </c>
      <c r="Q153" s="420">
        <v>9.3077141910000005</v>
      </c>
      <c r="R153" s="420">
        <v>7.0327142307142854</v>
      </c>
      <c r="S153" s="420">
        <v>91.077428547142858</v>
      </c>
      <c r="T153" s="420">
        <v>102.37485722571429</v>
      </c>
      <c r="U153" s="420">
        <v>13.601000102857142</v>
      </c>
      <c r="V153" s="420">
        <v>14.050535747142858</v>
      </c>
      <c r="W153" s="420">
        <v>1.1085714441428569</v>
      </c>
      <c r="X153" s="420">
        <v>108.26642826857143</v>
      </c>
      <c r="Y153" s="420">
        <v>19.484428541428574</v>
      </c>
    </row>
    <row r="154" spans="15:25">
      <c r="P154" s="419">
        <v>47</v>
      </c>
      <c r="Q154" s="420">
        <v>9.4625713492857138</v>
      </c>
      <c r="R154" s="420">
        <v>5.5844285494285719</v>
      </c>
      <c r="S154" s="420">
        <v>81.972856794285704</v>
      </c>
      <c r="T154" s="420">
        <v>82.511857174285723</v>
      </c>
      <c r="U154" s="420">
        <v>10.628571509714286</v>
      </c>
      <c r="V154" s="420">
        <v>13.985775811428573</v>
      </c>
      <c r="W154" s="420">
        <v>1.1000000240000001</v>
      </c>
      <c r="X154" s="420">
        <v>123.16000039999999</v>
      </c>
      <c r="Y154" s="420">
        <v>19.475428171428575</v>
      </c>
    </row>
    <row r="155" spans="15:25">
      <c r="P155" s="419">
        <v>48</v>
      </c>
      <c r="Q155" s="420">
        <v>10.788142817999999</v>
      </c>
      <c r="R155" s="420">
        <v>7.5644286014285722</v>
      </c>
      <c r="S155" s="420">
        <v>84.626999989999987</v>
      </c>
      <c r="T155" s="420">
        <v>67.75</v>
      </c>
      <c r="U155" s="420">
        <v>8.4404285975714277</v>
      </c>
      <c r="V155" s="420">
        <v>13.781128474285714</v>
      </c>
      <c r="W155" s="420">
        <v>1.1000000240000001</v>
      </c>
      <c r="X155" s="420">
        <v>94.382143292857137</v>
      </c>
      <c r="Y155" s="420">
        <v>16.918428555714282</v>
      </c>
    </row>
    <row r="156" spans="15:25">
      <c r="P156" s="419">
        <v>49</v>
      </c>
      <c r="Q156" s="420">
        <v>12.195857184142856</v>
      </c>
      <c r="R156" s="420">
        <v>8.7971429828571424</v>
      </c>
      <c r="S156" s="420">
        <v>127.52371543</v>
      </c>
      <c r="T156" s="420">
        <v>92.821572431428564</v>
      </c>
      <c r="U156" s="420">
        <v>12.563142707428572</v>
      </c>
      <c r="V156" s="420">
        <v>13.148691448571428</v>
      </c>
      <c r="W156" s="420">
        <v>1.1000000000000001</v>
      </c>
      <c r="X156" s="420">
        <v>134.38285718142859</v>
      </c>
      <c r="Y156" s="420">
        <v>23.580285755714289</v>
      </c>
    </row>
    <row r="157" spans="15:25">
      <c r="P157" s="419">
        <v>50</v>
      </c>
      <c r="Q157" s="420">
        <v>12.195857184142856</v>
      </c>
      <c r="R157" s="420">
        <v>8.7971429828571424</v>
      </c>
      <c r="S157" s="420">
        <v>183.5428575857143</v>
      </c>
      <c r="T157" s="420">
        <v>117.73200008285714</v>
      </c>
      <c r="U157" s="420">
        <v>21.506999832857144</v>
      </c>
      <c r="V157" s="420">
        <v>12.61392865857143</v>
      </c>
      <c r="W157" s="420">
        <v>1.1014285939999999</v>
      </c>
      <c r="X157" s="420">
        <v>210.99928282857144</v>
      </c>
      <c r="Y157" s="420">
        <v>41.892142702857143</v>
      </c>
    </row>
    <row r="158" spans="15:25">
      <c r="P158" s="419">
        <v>51</v>
      </c>
      <c r="Q158" s="420">
        <v>18.622142792857144</v>
      </c>
      <c r="R158" s="420">
        <v>18.057571141428571</v>
      </c>
      <c r="S158" s="420">
        <v>292.95071844285718</v>
      </c>
      <c r="T158" s="420">
        <v>180.44057028571427</v>
      </c>
      <c r="U158" s="420">
        <v>47.032857078571432</v>
      </c>
      <c r="V158" s="420">
        <v>12.600475584285714</v>
      </c>
      <c r="W158" s="420">
        <v>1.1000000240000001</v>
      </c>
      <c r="X158" s="420">
        <v>166.85428727142857</v>
      </c>
      <c r="Y158" s="420">
        <v>39.827428544285716</v>
      </c>
    </row>
    <row r="159" spans="15:25">
      <c r="P159" s="419">
        <v>52</v>
      </c>
      <c r="Q159" s="420">
        <v>29.98</v>
      </c>
      <c r="R159" s="420">
        <v>19.592142921428572</v>
      </c>
      <c r="S159" s="420">
        <v>381.11599999999993</v>
      </c>
      <c r="T159" s="420">
        <v>222.82728794285717</v>
      </c>
      <c r="U159" s="420">
        <v>45.963714052857135</v>
      </c>
      <c r="V159" s="420">
        <v>12.617798667142859</v>
      </c>
      <c r="W159" s="420">
        <v>1.4000000274285713</v>
      </c>
      <c r="X159" s="420">
        <v>293.28928701428578</v>
      </c>
      <c r="Y159" s="420">
        <v>62.57285690285714</v>
      </c>
    </row>
    <row r="160" spans="15:25">
      <c r="O160" s="418">
        <v>53</v>
      </c>
      <c r="P160" s="419">
        <v>53</v>
      </c>
      <c r="Q160" s="420">
        <v>16.182714325714286</v>
      </c>
      <c r="R160" s="420">
        <v>8.7855713015714283</v>
      </c>
      <c r="S160" s="420">
        <v>271.83385794285715</v>
      </c>
      <c r="T160" s="420">
        <v>172.15485925714285</v>
      </c>
      <c r="U160" s="420">
        <v>29.933428355714284</v>
      </c>
      <c r="V160" s="420">
        <v>12.85226127</v>
      </c>
      <c r="W160" s="420">
        <v>1.4571428811428571</v>
      </c>
      <c r="X160" s="420">
        <v>278.16286141428571</v>
      </c>
      <c r="Y160" s="420">
        <v>97.806430279999987</v>
      </c>
    </row>
    <row r="161" spans="13:32">
      <c r="N161" s="418">
        <v>2020</v>
      </c>
      <c r="P161" s="419">
        <v>1</v>
      </c>
      <c r="Q161" s="420">
        <v>12.763571330479184</v>
      </c>
      <c r="R161" s="420">
        <v>7.4842857292720009</v>
      </c>
      <c r="S161" s="420">
        <v>176.20814078194715</v>
      </c>
      <c r="T161" s="420">
        <v>130.2321406773155</v>
      </c>
      <c r="U161" s="420">
        <v>24.27742849077493</v>
      </c>
      <c r="V161" s="420">
        <v>14.514315741402715</v>
      </c>
      <c r="W161" s="420">
        <v>2.278571367263786</v>
      </c>
      <c r="X161" s="420">
        <v>468.15499877929659</v>
      </c>
      <c r="Y161" s="420">
        <v>152.80385916573601</v>
      </c>
    </row>
    <row r="162" spans="13:32">
      <c r="P162" s="419">
        <v>2</v>
      </c>
      <c r="Q162" s="420">
        <v>13.386285781428571</v>
      </c>
      <c r="R162" s="420">
        <v>6.9174285272857139</v>
      </c>
      <c r="S162" s="420">
        <v>159.75199889999999</v>
      </c>
      <c r="T162" s="420">
        <v>106.97614288285715</v>
      </c>
      <c r="U162" s="420">
        <v>30.680286678571431</v>
      </c>
      <c r="V162" s="420">
        <v>13.21958133142857</v>
      </c>
      <c r="W162" s="420">
        <v>1.8857142757142857</v>
      </c>
      <c r="X162" s="420">
        <v>213.59428187142859</v>
      </c>
      <c r="Y162" s="420">
        <v>97.949856347142855</v>
      </c>
    </row>
    <row r="163" spans="13:32">
      <c r="P163" s="419">
        <v>3</v>
      </c>
      <c r="Q163" s="420">
        <v>15.196428435714285</v>
      </c>
      <c r="R163" s="420">
        <v>11.330428599714283</v>
      </c>
      <c r="S163" s="420">
        <v>243.87700107142857</v>
      </c>
      <c r="T163" s="420">
        <v>137.04186028571428</v>
      </c>
      <c r="U163" s="420">
        <v>40.240000044285715</v>
      </c>
      <c r="V163" s="420">
        <v>16.855534282857143</v>
      </c>
      <c r="W163" s="420">
        <v>6.3075712748571418</v>
      </c>
      <c r="X163" s="420">
        <v>247.26214164285713</v>
      </c>
      <c r="Y163" s="420">
        <v>78.131857190000005</v>
      </c>
    </row>
    <row r="164" spans="13:32">
      <c r="P164" s="419">
        <v>4</v>
      </c>
      <c r="Q164" s="420">
        <v>16.57199968714286</v>
      </c>
      <c r="R164" s="420">
        <v>12.821999958571428</v>
      </c>
      <c r="S164" s="420">
        <v>236.61043005714285</v>
      </c>
      <c r="T164" s="420">
        <v>121.29742760000001</v>
      </c>
      <c r="U164" s="420">
        <v>26.470714297142855</v>
      </c>
      <c r="V164" s="420">
        <v>22.011848449999999</v>
      </c>
      <c r="W164" s="420">
        <v>4.3669999327142861</v>
      </c>
      <c r="X164" s="420">
        <v>212.78856985714287</v>
      </c>
      <c r="Y164" s="420">
        <v>52.875</v>
      </c>
    </row>
    <row r="165" spans="13:32">
      <c r="P165" s="419">
        <v>5</v>
      </c>
      <c r="Q165" s="420">
        <v>25.675428661428576</v>
      </c>
      <c r="R165" s="420">
        <v>18.254856927142857</v>
      </c>
      <c r="S165" s="420">
        <v>392.82542635714287</v>
      </c>
      <c r="T165" s="420">
        <v>216.11300005714287</v>
      </c>
      <c r="U165" s="420">
        <v>48.707714625714289</v>
      </c>
      <c r="V165" s="420">
        <v>14.496191432857142</v>
      </c>
      <c r="W165" s="420">
        <v>2.6891428574285712</v>
      </c>
      <c r="X165" s="420">
        <v>410.15428595714286</v>
      </c>
      <c r="Y165" s="420">
        <v>99.128998899999985</v>
      </c>
    </row>
    <row r="166" spans="13:32">
      <c r="P166" s="419">
        <v>6</v>
      </c>
      <c r="Q166" s="420">
        <v>22.638571330479174</v>
      </c>
      <c r="R166" s="420">
        <v>17.332571574619813</v>
      </c>
      <c r="S166" s="420">
        <v>448.59157017299066</v>
      </c>
      <c r="T166" s="420">
        <v>221.35714285714261</v>
      </c>
      <c r="U166" s="420">
        <v>51.925000326974022</v>
      </c>
      <c r="V166" s="420">
        <v>17.659045491899729</v>
      </c>
      <c r="W166" s="420">
        <v>9.7964284079415354</v>
      </c>
      <c r="X166" s="420">
        <v>622.45499965122758</v>
      </c>
      <c r="Y166" s="420">
        <v>151.47385733468144</v>
      </c>
    </row>
    <row r="167" spans="13:32">
      <c r="P167" s="419">
        <v>7</v>
      </c>
      <c r="Q167" s="420">
        <v>24.818285805714286</v>
      </c>
      <c r="R167" s="420">
        <v>19.436000279999998</v>
      </c>
      <c r="S167" s="420">
        <v>374.25799560000002</v>
      </c>
      <c r="T167" s="420">
        <v>142.54771639999998</v>
      </c>
      <c r="U167" s="420">
        <v>37.997142247142854</v>
      </c>
      <c r="V167" s="420">
        <v>23.642735891428568</v>
      </c>
      <c r="W167" s="420">
        <v>10.810714449000001</v>
      </c>
      <c r="X167" s="420">
        <v>434.32357352857144</v>
      </c>
      <c r="Y167" s="420">
        <v>148.12728554285715</v>
      </c>
    </row>
    <row r="168" spans="13:32">
      <c r="O168" s="418">
        <v>8</v>
      </c>
      <c r="P168" s="419">
        <v>8</v>
      </c>
      <c r="Q168" s="420">
        <v>16.877285957336387</v>
      </c>
      <c r="R168" s="420">
        <v>13.084142684936484</v>
      </c>
      <c r="S168" s="420">
        <v>289.19357081821948</v>
      </c>
      <c r="T168" s="420">
        <v>162.01200212751087</v>
      </c>
      <c r="U168" s="420">
        <v>30.780285699026873</v>
      </c>
      <c r="V168" s="420">
        <v>23.681545802525072</v>
      </c>
      <c r="W168" s="420">
        <v>21.290571621486073</v>
      </c>
      <c r="X168" s="420">
        <v>403.40571376255542</v>
      </c>
      <c r="Y168" s="420">
        <v>143.28899928501644</v>
      </c>
    </row>
    <row r="169" spans="13:32">
      <c r="P169" s="419">
        <v>9</v>
      </c>
      <c r="Q169" s="420">
        <v>20.463000162857146</v>
      </c>
      <c r="R169" s="420">
        <v>16.131428717142857</v>
      </c>
      <c r="S169" s="420">
        <v>302.38613892857137</v>
      </c>
      <c r="T169" s="420">
        <v>174.72028894285717</v>
      </c>
      <c r="U169" s="420">
        <v>36.13400023285714</v>
      </c>
      <c r="V169" s="420">
        <v>23.625475747142854</v>
      </c>
      <c r="W169" s="420">
        <v>11.064000130142858</v>
      </c>
      <c r="X169" s="420">
        <v>388.35356794285718</v>
      </c>
      <c r="Y169" s="420">
        <v>84.357999531428575</v>
      </c>
    </row>
    <row r="170" spans="13:32">
      <c r="P170" s="419">
        <v>10</v>
      </c>
      <c r="Q170" s="420">
        <v>20.001714159999999</v>
      </c>
      <c r="R170" s="420">
        <v>16.133428572857145</v>
      </c>
      <c r="S170" s="420">
        <v>219.49971445714283</v>
      </c>
      <c r="T170" s="420">
        <v>118.91071428571429</v>
      </c>
      <c r="U170" s="420">
        <v>22.61842863857143</v>
      </c>
      <c r="V170" s="420">
        <v>23.72583552857143</v>
      </c>
      <c r="W170" s="420">
        <v>5.0324285712857142</v>
      </c>
      <c r="X170" s="420">
        <v>317.96785625714284</v>
      </c>
      <c r="Y170" s="420">
        <v>76.472572329999977</v>
      </c>
    </row>
    <row r="171" spans="13:32" s="725" customFormat="1">
      <c r="M171" s="418"/>
      <c r="N171" s="418"/>
      <c r="O171" s="418"/>
      <c r="P171" s="419">
        <v>11</v>
      </c>
      <c r="Q171" s="420">
        <v>20.464285714285715</v>
      </c>
      <c r="R171" s="420">
        <v>16.275285719999999</v>
      </c>
      <c r="S171" s="420">
        <v>210.39014761428572</v>
      </c>
      <c r="T171" s="420">
        <v>145.36899785714286</v>
      </c>
      <c r="U171" s="420">
        <v>39.343428748571434</v>
      </c>
      <c r="V171" s="420">
        <v>23.714347295714287</v>
      </c>
      <c r="W171" s="420">
        <v>12.165999821428571</v>
      </c>
      <c r="X171" s="420">
        <v>377.62500435714281</v>
      </c>
      <c r="Y171" s="420">
        <v>110.78628649857141</v>
      </c>
      <c r="Z171" s="408"/>
      <c r="AA171" s="298"/>
      <c r="AB171" s="298"/>
      <c r="AC171" s="298"/>
      <c r="AD171" s="298"/>
      <c r="AE171" s="286"/>
      <c r="AF171" s="286"/>
    </row>
    <row r="172" spans="13:32" s="725" customFormat="1">
      <c r="M172" s="418"/>
      <c r="N172" s="418"/>
      <c r="O172" s="418"/>
      <c r="P172" s="419">
        <v>12</v>
      </c>
      <c r="Q172" s="420">
        <v>23.032714026314846</v>
      </c>
      <c r="R172" s="420">
        <v>20.180714198521169</v>
      </c>
      <c r="S172" s="420">
        <v>335.19785417829189</v>
      </c>
      <c r="T172" s="420">
        <v>171.26185716901472</v>
      </c>
      <c r="U172" s="420">
        <v>46.286999838692772</v>
      </c>
      <c r="V172" s="420">
        <v>23.623331614903002</v>
      </c>
      <c r="W172" s="420">
        <v>11.119714055742502</v>
      </c>
      <c r="X172" s="420">
        <v>380.85929216657314</v>
      </c>
      <c r="Y172" s="420">
        <v>113.32999965122723</v>
      </c>
      <c r="Z172" s="408"/>
      <c r="AA172" s="298"/>
      <c r="AB172" s="298"/>
      <c r="AC172" s="298"/>
      <c r="AD172" s="298"/>
      <c r="AE172" s="286"/>
      <c r="AF172" s="286"/>
    </row>
    <row r="173" spans="13:32" s="725" customFormat="1">
      <c r="M173" s="418"/>
      <c r="N173" s="418"/>
      <c r="O173" s="418"/>
      <c r="P173" s="419">
        <v>13</v>
      </c>
      <c r="Q173" s="420">
        <v>27.558857236589642</v>
      </c>
      <c r="R173" s="420">
        <v>21.319143022809669</v>
      </c>
      <c r="S173" s="420">
        <v>569.31741768973188</v>
      </c>
      <c r="T173" s="420">
        <v>241.59529113769531</v>
      </c>
      <c r="U173" s="420">
        <v>63.414285387311629</v>
      </c>
      <c r="V173" s="420">
        <v>22.128154209681874</v>
      </c>
      <c r="W173" s="420">
        <v>6.0048571995326432</v>
      </c>
      <c r="X173" s="420">
        <v>332.15285818917374</v>
      </c>
      <c r="Y173" s="420">
        <v>97.158571515764294</v>
      </c>
      <c r="Z173" s="408"/>
      <c r="AA173" s="298"/>
      <c r="AB173" s="298"/>
      <c r="AC173" s="298"/>
      <c r="AD173" s="298"/>
      <c r="AE173" s="286"/>
      <c r="AF173" s="286"/>
    </row>
    <row r="174" spans="13:32" s="725" customFormat="1">
      <c r="M174" s="418"/>
      <c r="N174" s="418"/>
      <c r="O174" s="418"/>
      <c r="P174" s="419">
        <v>14</v>
      </c>
      <c r="Q174" s="420">
        <v>18.795857294285714</v>
      </c>
      <c r="R174" s="420">
        <v>18.168000220000003</v>
      </c>
      <c r="S174" s="420">
        <v>298.48543221428571</v>
      </c>
      <c r="T174" s="420">
        <v>156.28586031428571</v>
      </c>
      <c r="U174" s="420">
        <v>40.567142485714285</v>
      </c>
      <c r="V174" s="420">
        <v>21.36</v>
      </c>
      <c r="W174" s="420">
        <v>4.6619999238571435</v>
      </c>
      <c r="X174" s="420">
        <v>272.16142927142863</v>
      </c>
      <c r="Y174" s="420">
        <v>87.023999895714283</v>
      </c>
      <c r="Z174" s="408"/>
      <c r="AA174" s="298"/>
      <c r="AB174" s="298"/>
      <c r="AC174" s="298"/>
      <c r="AD174" s="298"/>
      <c r="AE174" s="286"/>
      <c r="AF174" s="286"/>
    </row>
    <row r="175" spans="13:32">
      <c r="P175" s="419">
        <v>15</v>
      </c>
      <c r="Q175" s="838">
        <v>16.380999974285714</v>
      </c>
      <c r="R175" s="838">
        <v>14.786285537142858</v>
      </c>
      <c r="S175" s="838">
        <v>196.30642698571427</v>
      </c>
      <c r="T175" s="838">
        <v>126.20242854857143</v>
      </c>
      <c r="U175" s="838">
        <v>27.609000341428576</v>
      </c>
      <c r="V175" s="838">
        <v>23.601429802857144</v>
      </c>
      <c r="W175" s="838">
        <v>2.5870000464285714</v>
      </c>
      <c r="X175" s="838">
        <v>174.17928642857143</v>
      </c>
      <c r="Y175" s="838">
        <v>56.692000798571428</v>
      </c>
    </row>
    <row r="176" spans="13:32">
      <c r="O176" s="418">
        <v>16</v>
      </c>
      <c r="P176" s="419">
        <v>16</v>
      </c>
      <c r="Q176" s="420">
        <v>15.142857142857142</v>
      </c>
      <c r="R176" s="420">
        <v>11.113285608857142</v>
      </c>
      <c r="S176" s="420">
        <v>144.25785718571427</v>
      </c>
      <c r="T176" s="420">
        <v>112.32742854857143</v>
      </c>
      <c r="U176" s="420">
        <v>23.319143022857144</v>
      </c>
      <c r="V176" s="420">
        <v>16.145714351428573</v>
      </c>
      <c r="W176" s="420">
        <v>1.9568571534285717</v>
      </c>
      <c r="X176" s="420">
        <v>124.01500048571428</v>
      </c>
      <c r="Y176" s="420">
        <v>41.578285762857142</v>
      </c>
    </row>
    <row r="177" spans="13:32" s="725" customFormat="1">
      <c r="M177" s="418"/>
      <c r="N177" s="418"/>
      <c r="O177" s="418"/>
      <c r="P177" s="419">
        <v>17</v>
      </c>
      <c r="Q177" s="420">
        <v>14.535142626081141</v>
      </c>
      <c r="R177" s="420">
        <v>7.95871441704886</v>
      </c>
      <c r="S177" s="420">
        <v>118.61742946079741</v>
      </c>
      <c r="T177" s="420">
        <v>86.636999947684131</v>
      </c>
      <c r="U177" s="420">
        <v>19.662570953369116</v>
      </c>
      <c r="V177" s="420">
        <v>14.007261548723459</v>
      </c>
      <c r="W177" s="420">
        <v>2.0897142546517471</v>
      </c>
      <c r="X177" s="420">
        <v>109.72071402413471</v>
      </c>
      <c r="Y177" s="420">
        <v>32.277857099260544</v>
      </c>
      <c r="Z177" s="408"/>
      <c r="AA177" s="298"/>
      <c r="AB177" s="298"/>
      <c r="AC177" s="298"/>
      <c r="AD177" s="298"/>
      <c r="AE177" s="286"/>
      <c r="AF177" s="286"/>
    </row>
    <row r="178" spans="13:32" s="725" customFormat="1">
      <c r="M178" s="418"/>
      <c r="N178" s="418"/>
      <c r="O178" s="418"/>
      <c r="P178" s="419">
        <v>18</v>
      </c>
      <c r="Q178" s="420">
        <v>15.919285638571427</v>
      </c>
      <c r="R178" s="420">
        <v>12.133857388142859</v>
      </c>
      <c r="S178" s="420">
        <v>119.46943012857146</v>
      </c>
      <c r="T178" s="420">
        <v>95.79771531714286</v>
      </c>
      <c r="U178" s="420">
        <v>21.329571314285715</v>
      </c>
      <c r="V178" s="420">
        <v>12.484048571428572</v>
      </c>
      <c r="W178" s="420">
        <v>2.074857081857143</v>
      </c>
      <c r="X178" s="420">
        <v>121.69785745714287</v>
      </c>
      <c r="Y178" s="420">
        <v>27.218570980000003</v>
      </c>
      <c r="Z178" s="408"/>
      <c r="AA178" s="298"/>
      <c r="AB178" s="298"/>
      <c r="AC178" s="298"/>
      <c r="AD178" s="298"/>
      <c r="AE178" s="286"/>
      <c r="AF178" s="286"/>
    </row>
    <row r="179" spans="13:32" s="725" customFormat="1">
      <c r="M179" s="418"/>
      <c r="N179" s="418"/>
      <c r="O179" s="418"/>
      <c r="P179" s="419">
        <v>19</v>
      </c>
      <c r="Q179" s="420">
        <v>16.148714472857144</v>
      </c>
      <c r="R179" s="420">
        <v>14.776714189999998</v>
      </c>
      <c r="S179" s="420">
        <v>179.62085941428572</v>
      </c>
      <c r="T179" s="420">
        <v>63.654857091428575</v>
      </c>
      <c r="U179" s="420">
        <v>18.961428234285709</v>
      </c>
      <c r="V179" s="420">
        <v>11.436902861999998</v>
      </c>
      <c r="W179" s="420">
        <v>1.6491428614285712</v>
      </c>
      <c r="X179" s="420">
        <v>98.23285565285714</v>
      </c>
      <c r="Y179" s="420">
        <v>23.996714454285712</v>
      </c>
      <c r="Z179" s="408"/>
      <c r="AA179" s="298"/>
      <c r="AB179" s="298"/>
      <c r="AC179" s="298"/>
      <c r="AD179" s="298"/>
      <c r="AE179" s="286"/>
      <c r="AF179" s="286"/>
    </row>
    <row r="180" spans="13:32" s="725" customFormat="1">
      <c r="M180" s="418"/>
      <c r="N180" s="418"/>
      <c r="O180" s="418"/>
      <c r="P180" s="419">
        <v>20</v>
      </c>
      <c r="Q180" s="420">
        <v>13.91285719</v>
      </c>
      <c r="R180" s="420">
        <v>10.484285559</v>
      </c>
      <c r="S180" s="420">
        <v>132.41042655714287</v>
      </c>
      <c r="T180" s="420">
        <v>63.017857142857146</v>
      </c>
      <c r="U180" s="420">
        <v>17.724285941428572</v>
      </c>
      <c r="V180" s="420">
        <v>12.01881</v>
      </c>
      <c r="W180" s="420">
        <v>1.6491428614285712</v>
      </c>
      <c r="X180" s="420">
        <v>74.486427307142861</v>
      </c>
      <c r="Y180" s="420">
        <v>27.218570980000003</v>
      </c>
      <c r="Z180" s="408"/>
      <c r="AA180" s="298"/>
      <c r="AB180" s="298"/>
      <c r="AC180" s="298"/>
      <c r="AD180" s="298"/>
      <c r="AE180" s="286"/>
      <c r="AF180" s="286"/>
    </row>
    <row r="181" spans="13:32" s="725" customFormat="1">
      <c r="M181" s="418"/>
      <c r="N181" s="418"/>
      <c r="O181" s="418"/>
      <c r="P181" s="419">
        <v>21</v>
      </c>
      <c r="Q181" s="420">
        <v>12.832571710859</v>
      </c>
      <c r="R181" s="420">
        <v>8.7072857448032899</v>
      </c>
      <c r="S181" s="420">
        <v>118.96285901750787</v>
      </c>
      <c r="T181" s="420">
        <v>55.553428649902308</v>
      </c>
      <c r="U181" s="420">
        <v>14.547714369637587</v>
      </c>
      <c r="V181" s="420">
        <v>11.963334356035457</v>
      </c>
      <c r="W181" s="420">
        <v>1.6175714560917398</v>
      </c>
      <c r="X181" s="420">
        <v>66.354285648890865</v>
      </c>
      <c r="Y181" s="420">
        <v>17.639571326119512</v>
      </c>
      <c r="Z181" s="408"/>
      <c r="AA181" s="298"/>
      <c r="AB181" s="298"/>
      <c r="AC181" s="298"/>
      <c r="AD181" s="298"/>
      <c r="AE181" s="286"/>
      <c r="AF181" s="286"/>
    </row>
    <row r="182" spans="13:32" s="725" customFormat="1">
      <c r="M182" s="418"/>
      <c r="N182" s="418"/>
      <c r="O182" s="418"/>
      <c r="P182" s="419">
        <v>22</v>
      </c>
      <c r="Q182" s="420">
        <v>11.589857237142857</v>
      </c>
      <c r="R182" s="420">
        <v>7.6087141037142851</v>
      </c>
      <c r="S182" s="420">
        <v>92.527713229999989</v>
      </c>
      <c r="T182" s="420">
        <v>48.85114288285714</v>
      </c>
      <c r="U182" s="420">
        <v>12.851142882857143</v>
      </c>
      <c r="V182" s="420">
        <v>11.972144264285713</v>
      </c>
      <c r="W182" s="420">
        <v>1.7258571555714286</v>
      </c>
      <c r="X182" s="420">
        <v>60.742857795714293</v>
      </c>
      <c r="Y182" s="420">
        <v>13.389714241428573</v>
      </c>
      <c r="Z182" s="408"/>
      <c r="AA182" s="298"/>
      <c r="AB182" s="298"/>
      <c r="AC182" s="298"/>
      <c r="AD182" s="298"/>
      <c r="AE182" s="286"/>
      <c r="AF182" s="286"/>
    </row>
    <row r="183" spans="13:32" s="725" customFormat="1">
      <c r="M183" s="418"/>
      <c r="N183" s="418"/>
      <c r="O183" s="418"/>
      <c r="P183" s="419">
        <v>23</v>
      </c>
      <c r="Q183" s="420">
        <v>10.866000038571428</v>
      </c>
      <c r="R183" s="420">
        <v>6.6898570742857144</v>
      </c>
      <c r="S183" s="420">
        <v>86.262142725714284</v>
      </c>
      <c r="T183" s="420">
        <v>49.02971431142857</v>
      </c>
      <c r="U183" s="420">
        <v>13.300571305714286</v>
      </c>
      <c r="V183" s="420">
        <v>12.060297148571431</v>
      </c>
      <c r="W183" s="420">
        <v>2.2755714314285713</v>
      </c>
      <c r="X183" s="420">
        <v>60.932143074285719</v>
      </c>
      <c r="Y183" s="420">
        <v>13.06000001</v>
      </c>
      <c r="Z183" s="408"/>
      <c r="AA183" s="298"/>
      <c r="AB183" s="298"/>
      <c r="AC183" s="298"/>
      <c r="AD183" s="298"/>
      <c r="AE183" s="286"/>
      <c r="AF183" s="286"/>
    </row>
    <row r="184" spans="13:32" s="725" customFormat="1">
      <c r="M184" s="418"/>
      <c r="N184" s="418"/>
      <c r="O184" s="418">
        <v>24</v>
      </c>
      <c r="P184" s="839">
        <v>24</v>
      </c>
      <c r="Q184" s="420">
        <v>10.893428530011814</v>
      </c>
      <c r="R184" s="420">
        <v>6.3937142235892095</v>
      </c>
      <c r="S184" s="420">
        <v>80.154999869210343</v>
      </c>
      <c r="T184" s="420">
        <v>39.363000052315797</v>
      </c>
      <c r="U184" s="420">
        <v>11.205857140677287</v>
      </c>
      <c r="V184" s="420">
        <v>12.025059972490542</v>
      </c>
      <c r="W184" s="420">
        <v>2.2755714314324473</v>
      </c>
      <c r="X184" s="420">
        <v>56.771429334367994</v>
      </c>
      <c r="Y184" s="420">
        <v>10.094714164733857</v>
      </c>
      <c r="Z184" s="408"/>
      <c r="AA184" s="298"/>
      <c r="AB184" s="298"/>
      <c r="AC184" s="298"/>
      <c r="AD184" s="298"/>
      <c r="AE184" s="286"/>
      <c r="AF184" s="286"/>
    </row>
    <row r="185" spans="13:32" s="725" customFormat="1">
      <c r="M185" s="418"/>
      <c r="N185" s="418"/>
      <c r="O185" s="418"/>
      <c r="P185" s="839">
        <v>25</v>
      </c>
      <c r="Q185" s="420">
        <v>9.7685713087142858</v>
      </c>
      <c r="R185" s="420">
        <v>5.4858571460000007</v>
      </c>
      <c r="S185" s="420">
        <v>71.438000270000003</v>
      </c>
      <c r="T185" s="420">
        <v>31.88514287142857</v>
      </c>
      <c r="U185" s="420">
        <v>9.1724285395714276</v>
      </c>
      <c r="V185" s="420">
        <v>11.867550168571428</v>
      </c>
      <c r="W185" s="420">
        <v>1.7577142885714285</v>
      </c>
      <c r="X185" s="420">
        <v>51.780714305714291</v>
      </c>
      <c r="Y185" s="420">
        <v>9.1595716474285691</v>
      </c>
      <c r="Z185" s="408"/>
      <c r="AA185" s="298"/>
      <c r="AB185" s="298"/>
      <c r="AC185" s="298"/>
      <c r="AD185" s="298"/>
      <c r="AE185" s="286"/>
      <c r="AF185" s="286"/>
    </row>
    <row r="186" spans="13:32" s="725" customFormat="1">
      <c r="M186" s="418"/>
      <c r="N186" s="418"/>
      <c r="O186" s="418"/>
      <c r="P186" s="839">
        <v>26</v>
      </c>
      <c r="Q186" s="420">
        <v>9.3011428291428579</v>
      </c>
      <c r="R186" s="420">
        <v>5.6422856875714285</v>
      </c>
      <c r="S186" s="420">
        <v>70.798141479999998</v>
      </c>
      <c r="T186" s="420">
        <v>29.80342864857143</v>
      </c>
      <c r="U186" s="420">
        <v>8.6642858641428564</v>
      </c>
      <c r="V186" s="420">
        <v>11.961507115714285</v>
      </c>
      <c r="W186" s="420">
        <v>1.7387143204285713</v>
      </c>
      <c r="X186" s="420">
        <v>47.265713828571435</v>
      </c>
      <c r="Y186" s="420">
        <v>8.8348572594285706</v>
      </c>
      <c r="Z186" s="408"/>
      <c r="AA186" s="298"/>
      <c r="AB186" s="298"/>
      <c r="AC186" s="298"/>
      <c r="AD186" s="298"/>
      <c r="AE186" s="286"/>
      <c r="AF186" s="286"/>
    </row>
    <row r="187" spans="13:32" s="725" customFormat="1">
      <c r="M187" s="418"/>
      <c r="N187" s="418"/>
      <c r="O187" s="418"/>
      <c r="P187" s="839">
        <v>27</v>
      </c>
      <c r="Q187" s="420">
        <v>9.0898572376796078</v>
      </c>
      <c r="R187" s="420">
        <v>4.8411428587777223</v>
      </c>
      <c r="S187" s="420">
        <v>72.323284694126613</v>
      </c>
      <c r="T187" s="420">
        <v>28.875142778669062</v>
      </c>
      <c r="U187" s="420">
        <v>8.3150001253400507</v>
      </c>
      <c r="V187" s="420">
        <v>12.125935554504371</v>
      </c>
      <c r="W187" s="420">
        <v>2.0545714242117699</v>
      </c>
      <c r="X187" s="420">
        <v>44.601428440638877</v>
      </c>
      <c r="Y187" s="420">
        <v>8.4665715353829452</v>
      </c>
      <c r="Z187" s="408"/>
      <c r="AA187" s="298"/>
      <c r="AB187" s="298"/>
      <c r="AC187" s="298"/>
      <c r="AD187" s="298"/>
      <c r="AE187" s="286"/>
      <c r="AF187" s="286"/>
    </row>
    <row r="188" spans="13:32" s="725" customFormat="1">
      <c r="M188" s="418"/>
      <c r="N188" s="418"/>
      <c r="O188" s="418"/>
      <c r="P188" s="839">
        <v>28</v>
      </c>
      <c r="Q188" s="420">
        <v>8.3315715788571421</v>
      </c>
      <c r="R188" s="420">
        <v>4.0902857780000001</v>
      </c>
      <c r="S188" s="420">
        <v>70.352427891428562</v>
      </c>
      <c r="T188" s="420">
        <v>27.071428571428573</v>
      </c>
      <c r="U188" s="420">
        <v>7.9792855807142846</v>
      </c>
      <c r="V188" s="420">
        <v>12.036131450000001</v>
      </c>
      <c r="W188" s="420">
        <v>1.862857103571429</v>
      </c>
      <c r="X188" s="420">
        <v>42.742857252857149</v>
      </c>
      <c r="Y188" s="420">
        <v>7.6952857290000001</v>
      </c>
      <c r="Z188" s="408"/>
      <c r="AA188" s="298"/>
      <c r="AB188" s="298"/>
      <c r="AC188" s="298"/>
      <c r="AD188" s="298"/>
      <c r="AE188" s="286"/>
      <c r="AF188" s="286"/>
    </row>
    <row r="189" spans="13:32" s="725" customFormat="1">
      <c r="M189" s="418"/>
      <c r="N189" s="418"/>
      <c r="O189" s="418"/>
      <c r="P189" s="839">
        <v>29</v>
      </c>
      <c r="Q189" s="420">
        <v>8.7399999755714273</v>
      </c>
      <c r="R189" s="420">
        <v>3.3690000857142857</v>
      </c>
      <c r="S189" s="420">
        <v>69.363000051428585</v>
      </c>
      <c r="T189" s="420">
        <v>26.369142805714286</v>
      </c>
      <c r="U189" s="420">
        <v>7.2952857698571441</v>
      </c>
      <c r="V189" s="420">
        <v>12.01250158142857</v>
      </c>
      <c r="W189" s="420">
        <v>2.1428571427142855</v>
      </c>
      <c r="X189" s="420">
        <v>40.262857164285712</v>
      </c>
      <c r="Y189" s="420">
        <v>7.1297142847142867</v>
      </c>
      <c r="Z189" s="408"/>
      <c r="AA189" s="298"/>
      <c r="AB189" s="298"/>
      <c r="AC189" s="298"/>
      <c r="AD189" s="298"/>
      <c r="AE189" s="286"/>
      <c r="AF189" s="286"/>
    </row>
    <row r="190" spans="13:32" s="725" customFormat="1">
      <c r="M190" s="418"/>
      <c r="N190" s="418"/>
      <c r="O190" s="418"/>
      <c r="P190" s="839">
        <v>30</v>
      </c>
      <c r="Q190" s="420">
        <v>8.2612857819999999</v>
      </c>
      <c r="R190" s="420">
        <v>3.9334286622857135</v>
      </c>
      <c r="S190" s="420">
        <v>68.101856775714282</v>
      </c>
      <c r="T190" s="420">
        <v>23.077571325714285</v>
      </c>
      <c r="U190" s="420">
        <v>7.5452858379999999</v>
      </c>
      <c r="V190" s="420">
        <v>12.065415654285715</v>
      </c>
      <c r="W190" s="420">
        <v>2.0148571899999999</v>
      </c>
      <c r="X190" s="420">
        <v>39.827141895714291</v>
      </c>
      <c r="Y190" s="420">
        <v>8.1214285577142853</v>
      </c>
      <c r="Z190" s="408"/>
      <c r="AA190" s="298"/>
      <c r="AB190" s="298"/>
      <c r="AC190" s="298"/>
      <c r="AD190" s="298"/>
      <c r="AE190" s="286"/>
      <c r="AF190" s="286"/>
    </row>
    <row r="191" spans="13:32" s="725" customFormat="1">
      <c r="M191" s="418"/>
      <c r="N191" s="418"/>
      <c r="O191" s="418"/>
      <c r="P191" s="839">
        <v>31</v>
      </c>
      <c r="Q191" s="420">
        <v>7.5295715331428577</v>
      </c>
      <c r="R191" s="420">
        <v>3.8718570981428577</v>
      </c>
      <c r="S191" s="420">
        <v>66.163572037142856</v>
      </c>
      <c r="T191" s="420">
        <v>20.36314283098493</v>
      </c>
      <c r="U191" s="420">
        <v>7.1267142297142865</v>
      </c>
      <c r="V191" s="420">
        <v>12.064045632857143</v>
      </c>
      <c r="W191" s="420">
        <v>2.0708571672857143</v>
      </c>
      <c r="X191" s="420">
        <v>37.761428834285709</v>
      </c>
      <c r="Y191" s="420">
        <v>8.1097143717142863</v>
      </c>
      <c r="Z191" s="408"/>
      <c r="AA191" s="298"/>
      <c r="AB191" s="298"/>
      <c r="AC191" s="298"/>
      <c r="AD191" s="298"/>
      <c r="AE191" s="286"/>
      <c r="AF191" s="286"/>
    </row>
    <row r="192" spans="13:32" s="725" customFormat="1">
      <c r="M192" s="418"/>
      <c r="N192" s="418"/>
      <c r="O192" s="418">
        <v>32</v>
      </c>
      <c r="P192" s="839">
        <v>32</v>
      </c>
      <c r="Q192" s="420">
        <v>7.1332857268197154</v>
      </c>
      <c r="R192" s="420">
        <v>3.9694285733359158</v>
      </c>
      <c r="S192" s="420">
        <v>69.589143480573355</v>
      </c>
      <c r="T192" s="420">
        <v>20.36</v>
      </c>
      <c r="U192" s="420">
        <v>6.828428472791396</v>
      </c>
      <c r="V192" s="420">
        <v>11.89809417724604</v>
      </c>
      <c r="W192" s="420">
        <v>1.7728571551186658</v>
      </c>
      <c r="X192" s="420">
        <v>37.760714394705587</v>
      </c>
      <c r="Y192" s="420">
        <v>10.538714272635294</v>
      </c>
      <c r="Z192" s="408"/>
      <c r="AA192" s="298"/>
      <c r="AB192" s="298"/>
      <c r="AC192" s="298"/>
      <c r="AD192" s="298"/>
      <c r="AE192" s="286"/>
      <c r="AF192" s="286"/>
    </row>
    <row r="193" spans="13:32" s="725" customFormat="1">
      <c r="M193" s="418"/>
      <c r="N193" s="418"/>
      <c r="O193" s="418"/>
      <c r="P193" s="839">
        <v>33</v>
      </c>
      <c r="Q193" s="420">
        <v>7.307000092</v>
      </c>
      <c r="R193" s="420">
        <v>4.0542857307142848</v>
      </c>
      <c r="S193" s="420">
        <v>67.52914374142857</v>
      </c>
      <c r="T193" s="420">
        <v>23.369000025714286</v>
      </c>
      <c r="U193" s="420">
        <v>6.6690000125714279</v>
      </c>
      <c r="V193" s="420">
        <v>11.954105787142856</v>
      </c>
      <c r="W193" s="420">
        <v>1.7154285907142857</v>
      </c>
      <c r="X193" s="420">
        <v>38.402142115714284</v>
      </c>
      <c r="Y193" s="420">
        <v>6.1292857952857149</v>
      </c>
      <c r="Z193" s="408"/>
      <c r="AA193" s="298"/>
      <c r="AB193" s="298"/>
      <c r="AC193" s="298"/>
      <c r="AD193" s="298"/>
      <c r="AE193" s="286"/>
      <c r="AF193" s="286"/>
    </row>
    <row r="194" spans="13:32" s="725" customFormat="1">
      <c r="M194" s="418"/>
      <c r="N194" s="418"/>
      <c r="O194" s="418"/>
      <c r="P194" s="839">
        <v>34</v>
      </c>
      <c r="Q194" s="420">
        <v>6.8864285605714288</v>
      </c>
      <c r="R194" s="420">
        <v>3.8852857181428568</v>
      </c>
      <c r="S194" s="420">
        <v>67.307859692857136</v>
      </c>
      <c r="T194" s="420">
        <v>24.434428622857144</v>
      </c>
      <c r="U194" s="420">
        <v>6.6477142742857138</v>
      </c>
      <c r="V194" s="420">
        <v>11.958392961428572</v>
      </c>
      <c r="W194" s="420">
        <v>2.26100002</v>
      </c>
      <c r="X194" s="420">
        <v>36.792856487142856</v>
      </c>
      <c r="Y194" s="420">
        <v>6.0765714645714288</v>
      </c>
      <c r="Z194" s="408"/>
      <c r="AA194" s="298"/>
      <c r="AB194" s="298"/>
      <c r="AC194" s="298"/>
      <c r="AD194" s="298"/>
      <c r="AE194" s="286"/>
      <c r="AF194" s="286"/>
    </row>
    <row r="195" spans="13:32" s="725" customFormat="1">
      <c r="M195" s="418"/>
      <c r="N195" s="418"/>
      <c r="O195" s="418"/>
      <c r="P195" s="839">
        <v>35</v>
      </c>
      <c r="Q195" s="420">
        <v>6.9537143707275364</v>
      </c>
      <c r="R195" s="420">
        <v>3.3560000147138283</v>
      </c>
      <c r="S195" s="420">
        <v>62.870428357805473</v>
      </c>
      <c r="T195" s="420">
        <v>21.077428545270632</v>
      </c>
      <c r="U195" s="420">
        <v>6.0071428843906904</v>
      </c>
      <c r="V195" s="420">
        <v>12.309941428048228</v>
      </c>
      <c r="W195" s="420">
        <v>1.5178571258272411</v>
      </c>
      <c r="X195" s="420">
        <v>37.991428375244077</v>
      </c>
      <c r="Y195" s="420">
        <v>5.9287142923900031</v>
      </c>
      <c r="Z195" s="408"/>
      <c r="AA195" s="298"/>
      <c r="AB195" s="298"/>
      <c r="AC195" s="298"/>
      <c r="AD195" s="298"/>
      <c r="AE195" s="286"/>
      <c r="AF195" s="286"/>
    </row>
    <row r="196" spans="13:32" s="725" customFormat="1">
      <c r="M196" s="418"/>
      <c r="N196" s="418"/>
      <c r="O196" s="418"/>
      <c r="P196" s="839">
        <v>36</v>
      </c>
      <c r="Q196" s="420">
        <v>6.8990000316074882</v>
      </c>
      <c r="R196" s="420">
        <v>3.1212857110159686</v>
      </c>
      <c r="S196" s="420">
        <v>65.621286119733483</v>
      </c>
      <c r="T196" s="420">
        <v>23.857142857142815</v>
      </c>
      <c r="U196" s="420">
        <v>6.0528572627476231</v>
      </c>
      <c r="V196" s="420">
        <v>12.697084290640644</v>
      </c>
      <c r="W196" s="420">
        <v>1.0650000040020247</v>
      </c>
      <c r="X196" s="420">
        <v>40.24999999999995</v>
      </c>
      <c r="Y196" s="420">
        <v>6.6625714302062962</v>
      </c>
      <c r="Z196" s="408"/>
      <c r="AA196" s="298"/>
      <c r="AB196" s="298"/>
      <c r="AC196" s="298"/>
      <c r="AD196" s="298"/>
      <c r="AE196" s="286"/>
      <c r="AF196" s="286"/>
    </row>
    <row r="197" spans="13:32" s="725" customFormat="1">
      <c r="M197" s="418"/>
      <c r="N197" s="418"/>
      <c r="O197" s="418"/>
      <c r="P197" s="839">
        <v>37</v>
      </c>
      <c r="Q197" s="420">
        <v>6.6838571003505107</v>
      </c>
      <c r="R197" s="420">
        <v>3.6978571414947474</v>
      </c>
      <c r="S197" s="420">
        <v>65.927430289132204</v>
      </c>
      <c r="T197" s="420">
        <v>21.696428571428545</v>
      </c>
      <c r="U197" s="420">
        <v>5.992857115609298</v>
      </c>
      <c r="V197" s="420">
        <v>12.722499983651257</v>
      </c>
      <c r="W197" s="420">
        <v>1.5737142903464156</v>
      </c>
      <c r="X197" s="420">
        <v>41.220714024135006</v>
      </c>
      <c r="Y197" s="420">
        <v>6.7525714465549971</v>
      </c>
      <c r="Z197" s="408"/>
      <c r="AA197" s="298"/>
      <c r="AB197" s="298"/>
      <c r="AC197" s="298"/>
      <c r="AD197" s="298"/>
      <c r="AE197" s="286"/>
      <c r="AF197" s="286"/>
    </row>
    <row r="198" spans="13:32" s="725" customFormat="1">
      <c r="M198" s="418"/>
      <c r="N198" s="418"/>
      <c r="O198" s="418"/>
      <c r="P198" s="839">
        <v>38</v>
      </c>
      <c r="Q198" s="420">
        <v>7.5399999618530247</v>
      </c>
      <c r="R198" s="420">
        <v>4.336428608285714</v>
      </c>
      <c r="S198" s="420">
        <v>68.259427751813561</v>
      </c>
      <c r="T198" s="420">
        <v>32.958285740443614</v>
      </c>
      <c r="U198" s="420">
        <v>6.3054285049438423</v>
      </c>
      <c r="V198" s="420">
        <v>12.757261548723429</v>
      </c>
      <c r="W198" s="420">
        <v>1.6808571304593714</v>
      </c>
      <c r="X198" s="420">
        <v>38.451428549630243</v>
      </c>
      <c r="Y198" s="420">
        <v>6.3287143026079411</v>
      </c>
      <c r="Z198" s="408"/>
      <c r="AA198" s="298"/>
      <c r="AB198" s="298"/>
      <c r="AC198" s="298"/>
      <c r="AD198" s="298"/>
      <c r="AE198" s="286"/>
      <c r="AF198" s="286"/>
    </row>
    <row r="199" spans="13:32" s="725" customFormat="1">
      <c r="M199" s="418"/>
      <c r="N199" s="418"/>
      <c r="O199" s="418"/>
      <c r="P199" s="839">
        <v>39</v>
      </c>
      <c r="Q199" s="420">
        <v>6.875</v>
      </c>
      <c r="R199" s="420">
        <v>3.7</v>
      </c>
      <c r="S199" s="420">
        <v>75.159429278571437</v>
      </c>
      <c r="T199" s="420">
        <v>41.827428545714284</v>
      </c>
      <c r="U199" s="420">
        <v>7.6855713981428568</v>
      </c>
      <c r="V199" s="420">
        <v>12.744882855714284</v>
      </c>
      <c r="W199" s="420">
        <v>1.6871428661428571</v>
      </c>
      <c r="X199" s="420">
        <v>41.307143075714286</v>
      </c>
      <c r="Y199" s="420">
        <v>7.4534285069999999</v>
      </c>
      <c r="Z199" s="408"/>
      <c r="AA199" s="298"/>
      <c r="AB199" s="298"/>
      <c r="AC199" s="298"/>
      <c r="AD199" s="298"/>
      <c r="AE199" s="286"/>
      <c r="AF199" s="286"/>
    </row>
    <row r="200" spans="13:32" s="725" customFormat="1">
      <c r="M200" s="418"/>
      <c r="N200" s="418"/>
      <c r="O200" s="418">
        <v>40</v>
      </c>
      <c r="P200" s="839">
        <v>40</v>
      </c>
      <c r="Q200" s="420">
        <v>6.0911429268571426</v>
      </c>
      <c r="R200" s="420">
        <v>3.501428569857143</v>
      </c>
      <c r="S200" s="420">
        <v>73.523286004285723</v>
      </c>
      <c r="T200" s="420">
        <v>30.178571428571427</v>
      </c>
      <c r="U200" s="420">
        <v>7.8047143392857157</v>
      </c>
      <c r="V200" s="420">
        <v>13.59601129857143</v>
      </c>
      <c r="W200" s="420">
        <v>1.6130000010000001</v>
      </c>
      <c r="X200" s="420">
        <v>45.036428724285713</v>
      </c>
      <c r="Y200" s="420">
        <v>6.0369999748571432</v>
      </c>
      <c r="Z200" s="408"/>
      <c r="AA200" s="298"/>
      <c r="AB200" s="298"/>
      <c r="AC200" s="298"/>
      <c r="AD200" s="298"/>
      <c r="AE200" s="286"/>
      <c r="AF200" s="286"/>
    </row>
    <row r="201" spans="13:32" s="725" customFormat="1">
      <c r="M201" s="418"/>
      <c r="N201" s="418"/>
      <c r="O201" s="418"/>
      <c r="P201" s="839">
        <v>41</v>
      </c>
      <c r="Q201" s="420">
        <v>5.8652857372857152</v>
      </c>
      <c r="R201" s="420">
        <v>4.2169999735714283</v>
      </c>
      <c r="S201" s="420">
        <v>67.761285509999993</v>
      </c>
      <c r="T201" s="420">
        <v>24.547571454285713</v>
      </c>
      <c r="U201" s="420">
        <v>6.762428624428571</v>
      </c>
      <c r="V201" s="420">
        <v>13.258037294285714</v>
      </c>
      <c r="W201" s="420">
        <v>1.8452857051428571</v>
      </c>
      <c r="X201" s="420">
        <v>44.255714417142862</v>
      </c>
      <c r="Y201" s="420">
        <v>6.8767141612857143</v>
      </c>
      <c r="Z201" s="408"/>
      <c r="AA201" s="298"/>
      <c r="AB201" s="298"/>
      <c r="AC201" s="298"/>
      <c r="AD201" s="298"/>
      <c r="AE201" s="286"/>
      <c r="AF201" s="286"/>
    </row>
    <row r="202" spans="13:32" s="725" customFormat="1">
      <c r="M202" s="418"/>
      <c r="N202" s="418"/>
      <c r="O202" s="418"/>
      <c r="P202" s="839">
        <v>42</v>
      </c>
      <c r="Q202" s="420">
        <v>6.6280000550406255</v>
      </c>
      <c r="R202" s="420">
        <v>4.7599999564034556</v>
      </c>
      <c r="S202" s="420">
        <v>71.132857186453606</v>
      </c>
      <c r="T202" s="420">
        <v>41.773857116699205</v>
      </c>
      <c r="U202" s="420">
        <v>7.8334286553519048</v>
      </c>
      <c r="V202" s="420">
        <v>12.748987061636742</v>
      </c>
      <c r="W202" s="420">
        <v>1.9990000043596503</v>
      </c>
      <c r="X202" s="420">
        <v>49.407857077462303</v>
      </c>
      <c r="Y202" s="420">
        <v>6.4478571755545433</v>
      </c>
      <c r="Z202" s="408"/>
      <c r="AA202" s="298"/>
      <c r="AB202" s="298"/>
      <c r="AC202" s="298"/>
      <c r="AD202" s="298"/>
      <c r="AE202" s="286"/>
      <c r="AF202" s="286"/>
    </row>
    <row r="203" spans="13:32" s="725" customFormat="1">
      <c r="M203" s="418"/>
      <c r="N203" s="418"/>
      <c r="O203" s="418"/>
      <c r="P203" s="839">
        <v>43</v>
      </c>
      <c r="Q203" s="420">
        <v>7.1351429394285715</v>
      </c>
      <c r="R203" s="420">
        <v>5.693714175857143</v>
      </c>
      <c r="S203" s="420">
        <v>76.869857788571409</v>
      </c>
      <c r="T203" s="420">
        <v>39.60114288285714</v>
      </c>
      <c r="U203" s="420">
        <v>6.4934286387142857</v>
      </c>
      <c r="V203" s="420">
        <v>12.771309988571426</v>
      </c>
      <c r="W203" s="420">
        <v>1.5481428758571429</v>
      </c>
      <c r="X203" s="420">
        <v>49.056428090000004</v>
      </c>
      <c r="Y203" s="420">
        <v>6.2457143240000006</v>
      </c>
      <c r="Z203" s="408"/>
      <c r="AA203" s="298"/>
      <c r="AB203" s="298"/>
      <c r="AC203" s="298"/>
      <c r="AD203" s="298"/>
      <c r="AE203" s="286"/>
      <c r="AF203" s="286"/>
    </row>
    <row r="204" spans="13:32" s="725" customFormat="1">
      <c r="M204" s="418"/>
      <c r="N204" s="418"/>
      <c r="O204" s="418">
        <v>44</v>
      </c>
      <c r="P204" s="839">
        <v>44</v>
      </c>
      <c r="Q204" s="420">
        <v>6.1070000102857147</v>
      </c>
      <c r="R204" s="420">
        <v>4.3958570957142857</v>
      </c>
      <c r="S204" s="420">
        <v>68.664999825714276</v>
      </c>
      <c r="T204" s="420">
        <v>36.702285765714286</v>
      </c>
      <c r="U204" s="420">
        <v>5.6301428931428577</v>
      </c>
      <c r="V204" s="420">
        <v>13.156308445714286</v>
      </c>
      <c r="W204" s="420">
        <v>1.4392857041428573</v>
      </c>
      <c r="X204" s="420">
        <v>48.241428374285711</v>
      </c>
      <c r="Y204" s="420">
        <v>6.5374285491428568</v>
      </c>
      <c r="Z204" s="408"/>
      <c r="AA204" s="298"/>
      <c r="AB204" s="298"/>
      <c r="AC204" s="298"/>
      <c r="AD204" s="298"/>
      <c r="AE204" s="286"/>
      <c r="AF204" s="286"/>
    </row>
    <row r="205" spans="13:32" s="725" customFormat="1">
      <c r="M205" s="418"/>
      <c r="N205" s="418"/>
      <c r="O205" s="418"/>
      <c r="P205" s="839">
        <v>45</v>
      </c>
      <c r="Q205" s="420">
        <v>5.6735714502857144</v>
      </c>
      <c r="R205" s="420">
        <v>4.5134285178571432</v>
      </c>
      <c r="S205" s="420">
        <v>62.049999781428575</v>
      </c>
      <c r="T205" s="420">
        <v>27.797571454285713</v>
      </c>
      <c r="U205" s="420">
        <v>5.3054286411428562</v>
      </c>
      <c r="V205" s="420">
        <v>12.687737055714285</v>
      </c>
      <c r="W205" s="420">
        <v>1.380714297142857</v>
      </c>
      <c r="X205" s="420">
        <v>46.33071463571428</v>
      </c>
      <c r="Y205" s="420">
        <v>6.183142798285715</v>
      </c>
      <c r="Z205" s="408"/>
      <c r="AA205" s="298"/>
      <c r="AB205" s="298"/>
      <c r="AC205" s="298"/>
      <c r="AD205" s="298"/>
      <c r="AE205" s="286"/>
      <c r="AF205" s="286"/>
    </row>
    <row r="206" spans="13:32" s="725" customFormat="1">
      <c r="M206" s="418"/>
      <c r="N206" s="418"/>
      <c r="O206" s="418"/>
      <c r="P206" s="839">
        <v>46</v>
      </c>
      <c r="Q206" s="420">
        <v>5.9637143271428581</v>
      </c>
      <c r="R206" s="420">
        <v>5.3014286587142854</v>
      </c>
      <c r="S206" s="420">
        <v>57.546571460000003</v>
      </c>
      <c r="T206" s="420">
        <v>32.208285740000001</v>
      </c>
      <c r="U206" s="420">
        <v>5.1785714285714288</v>
      </c>
      <c r="V206" s="420">
        <v>13.157975741428572</v>
      </c>
      <c r="W206" s="420">
        <v>1.3845714331428574</v>
      </c>
      <c r="X206" s="420">
        <v>44.693571362857142</v>
      </c>
      <c r="Y206" s="420">
        <v>7.3267143794285712</v>
      </c>
      <c r="Z206" s="408"/>
      <c r="AA206" s="298"/>
      <c r="AB206" s="298"/>
      <c r="AC206" s="298"/>
      <c r="AD206" s="298"/>
      <c r="AE206" s="286"/>
      <c r="AF206" s="286"/>
    </row>
    <row r="207" spans="13:32" s="725" customFormat="1">
      <c r="M207" s="418"/>
      <c r="N207" s="418"/>
      <c r="O207" s="418"/>
      <c r="P207" s="839">
        <v>47</v>
      </c>
      <c r="Q207" s="420">
        <v>6.7792857034285712</v>
      </c>
      <c r="R207" s="420">
        <v>3.8094285555714285</v>
      </c>
      <c r="S207" s="420">
        <v>56.944714135714285</v>
      </c>
      <c r="T207" s="420">
        <v>25.351285662857144</v>
      </c>
      <c r="U207" s="420">
        <v>6.1274285315714279</v>
      </c>
      <c r="V207" s="420">
        <v>12.246785572857144</v>
      </c>
      <c r="W207" s="420">
        <v>1.5065714290000003</v>
      </c>
      <c r="X207" s="420">
        <v>42.967857361428564</v>
      </c>
      <c r="Y207" s="420">
        <v>9.6325714934285713</v>
      </c>
      <c r="Z207" s="408"/>
      <c r="AA207" s="298"/>
      <c r="AB207" s="298"/>
      <c r="AC207" s="298"/>
      <c r="AD207" s="298"/>
      <c r="AE207" s="286"/>
      <c r="AF207" s="286"/>
    </row>
    <row r="208" spans="13:32" s="725" customFormat="1">
      <c r="M208" s="418"/>
      <c r="N208" s="418"/>
      <c r="O208" s="418">
        <v>48</v>
      </c>
      <c r="P208" s="839">
        <v>48</v>
      </c>
      <c r="Q208" s="420">
        <v>8.2138571738571429</v>
      </c>
      <c r="R208" s="420">
        <v>5.0787143024285717</v>
      </c>
      <c r="S208" s="420">
        <v>56.829999651428572</v>
      </c>
      <c r="T208" s="420">
        <v>37.994142805714283</v>
      </c>
      <c r="U208" s="420">
        <v>8.188285623714286</v>
      </c>
      <c r="V208" s="420">
        <v>13.367501529999998</v>
      </c>
      <c r="W208" s="420">
        <v>1.0268571504285715</v>
      </c>
      <c r="X208" s="420">
        <v>63.644285474285716</v>
      </c>
      <c r="Y208" s="420">
        <v>13.102857045714286</v>
      </c>
      <c r="Z208" s="408"/>
      <c r="AA208" s="298"/>
      <c r="AB208" s="298"/>
      <c r="AC208" s="298"/>
      <c r="AD208" s="298"/>
      <c r="AE208" s="286"/>
      <c r="AF208" s="286"/>
    </row>
    <row r="209" spans="16:25">
      <c r="P209" s="419"/>
      <c r="Q209" s="420"/>
      <c r="R209" s="420"/>
      <c r="S209" s="420"/>
      <c r="T209" s="420"/>
      <c r="U209" s="420"/>
      <c r="V209" s="420"/>
      <c r="W209" s="420"/>
      <c r="X209" s="420"/>
      <c r="Y209" s="420"/>
    </row>
    <row r="210" spans="16:25">
      <c r="P210" s="419"/>
      <c r="Q210" s="420"/>
      <c r="R210" s="420"/>
      <c r="S210" s="420"/>
      <c r="T210" s="420"/>
      <c r="U210" s="420"/>
      <c r="V210" s="420"/>
      <c r="W210" s="420"/>
      <c r="X210" s="420"/>
      <c r="Y210" s="420"/>
    </row>
    <row r="211" spans="16:25">
      <c r="P211" s="419"/>
      <c r="Q211" s="420"/>
      <c r="R211" s="420"/>
      <c r="S211" s="420"/>
      <c r="T211" s="420"/>
      <c r="U211" s="420"/>
      <c r="V211" s="420"/>
      <c r="W211" s="420"/>
      <c r="X211" s="420"/>
      <c r="Y211" s="420"/>
    </row>
    <row r="212" spans="16:25">
      <c r="P212" s="419"/>
      <c r="Q212" s="420"/>
      <c r="R212" s="420"/>
      <c r="S212" s="420"/>
      <c r="T212" s="420"/>
      <c r="U212" s="420"/>
      <c r="V212" s="420"/>
      <c r="W212" s="420"/>
      <c r="X212" s="420"/>
      <c r="Y212" s="420"/>
    </row>
    <row r="213" spans="16:25">
      <c r="P213" s="419"/>
      <c r="Q213" s="420"/>
      <c r="R213" s="420"/>
      <c r="S213" s="420"/>
      <c r="T213" s="420"/>
      <c r="U213" s="420"/>
      <c r="V213" s="420"/>
      <c r="W213" s="420"/>
      <c r="X213" s="420"/>
      <c r="Y213" s="420"/>
    </row>
    <row r="214" spans="16:25">
      <c r="Q214" s="761" t="s">
        <v>266</v>
      </c>
      <c r="R214" s="761" t="s">
        <v>267</v>
      </c>
      <c r="S214" s="761" t="s">
        <v>268</v>
      </c>
      <c r="T214" s="761" t="s">
        <v>269</v>
      </c>
      <c r="U214" s="761" t="s">
        <v>270</v>
      </c>
      <c r="V214" s="761" t="s">
        <v>271</v>
      </c>
      <c r="W214" s="761" t="s">
        <v>272</v>
      </c>
      <c r="X214" s="761" t="s">
        <v>273</v>
      </c>
      <c r="Y214" s="761" t="s">
        <v>274</v>
      </c>
    </row>
    <row r="217" spans="16:25">
      <c r="P217" s="419"/>
      <c r="Q217" s="420"/>
      <c r="R217" s="420"/>
      <c r="S217" s="420"/>
      <c r="T217" s="420"/>
      <c r="U217" s="420"/>
      <c r="V217" s="420"/>
      <c r="W217" s="420"/>
      <c r="X217" s="420"/>
      <c r="Y217" s="420"/>
    </row>
    <row r="218" spans="16:25">
      <c r="P218" s="419"/>
      <c r="Q218" s="420"/>
      <c r="R218" s="420"/>
      <c r="S218" s="420"/>
      <c r="T218" s="420"/>
      <c r="U218" s="420"/>
      <c r="V218" s="420"/>
      <c r="W218" s="420"/>
      <c r="X218" s="420"/>
      <c r="Y218" s="420"/>
    </row>
    <row r="219" spans="16:25">
      <c r="P219" s="419"/>
      <c r="Q219" s="420"/>
      <c r="R219" s="420"/>
      <c r="S219" s="420"/>
      <c r="T219" s="420"/>
      <c r="U219" s="420"/>
      <c r="V219" s="420"/>
      <c r="W219" s="420"/>
      <c r="X219" s="420"/>
      <c r="Y219" s="420"/>
    </row>
    <row r="220" spans="16:25">
      <c r="P220" s="419"/>
      <c r="Q220" s="420"/>
      <c r="R220" s="420"/>
      <c r="S220" s="420"/>
      <c r="T220" s="420"/>
      <c r="U220" s="420"/>
      <c r="V220" s="420"/>
      <c r="W220" s="420"/>
      <c r="X220" s="420"/>
      <c r="Y220" s="420"/>
    </row>
    <row r="221" spans="16:25">
      <c r="P221" s="419"/>
      <c r="Q221" s="420"/>
      <c r="R221" s="420"/>
      <c r="S221" s="727"/>
      <c r="T221" s="420"/>
      <c r="U221" s="420"/>
      <c r="V221" s="420"/>
      <c r="W221" s="420"/>
      <c r="X221" s="420"/>
      <c r="Y221" s="420"/>
    </row>
    <row r="222" spans="16:25">
      <c r="P222" s="419"/>
      <c r="Q222" s="420"/>
      <c r="R222" s="420"/>
      <c r="S222" s="727"/>
      <c r="T222" s="420"/>
      <c r="U222" s="420"/>
      <c r="V222" s="420"/>
      <c r="W222" s="420"/>
      <c r="X222" s="420"/>
      <c r="Y222" s="420"/>
    </row>
    <row r="223" spans="16:25">
      <c r="P223" s="419"/>
      <c r="Q223" s="420"/>
      <c r="R223" s="420"/>
      <c r="S223" s="727"/>
      <c r="T223" s="420"/>
      <c r="U223" s="420"/>
      <c r="V223" s="420"/>
      <c r="W223" s="420"/>
      <c r="X223" s="420"/>
      <c r="Y223" s="420"/>
    </row>
    <row r="224" spans="16:25">
      <c r="P224" s="419"/>
      <c r="Q224" s="420"/>
      <c r="R224" s="420"/>
      <c r="S224" s="727"/>
      <c r="T224" s="420"/>
      <c r="U224" s="420"/>
      <c r="V224" s="420"/>
      <c r="W224" s="420"/>
      <c r="X224" s="420"/>
      <c r="Y224" s="420"/>
    </row>
    <row r="225" spans="16:25">
      <c r="P225" s="419"/>
      <c r="Q225" s="420"/>
      <c r="R225" s="420"/>
      <c r="S225" s="727"/>
      <c r="T225" s="420"/>
      <c r="U225" s="420"/>
      <c r="V225" s="420"/>
      <c r="W225" s="420"/>
      <c r="X225" s="420"/>
      <c r="Y225" s="420"/>
    </row>
    <row r="226" spans="16:25">
      <c r="P226" s="419"/>
      <c r="Q226" s="420"/>
      <c r="R226" s="420"/>
      <c r="S226" s="420"/>
      <c r="T226" s="420"/>
      <c r="U226" s="420"/>
      <c r="V226" s="420"/>
      <c r="W226" s="420"/>
      <c r="X226" s="420"/>
      <c r="Y226" s="420"/>
    </row>
    <row r="227" spans="16:25">
      <c r="P227" s="419"/>
      <c r="Q227" s="420"/>
      <c r="R227" s="420"/>
      <c r="S227" s="420"/>
      <c r="T227" s="420"/>
      <c r="U227" s="420"/>
      <c r="V227" s="420"/>
      <c r="W227" s="420"/>
      <c r="X227" s="420"/>
      <c r="Y227" s="420"/>
    </row>
    <row r="228" spans="16:25">
      <c r="P228" s="419"/>
      <c r="Q228" s="420"/>
      <c r="R228" s="420"/>
      <c r="S228" s="420"/>
      <c r="T228" s="420"/>
      <c r="U228" s="420"/>
      <c r="V228" s="420"/>
      <c r="W228" s="420"/>
      <c r="X228" s="420"/>
      <c r="Y228" s="420"/>
    </row>
    <row r="229" spans="16:25">
      <c r="P229" s="419"/>
      <c r="Q229" s="420"/>
      <c r="R229" s="420"/>
      <c r="S229" s="420"/>
      <c r="T229" s="420"/>
      <c r="U229" s="420"/>
      <c r="V229" s="420"/>
      <c r="W229" s="420"/>
      <c r="X229" s="420"/>
      <c r="Y229" s="420"/>
    </row>
    <row r="230" spans="16:25">
      <c r="P230" s="419"/>
      <c r="Q230" s="420"/>
      <c r="R230" s="420"/>
      <c r="S230" s="420"/>
      <c r="T230" s="420"/>
      <c r="U230" s="420"/>
      <c r="V230" s="420"/>
      <c r="W230" s="420"/>
      <c r="X230" s="420"/>
      <c r="Y230" s="420"/>
    </row>
    <row r="231" spans="16:25">
      <c r="P231" s="419"/>
      <c r="Q231" s="420"/>
      <c r="R231" s="420"/>
      <c r="S231" s="420"/>
      <c r="T231" s="420"/>
      <c r="U231" s="420"/>
      <c r="V231" s="420"/>
      <c r="W231" s="420"/>
      <c r="X231" s="420"/>
      <c r="Y231" s="420"/>
    </row>
    <row r="232" spans="16:25">
      <c r="P232" s="419"/>
      <c r="Q232" s="420"/>
      <c r="R232" s="420"/>
      <c r="S232" s="420"/>
      <c r="T232" s="420"/>
      <c r="U232" s="420"/>
      <c r="V232" s="420"/>
      <c r="W232" s="420"/>
      <c r="X232" s="420"/>
      <c r="Y232" s="420"/>
    </row>
    <row r="233" spans="16:25">
      <c r="P233" s="419"/>
      <c r="Q233" s="420"/>
      <c r="R233" s="420"/>
      <c r="S233" s="420"/>
      <c r="T233" s="420"/>
      <c r="U233" s="420"/>
      <c r="V233" s="420"/>
      <c r="W233" s="420"/>
      <c r="X233" s="420"/>
      <c r="Y233" s="420"/>
    </row>
    <row r="234" spans="16:25">
      <c r="P234" s="419"/>
      <c r="Q234" s="420"/>
      <c r="R234" s="420"/>
      <c r="S234" s="420"/>
      <c r="T234" s="420"/>
      <c r="U234" s="420"/>
      <c r="V234" s="420"/>
      <c r="W234" s="420"/>
      <c r="X234" s="420"/>
      <c r="Y234" s="420"/>
    </row>
    <row r="235" spans="16:25">
      <c r="P235" s="419"/>
      <c r="Q235" s="420"/>
      <c r="R235" s="420"/>
      <c r="S235" s="420"/>
      <c r="T235" s="420"/>
      <c r="U235" s="420"/>
      <c r="V235" s="420"/>
      <c r="W235" s="420"/>
      <c r="X235" s="420"/>
      <c r="Y235" s="420"/>
    </row>
    <row r="236" spans="16:25">
      <c r="P236" s="419"/>
      <c r="Q236" s="420"/>
      <c r="R236" s="420"/>
      <c r="S236" s="420"/>
      <c r="T236" s="420"/>
      <c r="U236" s="420"/>
      <c r="V236" s="420"/>
      <c r="W236" s="420"/>
      <c r="X236" s="420"/>
      <c r="Y236" s="420"/>
    </row>
    <row r="237" spans="16:25">
      <c r="P237" s="419"/>
      <c r="Q237" s="420"/>
      <c r="R237" s="420"/>
      <c r="S237" s="420"/>
      <c r="T237" s="420"/>
      <c r="U237" s="420"/>
      <c r="V237" s="420"/>
      <c r="W237" s="420"/>
      <c r="X237" s="420"/>
      <c r="Y237" s="420"/>
    </row>
    <row r="238" spans="16:25">
      <c r="P238" s="419"/>
      <c r="Q238" s="420"/>
      <c r="R238" s="420"/>
      <c r="S238" s="420"/>
      <c r="T238" s="420"/>
      <c r="U238" s="420"/>
      <c r="V238" s="420"/>
      <c r="W238" s="420"/>
      <c r="X238" s="420"/>
      <c r="Y238" s="420"/>
    </row>
    <row r="239" spans="16:25">
      <c r="P239" s="419"/>
      <c r="Q239" s="420"/>
      <c r="R239" s="420"/>
      <c r="S239" s="420"/>
      <c r="T239" s="420"/>
      <c r="U239" s="420"/>
      <c r="V239" s="420"/>
      <c r="W239" s="420"/>
      <c r="X239" s="420"/>
      <c r="Y239" s="420"/>
    </row>
    <row r="240" spans="16:25">
      <c r="P240" s="419"/>
      <c r="Q240" s="420"/>
      <c r="R240" s="420"/>
      <c r="S240" s="420"/>
      <c r="T240" s="420"/>
      <c r="U240" s="420"/>
      <c r="V240" s="420"/>
      <c r="W240" s="420"/>
      <c r="X240" s="420"/>
      <c r="Y240" s="420"/>
    </row>
    <row r="241" spans="16:25">
      <c r="P241" s="419"/>
      <c r="Q241" s="420"/>
      <c r="R241" s="420"/>
      <c r="S241" s="420"/>
      <c r="T241" s="420"/>
      <c r="U241" s="420"/>
      <c r="V241" s="420"/>
      <c r="W241" s="420"/>
      <c r="X241" s="420"/>
      <c r="Y241" s="420"/>
    </row>
    <row r="242" spans="16:25">
      <c r="P242" s="419"/>
      <c r="Q242" s="420"/>
      <c r="R242" s="420"/>
      <c r="S242" s="420"/>
      <c r="T242" s="420"/>
      <c r="U242" s="420"/>
      <c r="V242" s="420"/>
      <c r="W242" s="420"/>
      <c r="X242" s="420"/>
      <c r="Y242" s="420"/>
    </row>
    <row r="243" spans="16:25">
      <c r="P243" s="419"/>
      <c r="Q243" s="420"/>
      <c r="R243" s="420"/>
      <c r="S243" s="420"/>
      <c r="T243" s="420"/>
      <c r="U243" s="420"/>
      <c r="V243" s="420"/>
      <c r="W243" s="420"/>
      <c r="X243" s="420"/>
      <c r="Y243" s="420"/>
    </row>
    <row r="244" spans="16:25">
      <c r="P244" s="419"/>
      <c r="Q244" s="420"/>
      <c r="R244" s="420"/>
      <c r="S244" s="420"/>
      <c r="T244" s="420"/>
      <c r="U244" s="420"/>
      <c r="V244" s="420"/>
      <c r="W244" s="420"/>
      <c r="X244" s="420"/>
      <c r="Y244" s="420"/>
    </row>
    <row r="245" spans="16:25">
      <c r="P245" s="419"/>
      <c r="Q245" s="420"/>
      <c r="R245" s="420"/>
      <c r="S245" s="420"/>
      <c r="T245" s="420"/>
      <c r="U245" s="420"/>
      <c r="V245" s="420"/>
      <c r="W245" s="420"/>
      <c r="X245" s="420"/>
      <c r="Y245" s="420"/>
    </row>
    <row r="246" spans="16:25">
      <c r="P246" s="419"/>
      <c r="Q246" s="420"/>
      <c r="R246" s="420"/>
      <c r="S246" s="420"/>
      <c r="T246" s="420"/>
      <c r="U246" s="420"/>
      <c r="V246" s="420"/>
      <c r="W246" s="420"/>
      <c r="X246" s="420"/>
      <c r="Y246" s="420"/>
    </row>
    <row r="247" spans="16:25">
      <c r="P247" s="419"/>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topLeftCell="A12" zoomScaleNormal="100" zoomScaleSheetLayoutView="100" zoomScalePageLayoutView="160" workbookViewId="0">
      <selection activeCell="T44" sqref="T44"/>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625" customWidth="1"/>
    <col min="12" max="12" width="9.28515625" style="625"/>
    <col min="13" max="13" width="20.42578125" style="667" customWidth="1"/>
    <col min="14" max="21" width="9.28515625" style="762"/>
  </cols>
  <sheetData>
    <row r="1" spans="1:17" ht="11.25" customHeight="1"/>
    <row r="2" spans="1:17" ht="11.25" customHeight="1">
      <c r="A2" s="937" t="s">
        <v>456</v>
      </c>
      <c r="B2" s="937"/>
      <c r="C2" s="937"/>
      <c r="D2" s="937"/>
      <c r="E2" s="937"/>
      <c r="F2" s="937"/>
      <c r="G2" s="937"/>
      <c r="H2" s="937"/>
      <c r="I2" s="937"/>
      <c r="J2" s="937"/>
      <c r="K2" s="937"/>
    </row>
    <row r="3" spans="1:17" ht="11.25" customHeight="1">
      <c r="A3" s="18"/>
      <c r="B3" s="18"/>
      <c r="C3" s="18"/>
      <c r="D3" s="18"/>
      <c r="E3" s="18"/>
      <c r="F3" s="18"/>
      <c r="G3" s="18"/>
      <c r="H3" s="18"/>
      <c r="I3" s="18"/>
      <c r="J3" s="650"/>
      <c r="K3" s="650"/>
      <c r="L3" s="329"/>
    </row>
    <row r="4" spans="1:17" ht="11.25" customHeight="1">
      <c r="A4" s="923" t="s">
        <v>387</v>
      </c>
      <c r="B4" s="923"/>
      <c r="C4" s="923"/>
      <c r="D4" s="923"/>
      <c r="E4" s="923"/>
      <c r="F4" s="923"/>
      <c r="G4" s="923"/>
      <c r="H4" s="923"/>
      <c r="I4" s="183"/>
      <c r="J4" s="651"/>
      <c r="L4" s="329"/>
    </row>
    <row r="5" spans="1:17" ht="7.5" customHeight="1">
      <c r="A5" s="184"/>
      <c r="B5" s="184"/>
      <c r="C5" s="184"/>
      <c r="D5" s="184"/>
      <c r="E5" s="184"/>
      <c r="F5" s="184"/>
      <c r="G5" s="184"/>
      <c r="H5" s="184"/>
      <c r="I5" s="184"/>
      <c r="J5" s="652"/>
      <c r="L5" s="653"/>
    </row>
    <row r="6" spans="1:17" ht="11.25" customHeight="1">
      <c r="A6" s="184"/>
      <c r="B6" s="188" t="s">
        <v>388</v>
      </c>
      <c r="C6" s="184"/>
      <c r="D6" s="184"/>
      <c r="E6" s="184"/>
      <c r="F6" s="184"/>
      <c r="G6" s="184"/>
      <c r="H6" s="184"/>
      <c r="I6" s="184"/>
      <c r="J6" s="652"/>
      <c r="L6" s="654"/>
    </row>
    <row r="7" spans="1:17" ht="7.5" customHeight="1">
      <c r="A7" s="184"/>
      <c r="B7" s="185"/>
      <c r="C7" s="184"/>
      <c r="D7" s="184"/>
      <c r="E7" s="184"/>
      <c r="F7" s="184"/>
      <c r="G7" s="184"/>
      <c r="H7" s="184"/>
      <c r="I7" s="184"/>
      <c r="J7" s="652"/>
      <c r="L7" s="655"/>
    </row>
    <row r="8" spans="1:17" ht="21" customHeight="1">
      <c r="A8" s="184"/>
      <c r="B8" s="485" t="s">
        <v>166</v>
      </c>
      <c r="C8" s="486" t="s">
        <v>167</v>
      </c>
      <c r="D8" s="486" t="s">
        <v>168</v>
      </c>
      <c r="E8" s="486" t="s">
        <v>170</v>
      </c>
      <c r="F8" s="486" t="s">
        <v>169</v>
      </c>
      <c r="G8" s="487" t="s">
        <v>171</v>
      </c>
      <c r="H8" s="180"/>
      <c r="I8" s="180"/>
      <c r="J8" s="656"/>
      <c r="L8" s="657"/>
      <c r="M8" s="668" t="s">
        <v>167</v>
      </c>
      <c r="N8" s="763" t="str">
        <f>M8&amp;"
 ("&amp;ROUND(HLOOKUP(M8,$C$8:$G$9,2,0),2)&amp;" USD/MWh)"</f>
        <v>PIURA OESTE 220
 (18,41 USD/MWh)</v>
      </c>
      <c r="O8" s="286"/>
      <c r="P8" s="286"/>
      <c r="Q8" s="286"/>
    </row>
    <row r="9" spans="1:17" ht="18" customHeight="1">
      <c r="A9" s="184"/>
      <c r="B9" s="488" t="s">
        <v>172</v>
      </c>
      <c r="C9" s="270">
        <v>18.409932116228138</v>
      </c>
      <c r="D9" s="270">
        <v>18.230842679285985</v>
      </c>
      <c r="E9" s="270">
        <v>17.809051228647256</v>
      </c>
      <c r="F9" s="270">
        <v>17.650094211680543</v>
      </c>
      <c r="G9" s="270">
        <v>17.987165376077332</v>
      </c>
      <c r="H9" s="180"/>
      <c r="I9" s="180"/>
      <c r="J9" s="656"/>
      <c r="K9" s="656"/>
      <c r="L9" s="657"/>
      <c r="M9" s="668" t="s">
        <v>168</v>
      </c>
      <c r="N9" s="763" t="str">
        <f>M9&amp;"
("&amp;ROUND(HLOOKUP(M9,$C$8:$G$9,2,0),2)&amp;" USD/MWh)"</f>
        <v>CHICLAYO 220
(18,23 USD/MWh)</v>
      </c>
      <c r="O9" s="286"/>
      <c r="P9" s="286"/>
      <c r="Q9" s="286"/>
    </row>
    <row r="10" spans="1:17" ht="14.25" customHeight="1">
      <c r="A10" s="184"/>
      <c r="B10" s="961" t="str">
        <f>"Cuadro N°11: Valor de los costos marginales medios registrados en las principales barras del área norte durante el mes de "&amp;'1. Resumen'!Q4</f>
        <v>Cuadro N°11: Valor de los costos marginales medios registrados en las principales barras del área norte durante el mes de noviembre</v>
      </c>
      <c r="C10" s="961"/>
      <c r="D10" s="961"/>
      <c r="E10" s="961"/>
      <c r="F10" s="961"/>
      <c r="G10" s="961"/>
      <c r="H10" s="961"/>
      <c r="I10" s="961"/>
      <c r="J10" s="656"/>
      <c r="K10" s="656"/>
      <c r="L10" s="657"/>
      <c r="M10" s="668" t="s">
        <v>170</v>
      </c>
      <c r="N10" s="763" t="str">
        <f>M10&amp;"
("&amp;ROUND(HLOOKUP(M10,$C$8:$G$9,2,0),2)&amp;" USD/MWh)"</f>
        <v>TRUJILLO 220
(17,81 USD/MWh)</v>
      </c>
      <c r="O10" s="286"/>
      <c r="P10" s="286"/>
      <c r="Q10" s="286"/>
    </row>
    <row r="11" spans="1:17" ht="11.25" customHeight="1">
      <c r="A11" s="184"/>
      <c r="B11" s="191"/>
      <c r="C11" s="180"/>
      <c r="D11" s="180"/>
      <c r="E11" s="180"/>
      <c r="F11" s="180"/>
      <c r="G11" s="180"/>
      <c r="H11" s="180"/>
      <c r="I11" s="180"/>
      <c r="J11" s="656"/>
      <c r="K11" s="656"/>
      <c r="L11" s="657"/>
      <c r="M11" s="668" t="s">
        <v>169</v>
      </c>
      <c r="N11" s="763" t="str">
        <f>M11&amp;"
("&amp;ROUND(HLOOKUP(M11,$C$8:$G$9,2,0),2)&amp;" USD/MWh)"</f>
        <v>CHIMBOTE1 138
(17,65 USD/MWh)</v>
      </c>
      <c r="O11" s="286"/>
      <c r="P11" s="286"/>
      <c r="Q11" s="286"/>
    </row>
    <row r="12" spans="1:17" ht="11.25" customHeight="1">
      <c r="A12" s="184"/>
      <c r="B12" s="180"/>
      <c r="C12" s="180"/>
      <c r="D12" s="180"/>
      <c r="E12" s="180"/>
      <c r="F12" s="180"/>
      <c r="G12" s="180"/>
      <c r="H12" s="180"/>
      <c r="I12" s="180"/>
      <c r="J12" s="656"/>
      <c r="K12" s="656"/>
      <c r="L12" s="658"/>
      <c r="M12" s="668" t="s">
        <v>171</v>
      </c>
      <c r="N12" s="763" t="str">
        <f>M12&amp;"
("&amp;ROUND(HLOOKUP(M12,$C$8:$G$9,2,0),2)&amp;" USD/MWh)"</f>
        <v>CAJAMARCA 220
(17,99 USD/MWh)</v>
      </c>
      <c r="O12" s="286"/>
      <c r="P12" s="286"/>
      <c r="Q12" s="286"/>
    </row>
    <row r="13" spans="1:17" ht="11.25" customHeight="1">
      <c r="A13" s="184"/>
      <c r="B13" s="180"/>
      <c r="C13" s="180"/>
      <c r="D13" s="180"/>
      <c r="E13" s="180"/>
      <c r="F13" s="180"/>
      <c r="G13" s="180"/>
      <c r="H13" s="180"/>
      <c r="I13" s="180"/>
      <c r="J13" s="656"/>
      <c r="K13" s="656"/>
      <c r="L13" s="657"/>
      <c r="M13" s="668"/>
      <c r="N13" s="763"/>
      <c r="O13" s="668"/>
      <c r="P13" s="286"/>
      <c r="Q13" s="286"/>
    </row>
    <row r="14" spans="1:17" ht="11.25" customHeight="1">
      <c r="A14" s="184"/>
      <c r="B14" s="180"/>
      <c r="C14" s="180"/>
      <c r="D14" s="180"/>
      <c r="E14" s="180"/>
      <c r="F14" s="180"/>
      <c r="G14" s="180"/>
      <c r="H14" s="180"/>
      <c r="I14" s="180"/>
      <c r="J14" s="656"/>
      <c r="K14" s="656"/>
      <c r="L14" s="657"/>
      <c r="M14" s="668" t="s">
        <v>447</v>
      </c>
      <c r="N14" s="763" t="str">
        <f>M14&amp;"
("&amp;ROUND(HLOOKUP(M14,$C$26:$I$27,2,0),2)&amp;" USD/MWh)"</f>
        <v>CHAVARRIA 220
(16,9 USD/MWh)</v>
      </c>
      <c r="O14" s="286"/>
      <c r="P14" s="286"/>
      <c r="Q14" s="286"/>
    </row>
    <row r="15" spans="1:17" ht="11.25" customHeight="1">
      <c r="A15" s="184"/>
      <c r="B15" s="180"/>
      <c r="C15" s="180"/>
      <c r="D15" s="180"/>
      <c r="E15" s="180"/>
      <c r="F15" s="180"/>
      <c r="G15" s="180"/>
      <c r="H15" s="180"/>
      <c r="I15" s="180"/>
      <c r="J15" s="656"/>
      <c r="K15" s="656"/>
      <c r="L15" s="657"/>
      <c r="M15" s="668" t="s">
        <v>175</v>
      </c>
      <c r="N15" s="763" t="str">
        <f t="shared" ref="N15:N20" si="0">M15&amp;"
("&amp;ROUND(HLOOKUP(M15,$C$26:$I$27,2,0),2)&amp;" USD/MWh)"</f>
        <v>INDEPENDENCIA 220
(17,19 USD/MWh)</v>
      </c>
      <c r="O15" s="286"/>
      <c r="P15" s="286"/>
      <c r="Q15" s="286"/>
    </row>
    <row r="16" spans="1:17" ht="11.25" customHeight="1">
      <c r="A16" s="184"/>
      <c r="B16" s="180"/>
      <c r="C16" s="180"/>
      <c r="D16" s="180"/>
      <c r="E16" s="180"/>
      <c r="F16" s="180"/>
      <c r="G16" s="180"/>
      <c r="H16" s="180"/>
      <c r="I16" s="180"/>
      <c r="J16" s="656"/>
      <c r="K16" s="656"/>
      <c r="L16" s="657"/>
      <c r="M16" s="668" t="s">
        <v>176</v>
      </c>
      <c r="N16" s="763" t="str">
        <f t="shared" si="0"/>
        <v>CARABAYLLO 220
(16,93 USD/MWh)</v>
      </c>
      <c r="O16" s="286"/>
      <c r="P16" s="286"/>
      <c r="Q16" s="286"/>
    </row>
    <row r="17" spans="1:17" ht="11.25" customHeight="1">
      <c r="A17" s="184"/>
      <c r="B17" s="180"/>
      <c r="C17" s="180"/>
      <c r="D17" s="180"/>
      <c r="E17" s="180"/>
      <c r="F17" s="180"/>
      <c r="G17" s="180"/>
      <c r="H17" s="180"/>
      <c r="I17" s="180"/>
      <c r="J17" s="656"/>
      <c r="K17" s="656"/>
      <c r="L17" s="657"/>
      <c r="M17" s="668" t="s">
        <v>173</v>
      </c>
      <c r="N17" s="763" t="str">
        <f t="shared" si="0"/>
        <v>SANTA ROSA 220
(16,85 USD/MWh)</v>
      </c>
      <c r="O17" s="286"/>
      <c r="P17" s="286"/>
      <c r="Q17" s="286"/>
    </row>
    <row r="18" spans="1:17" ht="11.25" customHeight="1">
      <c r="A18" s="184"/>
      <c r="B18" s="180"/>
      <c r="C18" s="180"/>
      <c r="D18" s="180"/>
      <c r="E18" s="180"/>
      <c r="F18" s="180"/>
      <c r="G18" s="180"/>
      <c r="H18" s="180"/>
      <c r="I18" s="180"/>
      <c r="J18" s="656"/>
      <c r="K18" s="656"/>
      <c r="L18" s="657"/>
      <c r="M18" s="668" t="s">
        <v>174</v>
      </c>
      <c r="N18" s="763" t="str">
        <f t="shared" si="0"/>
        <v>SAN JUAN 220
(16,76 USD/MWh)</v>
      </c>
      <c r="O18" s="286"/>
      <c r="P18" s="286"/>
      <c r="Q18" s="286"/>
    </row>
    <row r="19" spans="1:17" ht="11.25" customHeight="1">
      <c r="A19" s="184"/>
      <c r="B19" s="180"/>
      <c r="C19" s="180"/>
      <c r="D19" s="180"/>
      <c r="E19" s="180"/>
      <c r="F19" s="180"/>
      <c r="G19" s="180"/>
      <c r="H19" s="180"/>
      <c r="I19" s="180"/>
      <c r="J19" s="656"/>
      <c r="K19" s="656"/>
      <c r="L19" s="659"/>
      <c r="M19" s="668" t="s">
        <v>177</v>
      </c>
      <c r="N19" s="763" t="str">
        <f t="shared" si="0"/>
        <v>POMACOCHA 220
(16,86 USD/MWh)</v>
      </c>
      <c r="O19" s="286"/>
      <c r="P19" s="286"/>
      <c r="Q19" s="286"/>
    </row>
    <row r="20" spans="1:17" ht="11.25" customHeight="1">
      <c r="A20" s="184"/>
      <c r="B20" s="190"/>
      <c r="C20" s="190"/>
      <c r="D20" s="190"/>
      <c r="E20" s="190"/>
      <c r="F20" s="190"/>
      <c r="G20" s="180"/>
      <c r="H20" s="180"/>
      <c r="I20" s="180"/>
      <c r="J20" s="656"/>
      <c r="K20" s="656"/>
      <c r="L20" s="657"/>
      <c r="M20" s="668" t="s">
        <v>178</v>
      </c>
      <c r="N20" s="763" t="str">
        <f t="shared" si="0"/>
        <v>OROYA NUEVA 50
(16,85 USD/MWh)</v>
      </c>
      <c r="O20" s="286"/>
      <c r="P20" s="286"/>
      <c r="Q20" s="286"/>
    </row>
    <row r="21" spans="1:17" ht="11.25" customHeight="1">
      <c r="A21" s="184"/>
      <c r="B21" s="962" t="str">
        <f>"Gráfico N°20: Costos marginales medios registrados en las principales barras del área norte durante el mes de "&amp;'1. Resumen'!Q4</f>
        <v>Gráfico N°20: Costos marginales medios registrados en las principales barras del área norte durante el mes de noviembre</v>
      </c>
      <c r="C21" s="962"/>
      <c r="D21" s="962"/>
      <c r="E21" s="962"/>
      <c r="F21" s="962"/>
      <c r="G21" s="962"/>
      <c r="H21" s="962"/>
      <c r="I21" s="962"/>
      <c r="J21" s="656"/>
      <c r="K21" s="656"/>
      <c r="L21" s="657"/>
      <c r="M21" s="668"/>
      <c r="N21" s="763"/>
      <c r="O21" s="286"/>
      <c r="P21" s="286"/>
      <c r="Q21" s="286"/>
    </row>
    <row r="22" spans="1:17" ht="7.5" customHeight="1">
      <c r="A22" s="184"/>
      <c r="B22" s="186"/>
      <c r="C22" s="186"/>
      <c r="D22" s="186"/>
      <c r="E22" s="186"/>
      <c r="F22" s="186"/>
      <c r="G22" s="184"/>
      <c r="H22" s="184"/>
      <c r="I22" s="184"/>
      <c r="J22" s="652"/>
      <c r="K22" s="652"/>
      <c r="L22" s="654"/>
      <c r="M22" s="668"/>
      <c r="N22" s="763"/>
      <c r="O22" s="286"/>
      <c r="P22" s="286"/>
      <c r="Q22" s="286"/>
    </row>
    <row r="23" spans="1:17" ht="11.25" customHeight="1">
      <c r="A23" s="184"/>
      <c r="B23" s="186"/>
      <c r="C23" s="186"/>
      <c r="D23" s="186"/>
      <c r="E23" s="186"/>
      <c r="F23" s="186"/>
      <c r="G23" s="184"/>
      <c r="H23" s="184"/>
      <c r="I23" s="184"/>
      <c r="J23" s="652"/>
      <c r="K23" s="652"/>
      <c r="L23" s="660"/>
      <c r="M23" s="668" t="s">
        <v>179</v>
      </c>
      <c r="N23" s="763" t="str">
        <f t="shared" ref="N23:N29" si="1">M23&amp;"
("&amp;ROUND(HLOOKUP(M23,$C$45:$I$46,2,0),2)&amp;" USD/MWh)"</f>
        <v>TINTAYA NUEVA 220
(18,84 USD/MWh)</v>
      </c>
      <c r="O23" s="286"/>
      <c r="P23" s="286"/>
      <c r="Q23" s="286"/>
    </row>
    <row r="24" spans="1:17" ht="11.25" customHeight="1">
      <c r="A24" s="184"/>
      <c r="B24" s="189" t="s">
        <v>389</v>
      </c>
      <c r="C24" s="186"/>
      <c r="D24" s="186"/>
      <c r="E24" s="186"/>
      <c r="F24" s="186"/>
      <c r="G24" s="184"/>
      <c r="H24" s="184"/>
      <c r="I24" s="184"/>
      <c r="J24" s="652"/>
      <c r="K24" s="652"/>
      <c r="L24" s="654"/>
      <c r="M24" s="668" t="s">
        <v>180</v>
      </c>
      <c r="N24" s="763" t="str">
        <f t="shared" si="1"/>
        <v>PUNO 138
(18,36 USD/MWh)</v>
      </c>
      <c r="O24" s="286"/>
      <c r="P24" s="286"/>
      <c r="Q24" s="286"/>
    </row>
    <row r="25" spans="1:17" ht="6.75" customHeight="1">
      <c r="A25" s="184"/>
      <c r="B25" s="186"/>
      <c r="C25" s="186"/>
      <c r="D25" s="186"/>
      <c r="E25" s="186"/>
      <c r="F25" s="186"/>
      <c r="G25" s="184"/>
      <c r="H25" s="184"/>
      <c r="I25" s="184"/>
      <c r="J25" s="652"/>
      <c r="K25" s="652"/>
      <c r="L25" s="654"/>
      <c r="M25" s="668" t="s">
        <v>181</v>
      </c>
      <c r="N25" s="763" t="str">
        <f t="shared" si="1"/>
        <v>SOCABAYA 220
(18,15 USD/MWh)</v>
      </c>
      <c r="O25" s="286"/>
      <c r="P25" s="286"/>
      <c r="Q25" s="286"/>
    </row>
    <row r="26" spans="1:17" ht="25.5" customHeight="1">
      <c r="A26" s="184"/>
      <c r="B26" s="489" t="s">
        <v>166</v>
      </c>
      <c r="C26" s="486" t="s">
        <v>447</v>
      </c>
      <c r="D26" s="486" t="s">
        <v>173</v>
      </c>
      <c r="E26" s="486" t="s">
        <v>176</v>
      </c>
      <c r="F26" s="486" t="s">
        <v>174</v>
      </c>
      <c r="G26" s="486" t="s">
        <v>175</v>
      </c>
      <c r="H26" s="486" t="s">
        <v>177</v>
      </c>
      <c r="I26" s="487" t="s">
        <v>178</v>
      </c>
      <c r="J26" s="661"/>
      <c r="K26" s="656"/>
      <c r="L26" s="657"/>
      <c r="M26" s="668" t="s">
        <v>182</v>
      </c>
      <c r="N26" s="763" t="str">
        <f t="shared" si="1"/>
        <v>MOQUEGUA 138
(18,1 USD/MWh)</v>
      </c>
      <c r="O26" s="286"/>
      <c r="P26" s="286"/>
      <c r="Q26" s="286"/>
    </row>
    <row r="27" spans="1:17" ht="18" customHeight="1">
      <c r="A27" s="184"/>
      <c r="B27" s="490" t="s">
        <v>172</v>
      </c>
      <c r="C27" s="270">
        <v>16.900311528547224</v>
      </c>
      <c r="D27" s="270">
        <v>16.851576821137254</v>
      </c>
      <c r="E27" s="270">
        <v>16.927269677785453</v>
      </c>
      <c r="F27" s="270">
        <v>16.762711615689465</v>
      </c>
      <c r="G27" s="270">
        <v>17.189858678054804</v>
      </c>
      <c r="H27" s="270">
        <v>16.855184612188378</v>
      </c>
      <c r="I27" s="270">
        <v>16.850454335757192</v>
      </c>
      <c r="J27" s="662"/>
      <c r="K27" s="656"/>
      <c r="L27" s="657"/>
      <c r="M27" s="668" t="s">
        <v>183</v>
      </c>
      <c r="N27" s="763" t="str">
        <f t="shared" si="1"/>
        <v>DOLORESPATA 138
(17,72 USD/MWh)</v>
      </c>
      <c r="O27" s="286"/>
      <c r="P27" s="286"/>
      <c r="Q27" s="286"/>
    </row>
    <row r="28" spans="1:17" ht="19.5" customHeight="1">
      <c r="A28" s="184"/>
      <c r="B28" s="963" t="str">
        <f>"Cuadro N°12: Valor de los costos marginales medios registrados en las principales barras del área centro durante el mes de "&amp;'1. Resumen'!Q4</f>
        <v>Cuadro N°12: Valor de los costos marginales medios registrados en las principales barras del área centro durante el mes de noviembre</v>
      </c>
      <c r="C28" s="963"/>
      <c r="D28" s="963"/>
      <c r="E28" s="963"/>
      <c r="F28" s="963"/>
      <c r="G28" s="963"/>
      <c r="H28" s="963"/>
      <c r="I28" s="963"/>
      <c r="J28" s="656"/>
      <c r="K28" s="656"/>
      <c r="L28" s="657"/>
      <c r="M28" s="668" t="s">
        <v>184</v>
      </c>
      <c r="N28" s="763" t="str">
        <f t="shared" si="1"/>
        <v>COTARUSE 220
(17,51 USD/MWh)</v>
      </c>
      <c r="O28" s="286"/>
      <c r="P28" s="286"/>
      <c r="Q28" s="286"/>
    </row>
    <row r="29" spans="1:17" ht="11.25" customHeight="1">
      <c r="A29" s="184"/>
      <c r="B29" s="190"/>
      <c r="C29" s="190"/>
      <c r="D29" s="190"/>
      <c r="E29" s="190"/>
      <c r="F29" s="190"/>
      <c r="G29" s="190"/>
      <c r="H29" s="190"/>
      <c r="I29" s="190"/>
      <c r="J29" s="663"/>
      <c r="K29" s="663"/>
      <c r="L29" s="657"/>
      <c r="M29" s="668" t="s">
        <v>185</v>
      </c>
      <c r="N29" s="763" t="str">
        <f t="shared" si="1"/>
        <v>SAN GABAN 138
(17,56 USD/MWh)</v>
      </c>
      <c r="O29" s="286"/>
      <c r="P29" s="286"/>
      <c r="Q29" s="286"/>
    </row>
    <row r="30" spans="1:17" ht="11.25" customHeight="1">
      <c r="A30" s="184"/>
      <c r="B30" s="190"/>
      <c r="C30" s="190"/>
      <c r="D30" s="190"/>
      <c r="E30" s="190"/>
      <c r="F30" s="190"/>
      <c r="G30" s="190"/>
      <c r="H30" s="190"/>
      <c r="I30" s="190"/>
      <c r="J30" s="663"/>
      <c r="K30" s="663"/>
      <c r="L30" s="657"/>
      <c r="M30" s="668"/>
      <c r="N30" s="764"/>
      <c r="O30" s="286"/>
      <c r="P30" s="286"/>
      <c r="Q30" s="286"/>
    </row>
    <row r="31" spans="1:17" ht="11.25" customHeight="1">
      <c r="A31" s="184"/>
      <c r="B31" s="190"/>
      <c r="C31" s="190"/>
      <c r="D31" s="190"/>
      <c r="E31" s="190"/>
      <c r="F31" s="190"/>
      <c r="G31" s="190"/>
      <c r="H31" s="190"/>
      <c r="I31" s="190"/>
      <c r="J31" s="663"/>
      <c r="K31" s="663"/>
      <c r="L31" s="657"/>
      <c r="M31" s="668"/>
      <c r="N31" s="764"/>
      <c r="O31" s="286"/>
      <c r="P31" s="286"/>
      <c r="Q31" s="286"/>
    </row>
    <row r="32" spans="1:17" ht="11.25" customHeight="1">
      <c r="A32" s="184"/>
      <c r="B32" s="190"/>
      <c r="C32" s="190"/>
      <c r="D32" s="190"/>
      <c r="E32" s="190"/>
      <c r="F32" s="190"/>
      <c r="G32" s="190"/>
      <c r="H32" s="190"/>
      <c r="I32" s="190"/>
      <c r="J32" s="663"/>
      <c r="K32" s="663"/>
      <c r="L32" s="657"/>
      <c r="M32" s="668"/>
      <c r="N32" s="286"/>
      <c r="O32" s="286"/>
      <c r="P32" s="286"/>
      <c r="Q32" s="286"/>
    </row>
    <row r="33" spans="1:17" ht="11.25" customHeight="1">
      <c r="A33" s="184"/>
      <c r="B33" s="190"/>
      <c r="C33" s="190"/>
      <c r="D33" s="190"/>
      <c r="E33" s="190"/>
      <c r="F33" s="190"/>
      <c r="G33" s="190"/>
      <c r="H33" s="190"/>
      <c r="I33" s="190"/>
      <c r="J33" s="663"/>
      <c r="K33" s="663"/>
      <c r="L33" s="657"/>
      <c r="N33" s="286"/>
      <c r="O33" s="286"/>
      <c r="P33" s="286"/>
      <c r="Q33" s="286"/>
    </row>
    <row r="34" spans="1:17" ht="11.25" customHeight="1">
      <c r="A34" s="184"/>
      <c r="B34" s="190"/>
      <c r="C34" s="190"/>
      <c r="D34" s="190"/>
      <c r="E34" s="190"/>
      <c r="F34" s="190"/>
      <c r="G34" s="190"/>
      <c r="H34" s="190"/>
      <c r="I34" s="190"/>
      <c r="J34" s="663"/>
      <c r="K34" s="663"/>
      <c r="L34" s="657"/>
      <c r="N34" s="286"/>
      <c r="O34" s="286"/>
      <c r="P34" s="286"/>
      <c r="Q34" s="286"/>
    </row>
    <row r="35" spans="1:17" ht="11.25" customHeight="1">
      <c r="A35" s="184"/>
      <c r="B35" s="190"/>
      <c r="C35" s="190"/>
      <c r="D35" s="190"/>
      <c r="E35" s="190"/>
      <c r="F35" s="190"/>
      <c r="G35" s="190"/>
      <c r="H35" s="190"/>
      <c r="I35" s="190"/>
      <c r="J35" s="663"/>
      <c r="K35" s="663"/>
      <c r="L35" s="664"/>
      <c r="N35" s="286"/>
      <c r="O35" s="286"/>
      <c r="P35" s="286"/>
      <c r="Q35" s="286"/>
    </row>
    <row r="36" spans="1:17" ht="11.25" customHeight="1">
      <c r="A36" s="184"/>
      <c r="B36" s="190"/>
      <c r="C36" s="190"/>
      <c r="D36" s="190"/>
      <c r="E36" s="190"/>
      <c r="F36" s="190"/>
      <c r="G36" s="190"/>
      <c r="H36" s="190"/>
      <c r="I36" s="190"/>
      <c r="J36" s="663"/>
      <c r="K36" s="663"/>
      <c r="L36" s="657"/>
      <c r="N36" s="286"/>
      <c r="O36" s="286"/>
      <c r="P36" s="286"/>
      <c r="Q36" s="286"/>
    </row>
    <row r="37" spans="1:17" ht="11.25" customHeight="1">
      <c r="A37" s="184"/>
      <c r="B37" s="190"/>
      <c r="C37" s="190"/>
      <c r="D37" s="190"/>
      <c r="E37" s="190"/>
      <c r="F37" s="190"/>
      <c r="G37" s="190"/>
      <c r="H37" s="190"/>
      <c r="I37" s="190"/>
      <c r="J37" s="663"/>
      <c r="K37" s="663"/>
      <c r="L37" s="657"/>
      <c r="N37" s="286"/>
      <c r="O37" s="286"/>
      <c r="P37" s="286"/>
      <c r="Q37" s="286"/>
    </row>
    <row r="38" spans="1:17" ht="11.25" customHeight="1">
      <c r="A38" s="184"/>
      <c r="B38" s="190"/>
      <c r="C38" s="190"/>
      <c r="D38" s="190"/>
      <c r="E38" s="190"/>
      <c r="F38" s="190"/>
      <c r="G38" s="190"/>
      <c r="H38" s="190"/>
      <c r="I38" s="190"/>
      <c r="J38" s="663"/>
      <c r="K38" s="663"/>
      <c r="L38" s="657"/>
      <c r="N38" s="286"/>
      <c r="O38" s="286"/>
      <c r="P38" s="286"/>
      <c r="Q38" s="286"/>
    </row>
    <row r="39" spans="1:17" ht="11.25" customHeight="1">
      <c r="A39" s="184"/>
      <c r="B39" s="190"/>
      <c r="C39" s="190"/>
      <c r="D39" s="190"/>
      <c r="E39" s="190"/>
      <c r="F39" s="190"/>
      <c r="G39" s="190"/>
      <c r="H39" s="190"/>
      <c r="I39" s="190"/>
      <c r="J39" s="663"/>
      <c r="K39" s="663"/>
      <c r="L39" s="657"/>
      <c r="N39" s="286"/>
      <c r="O39" s="286"/>
      <c r="P39" s="286"/>
      <c r="Q39" s="286"/>
    </row>
    <row r="40" spans="1:17" ht="13.5" customHeight="1">
      <c r="A40" s="184"/>
      <c r="B40" s="961" t="str">
        <f>"Gráfico N°21: Costos marginales medios registrados en las principales barras del área centro durante el mes de "&amp;'1. Resumen'!Q4</f>
        <v>Gráfico N°21: Costos marginales medios registrados en las principales barras del área centro durante el mes de noviembre</v>
      </c>
      <c r="C40" s="961"/>
      <c r="D40" s="961"/>
      <c r="E40" s="961"/>
      <c r="F40" s="961"/>
      <c r="G40" s="961"/>
      <c r="H40" s="961"/>
      <c r="I40" s="961"/>
      <c r="J40" s="663"/>
      <c r="K40" s="663"/>
      <c r="L40" s="657"/>
      <c r="N40" s="286"/>
      <c r="O40" s="286"/>
      <c r="P40" s="286"/>
      <c r="Q40" s="286"/>
    </row>
    <row r="41" spans="1:17" ht="6.75" customHeight="1">
      <c r="A41" s="184"/>
      <c r="B41" s="190"/>
      <c r="C41" s="190"/>
      <c r="D41" s="190"/>
      <c r="E41" s="190"/>
      <c r="F41" s="190"/>
      <c r="G41" s="190"/>
      <c r="H41" s="190"/>
      <c r="I41" s="190"/>
      <c r="J41" s="663"/>
      <c r="K41" s="663"/>
      <c r="L41" s="657"/>
      <c r="N41" s="286"/>
      <c r="O41" s="286"/>
      <c r="P41" s="286"/>
      <c r="Q41" s="286"/>
    </row>
    <row r="42" spans="1:17" ht="8.25" customHeight="1">
      <c r="A42" s="184"/>
      <c r="B42" s="186"/>
      <c r="C42" s="186"/>
      <c r="D42" s="186"/>
      <c r="E42" s="186"/>
      <c r="F42" s="186"/>
      <c r="G42" s="186"/>
      <c r="H42" s="186"/>
      <c r="I42" s="186"/>
      <c r="J42" s="665"/>
      <c r="K42" s="665"/>
      <c r="L42" s="11"/>
      <c r="N42" s="286"/>
      <c r="O42" s="286"/>
      <c r="P42" s="286"/>
      <c r="Q42" s="286"/>
    </row>
    <row r="43" spans="1:17" ht="11.25" customHeight="1">
      <c r="A43" s="184"/>
      <c r="B43" s="189" t="s">
        <v>390</v>
      </c>
      <c r="C43" s="186"/>
      <c r="D43" s="186"/>
      <c r="E43" s="186"/>
      <c r="F43" s="186"/>
      <c r="G43" s="186"/>
      <c r="H43" s="186"/>
      <c r="I43" s="186"/>
      <c r="J43" s="665"/>
      <c r="K43" s="665"/>
      <c r="L43" s="11"/>
      <c r="N43" s="286"/>
      <c r="O43" s="286"/>
      <c r="P43" s="286"/>
      <c r="Q43" s="286"/>
    </row>
    <row r="44" spans="1:17" ht="6.75" customHeight="1">
      <c r="A44" s="184"/>
      <c r="B44" s="186"/>
      <c r="C44" s="186"/>
      <c r="D44" s="186"/>
      <c r="E44" s="186"/>
      <c r="F44" s="186"/>
      <c r="G44" s="186"/>
      <c r="H44" s="186"/>
      <c r="I44" s="186"/>
      <c r="J44" s="665"/>
      <c r="K44" s="665"/>
      <c r="L44" s="11"/>
      <c r="N44" s="286"/>
      <c r="O44" s="286"/>
      <c r="P44" s="286"/>
      <c r="Q44" s="286"/>
    </row>
    <row r="45" spans="1:17" ht="27" customHeight="1">
      <c r="A45" s="184"/>
      <c r="B45" s="489" t="s">
        <v>166</v>
      </c>
      <c r="C45" s="486" t="s">
        <v>179</v>
      </c>
      <c r="D45" s="486" t="s">
        <v>181</v>
      </c>
      <c r="E45" s="486" t="s">
        <v>182</v>
      </c>
      <c r="F45" s="486" t="s">
        <v>180</v>
      </c>
      <c r="G45" s="486" t="s">
        <v>183</v>
      </c>
      <c r="H45" s="486" t="s">
        <v>184</v>
      </c>
      <c r="I45" s="487" t="s">
        <v>185</v>
      </c>
      <c r="J45" s="661"/>
      <c r="K45" s="663"/>
      <c r="N45" s="286"/>
      <c r="O45" s="286"/>
      <c r="P45" s="286"/>
      <c r="Q45" s="286"/>
    </row>
    <row r="46" spans="1:17" ht="18.75" customHeight="1">
      <c r="A46" s="184"/>
      <c r="B46" s="490" t="s">
        <v>172</v>
      </c>
      <c r="C46" s="270">
        <v>18.84366506501997</v>
      </c>
      <c r="D46" s="270">
        <v>18.153032114689164</v>
      </c>
      <c r="E46" s="270">
        <v>18.095630329332103</v>
      </c>
      <c r="F46" s="270">
        <v>18.358993125384643</v>
      </c>
      <c r="G46" s="270">
        <v>17.720489256694378</v>
      </c>
      <c r="H46" s="270">
        <v>17.514578839642944</v>
      </c>
      <c r="I46" s="270">
        <v>17.563134636426618</v>
      </c>
      <c r="J46" s="662"/>
      <c r="K46" s="663"/>
      <c r="N46" s="286"/>
      <c r="O46" s="286"/>
      <c r="P46" s="286"/>
      <c r="Q46" s="286"/>
    </row>
    <row r="47" spans="1:17" ht="18" customHeight="1">
      <c r="A47" s="184"/>
      <c r="B47" s="963" t="str">
        <f>"Cuadro N°13: Valor de los costos marginales medios registrados en las principales barras del área sur durante el mes de "&amp;'1. Resumen'!Q4</f>
        <v>Cuadro N°13: Valor de los costos marginales medios registrados en las principales barras del área sur durante el mes de noviembre</v>
      </c>
      <c r="C47" s="963"/>
      <c r="D47" s="963"/>
      <c r="E47" s="963"/>
      <c r="F47" s="963"/>
      <c r="G47" s="963"/>
      <c r="H47" s="963"/>
      <c r="I47" s="963"/>
      <c r="J47" s="662"/>
      <c r="K47" s="663"/>
    </row>
    <row r="48" spans="1:17" ht="13.2">
      <c r="A48" s="184"/>
      <c r="B48" s="190"/>
      <c r="C48" s="190"/>
      <c r="D48" s="190"/>
      <c r="E48" s="190"/>
      <c r="F48" s="190"/>
      <c r="G48" s="180"/>
      <c r="H48" s="180"/>
      <c r="I48" s="180"/>
      <c r="J48" s="656"/>
      <c r="K48" s="663"/>
    </row>
    <row r="49" spans="1:11" ht="13.2">
      <c r="A49" s="184"/>
      <c r="B49" s="180"/>
      <c r="C49" s="180"/>
      <c r="D49" s="180"/>
      <c r="E49" s="180"/>
      <c r="F49" s="180"/>
      <c r="G49" s="180"/>
      <c r="H49" s="180"/>
      <c r="I49" s="180"/>
      <c r="J49" s="656"/>
      <c r="K49" s="663"/>
    </row>
    <row r="50" spans="1:11" ht="13.2">
      <c r="A50" s="184"/>
      <c r="B50" s="111"/>
      <c r="C50" s="111"/>
      <c r="D50" s="111"/>
      <c r="E50" s="111"/>
      <c r="F50" s="111"/>
      <c r="G50" s="111"/>
      <c r="H50" s="111"/>
      <c r="I50" s="111"/>
      <c r="J50" s="666"/>
      <c r="K50" s="663"/>
    </row>
    <row r="51" spans="1:11" ht="13.2">
      <c r="A51" s="184"/>
      <c r="B51" s="111"/>
      <c r="C51" s="111"/>
      <c r="D51" s="111"/>
      <c r="E51" s="111"/>
      <c r="F51" s="111"/>
      <c r="G51" s="111"/>
      <c r="H51" s="111"/>
      <c r="I51" s="111"/>
      <c r="J51" s="666"/>
      <c r="K51" s="663"/>
    </row>
    <row r="52" spans="1:11" ht="13.2">
      <c r="A52" s="184"/>
      <c r="B52" s="111"/>
      <c r="C52" s="111"/>
      <c r="D52" s="111"/>
      <c r="E52" s="111"/>
      <c r="F52" s="111"/>
      <c r="G52" s="111"/>
      <c r="H52" s="111"/>
      <c r="I52" s="111"/>
      <c r="J52" s="666"/>
      <c r="K52" s="663"/>
    </row>
    <row r="53" spans="1:11" ht="13.2">
      <c r="A53" s="184"/>
      <c r="B53" s="111"/>
      <c r="C53" s="111"/>
      <c r="D53" s="111"/>
      <c r="E53" s="111"/>
      <c r="F53" s="111"/>
      <c r="G53" s="111"/>
      <c r="H53" s="111"/>
      <c r="I53" s="111"/>
      <c r="J53" s="666"/>
      <c r="K53" s="663"/>
    </row>
    <row r="54" spans="1:11" ht="13.2">
      <c r="A54" s="184"/>
      <c r="B54" s="111"/>
      <c r="C54" s="111"/>
      <c r="D54" s="111"/>
      <c r="E54" s="111"/>
      <c r="F54" s="111"/>
      <c r="G54" s="111"/>
      <c r="H54" s="111"/>
      <c r="I54" s="111"/>
      <c r="J54" s="666"/>
      <c r="K54" s="663"/>
    </row>
    <row r="55" spans="1:11" ht="13.2">
      <c r="A55" s="184"/>
      <c r="B55" s="111"/>
      <c r="C55" s="111"/>
      <c r="D55" s="111"/>
      <c r="E55" s="111"/>
      <c r="F55" s="111"/>
      <c r="G55" s="111"/>
      <c r="H55" s="111"/>
      <c r="I55" s="111"/>
      <c r="J55" s="666"/>
      <c r="K55" s="663"/>
    </row>
    <row r="56" spans="1:11" ht="13.2">
      <c r="A56" s="184"/>
      <c r="B56" s="180"/>
      <c r="C56" s="180"/>
      <c r="D56" s="180"/>
      <c r="E56" s="180"/>
      <c r="F56" s="180"/>
      <c r="G56" s="180"/>
      <c r="H56" s="180"/>
      <c r="I56" s="180"/>
      <c r="J56" s="656"/>
      <c r="K56" s="663"/>
    </row>
    <row r="57" spans="1:11" ht="13.2">
      <c r="A57" s="184"/>
      <c r="B57" s="180"/>
      <c r="C57" s="180"/>
      <c r="D57" s="180"/>
      <c r="E57" s="180"/>
      <c r="F57" s="180"/>
      <c r="G57" s="180"/>
      <c r="H57" s="180"/>
      <c r="I57" s="180"/>
      <c r="J57" s="656"/>
      <c r="K57" s="663"/>
    </row>
    <row r="58" spans="1:11" ht="13.2">
      <c r="A58" s="184"/>
      <c r="B58" s="961" t="str">
        <f>"Gráfico N°22: Costos marginales medios registrados en las principales barras del área sur durante el mes de "&amp;'1. Resumen'!Q4</f>
        <v>Gráfico N°22: Costos marginales medios registrados en las principales barras del área sur durante el mes de noviembre</v>
      </c>
      <c r="C58" s="961"/>
      <c r="D58" s="961"/>
      <c r="E58" s="961"/>
      <c r="F58" s="961"/>
      <c r="G58" s="961"/>
      <c r="H58" s="961"/>
      <c r="I58" s="961"/>
      <c r="J58" s="656"/>
      <c r="K58" s="663"/>
    </row>
    <row r="59" spans="1:11" ht="13.2">
      <c r="A59" s="74"/>
      <c r="B59" s="136"/>
      <c r="C59" s="136"/>
      <c r="D59" s="136"/>
      <c r="E59" s="136"/>
      <c r="F59" s="136"/>
      <c r="G59" s="136"/>
      <c r="H59" s="180"/>
      <c r="I59" s="180"/>
      <c r="J59" s="656"/>
      <c r="K59" s="663"/>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B1" zoomScaleNormal="100" zoomScaleSheetLayoutView="100" zoomScalePageLayoutView="145" workbookViewId="0">
      <selection activeCell="T44" sqref="T44"/>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923" t="s">
        <v>392</v>
      </c>
      <c r="B2" s="923"/>
      <c r="C2" s="923"/>
      <c r="D2" s="923"/>
      <c r="E2" s="923"/>
      <c r="F2" s="923"/>
      <c r="G2" s="923"/>
      <c r="H2" s="923"/>
      <c r="I2" s="923"/>
      <c r="J2" s="923"/>
      <c r="K2" s="923"/>
      <c r="L2" s="923"/>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61"/>
  <sheetViews>
    <sheetView showGridLines="0" view="pageBreakPreview" zoomScale="130" zoomScaleNormal="100" zoomScaleSheetLayoutView="130" zoomScalePageLayoutView="115" workbookViewId="0">
      <selection activeCell="T44" sqref="T44"/>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5703125" style="46" customWidth="1"/>
    <col min="9" max="9" width="9.28515625" style="46"/>
    <col min="10" max="11" width="9.28515625" style="46" customWidth="1"/>
    <col min="12" max="16384" width="9.28515625" style="46"/>
  </cols>
  <sheetData>
    <row r="1" spans="1:12" ht="4.5" customHeight="1"/>
    <row r="2" spans="1:12" ht="14.25" customHeight="1">
      <c r="A2" s="964" t="s">
        <v>391</v>
      </c>
      <c r="B2" s="964"/>
      <c r="C2" s="964"/>
      <c r="D2" s="964"/>
      <c r="E2" s="964"/>
      <c r="F2" s="964"/>
      <c r="G2" s="964"/>
      <c r="H2" s="964"/>
      <c r="I2" s="203"/>
      <c r="J2" s="203"/>
      <c r="K2" s="203"/>
    </row>
    <row r="3" spans="1:12" ht="3" customHeight="1">
      <c r="A3" s="77"/>
      <c r="B3" s="77"/>
      <c r="C3" s="77"/>
      <c r="D3" s="77"/>
      <c r="E3" s="77"/>
      <c r="F3" s="77"/>
      <c r="G3" s="77"/>
      <c r="H3" s="77"/>
      <c r="I3" s="204"/>
      <c r="J3" s="204"/>
      <c r="K3" s="204"/>
      <c r="L3" s="36"/>
    </row>
    <row r="4" spans="1:12" ht="15" customHeight="1">
      <c r="A4" s="955" t="s">
        <v>444</v>
      </c>
      <c r="B4" s="955"/>
      <c r="C4" s="955"/>
      <c r="D4" s="955"/>
      <c r="E4" s="955"/>
      <c r="F4" s="955"/>
      <c r="G4" s="955"/>
      <c r="H4" s="955"/>
      <c r="I4" s="195"/>
      <c r="J4" s="195"/>
      <c r="K4" s="195"/>
      <c r="L4" s="36"/>
    </row>
    <row r="5" spans="1:12" ht="11.25" customHeight="1">
      <c r="A5" s="77"/>
      <c r="B5" s="164"/>
      <c r="C5" s="78"/>
      <c r="D5" s="79"/>
      <c r="E5" s="79"/>
      <c r="F5" s="80"/>
      <c r="G5" s="76"/>
      <c r="H5" s="76"/>
      <c r="I5" s="196"/>
      <c r="J5" s="196"/>
      <c r="K5" s="196"/>
      <c r="L5" s="205"/>
    </row>
    <row r="6" spans="1:12" ht="30.75" customHeight="1">
      <c r="A6" s="513" t="s">
        <v>186</v>
      </c>
      <c r="B6" s="511" t="s">
        <v>187</v>
      </c>
      <c r="C6" s="511" t="s">
        <v>188</v>
      </c>
      <c r="D6" s="510" t="str">
        <f>UPPER('1. Resumen'!Q4)&amp;"
 "&amp;'1. Resumen'!Q5</f>
        <v>NOVIEMBRE
 2020</v>
      </c>
      <c r="E6" s="510" t="str">
        <f>UPPER('1. Resumen'!Q4)&amp;"
 "&amp;'1. Resumen'!Q5-1</f>
        <v>NOVIEMBRE
 2019</v>
      </c>
      <c r="F6" s="510" t="str">
        <f>UPPER('1. Resumen'!Q4)&amp;"
 "&amp;'1. Resumen'!Q5-2</f>
        <v>NOVIEMBRE
 2018</v>
      </c>
      <c r="G6" s="511" t="s">
        <v>481</v>
      </c>
      <c r="H6" s="512" t="s">
        <v>435</v>
      </c>
      <c r="I6" s="196"/>
      <c r="J6" s="196"/>
      <c r="K6" s="196"/>
      <c r="L6" s="166"/>
    </row>
    <row r="7" spans="1:12" ht="19.5" customHeight="1">
      <c r="A7" s="965" t="s">
        <v>189</v>
      </c>
      <c r="B7" s="822" t="s">
        <v>681</v>
      </c>
      <c r="C7" s="823" t="s">
        <v>690</v>
      </c>
      <c r="D7" s="824"/>
      <c r="E7" s="824"/>
      <c r="F7" s="824">
        <v>3.0000000000000013</v>
      </c>
      <c r="G7" s="825"/>
      <c r="H7" s="825"/>
      <c r="I7" s="196"/>
      <c r="J7" s="196"/>
      <c r="K7" s="196"/>
      <c r="L7" s="58"/>
    </row>
    <row r="8" spans="1:12" ht="19.5" customHeight="1">
      <c r="A8" s="965"/>
      <c r="B8" s="822" t="s">
        <v>682</v>
      </c>
      <c r="C8" s="823" t="s">
        <v>691</v>
      </c>
      <c r="D8" s="824"/>
      <c r="E8" s="824">
        <v>6.6333333333333355</v>
      </c>
      <c r="F8" s="824"/>
      <c r="G8" s="825"/>
      <c r="H8" s="825"/>
      <c r="I8" s="196"/>
      <c r="J8" s="196"/>
      <c r="K8" s="196"/>
      <c r="L8" s="58"/>
    </row>
    <row r="9" spans="1:12" ht="19.5" customHeight="1">
      <c r="A9" s="965"/>
      <c r="B9" s="822" t="s">
        <v>683</v>
      </c>
      <c r="C9" s="823" t="s">
        <v>692</v>
      </c>
      <c r="D9" s="824"/>
      <c r="E9" s="824">
        <v>1.4500000000000002</v>
      </c>
      <c r="F9" s="824"/>
      <c r="G9" s="825"/>
      <c r="H9" s="825"/>
      <c r="I9" s="196"/>
      <c r="J9" s="196"/>
      <c r="K9" s="196"/>
      <c r="L9" s="58"/>
    </row>
    <row r="10" spans="1:12" ht="19.5" customHeight="1">
      <c r="A10" s="965"/>
      <c r="B10" s="822" t="s">
        <v>684</v>
      </c>
      <c r="C10" s="823" t="s">
        <v>693</v>
      </c>
      <c r="D10" s="824"/>
      <c r="E10" s="824">
        <v>1.4500000000000002</v>
      </c>
      <c r="F10" s="824"/>
      <c r="G10" s="825"/>
      <c r="H10" s="825"/>
      <c r="I10" s="196"/>
      <c r="J10" s="196"/>
      <c r="K10" s="196"/>
      <c r="L10" s="58"/>
    </row>
    <row r="11" spans="1:12" ht="19.5" customHeight="1">
      <c r="A11" s="965"/>
      <c r="B11" s="822" t="s">
        <v>685</v>
      </c>
      <c r="C11" s="823" t="s">
        <v>694</v>
      </c>
      <c r="D11" s="824"/>
      <c r="E11" s="824"/>
      <c r="F11" s="824">
        <v>2.2666666666666679</v>
      </c>
      <c r="G11" s="825"/>
      <c r="H11" s="825"/>
      <c r="I11" s="196"/>
      <c r="J11" s="196"/>
      <c r="K11" s="196"/>
      <c r="L11" s="58"/>
    </row>
    <row r="12" spans="1:12" ht="19.5" customHeight="1">
      <c r="A12" s="965"/>
      <c r="B12" s="822" t="s">
        <v>686</v>
      </c>
      <c r="C12" s="823" t="s">
        <v>695</v>
      </c>
      <c r="D12" s="824"/>
      <c r="E12" s="824"/>
      <c r="F12" s="824">
        <v>19.283333333333331</v>
      </c>
      <c r="G12" s="825"/>
      <c r="H12" s="825"/>
      <c r="I12" s="196"/>
      <c r="J12" s="196"/>
      <c r="K12" s="196"/>
      <c r="L12" s="58"/>
    </row>
    <row r="13" spans="1:12" ht="19.5" customHeight="1">
      <c r="A13" s="965"/>
      <c r="B13" s="822" t="s">
        <v>523</v>
      </c>
      <c r="C13" s="823" t="s">
        <v>524</v>
      </c>
      <c r="D13" s="824"/>
      <c r="E13" s="824"/>
      <c r="F13" s="824">
        <v>102.2</v>
      </c>
      <c r="G13" s="825"/>
      <c r="H13" s="825"/>
      <c r="I13" s="196"/>
      <c r="J13" s="196"/>
      <c r="K13" s="196"/>
      <c r="L13" s="58"/>
    </row>
    <row r="14" spans="1:12" ht="19.5" customHeight="1">
      <c r="A14" s="965"/>
      <c r="B14" s="822" t="s">
        <v>687</v>
      </c>
      <c r="C14" s="823" t="s">
        <v>696</v>
      </c>
      <c r="D14" s="824"/>
      <c r="E14" s="824">
        <v>5.3166666666666682</v>
      </c>
      <c r="F14" s="824"/>
      <c r="G14" s="825"/>
      <c r="H14" s="825"/>
      <c r="I14" s="196"/>
      <c r="J14" s="196"/>
      <c r="K14" s="196"/>
      <c r="L14" s="58"/>
    </row>
    <row r="15" spans="1:12" ht="19.5" customHeight="1">
      <c r="A15" s="965"/>
      <c r="B15" s="822" t="s">
        <v>688</v>
      </c>
      <c r="C15" s="823" t="s">
        <v>697</v>
      </c>
      <c r="D15" s="824"/>
      <c r="E15" s="824"/>
      <c r="F15" s="824">
        <v>2.4333333333333336</v>
      </c>
      <c r="G15" s="825"/>
      <c r="H15" s="825"/>
      <c r="I15" s="196"/>
      <c r="J15" s="196"/>
      <c r="K15" s="196"/>
      <c r="L15" s="58"/>
    </row>
    <row r="16" spans="1:12" ht="19.5" customHeight="1">
      <c r="A16" s="965"/>
      <c r="B16" s="822" t="s">
        <v>541</v>
      </c>
      <c r="C16" s="823" t="s">
        <v>542</v>
      </c>
      <c r="D16" s="824">
        <v>22.133333333333329</v>
      </c>
      <c r="E16" s="824">
        <v>49.066666666666663</v>
      </c>
      <c r="F16" s="824">
        <v>18.966666666666669</v>
      </c>
      <c r="G16" s="825"/>
      <c r="H16" s="825"/>
      <c r="I16" s="196"/>
      <c r="J16" s="196"/>
      <c r="K16" s="196"/>
      <c r="L16" s="58"/>
    </row>
    <row r="17" spans="1:12" ht="19.5" customHeight="1">
      <c r="A17" s="965"/>
      <c r="B17" s="822" t="s">
        <v>543</v>
      </c>
      <c r="C17" s="823" t="s">
        <v>544</v>
      </c>
      <c r="D17" s="824">
        <v>23.983333333333334</v>
      </c>
      <c r="E17" s="824">
        <v>193.09999999999997</v>
      </c>
      <c r="F17" s="824">
        <v>13.3</v>
      </c>
      <c r="G17" s="825"/>
      <c r="H17" s="825"/>
      <c r="I17" s="196"/>
      <c r="J17" s="196"/>
      <c r="K17" s="196"/>
      <c r="L17" s="58"/>
    </row>
    <row r="18" spans="1:12" ht="14.25" customHeight="1">
      <c r="A18" s="965"/>
      <c r="B18" s="822" t="s">
        <v>525</v>
      </c>
      <c r="C18" s="823" t="s">
        <v>482</v>
      </c>
      <c r="D18" s="824">
        <v>8.0500000000000025</v>
      </c>
      <c r="E18" s="824"/>
      <c r="F18" s="824">
        <v>7.4833333333333343</v>
      </c>
      <c r="G18" s="825"/>
      <c r="H18" s="825"/>
      <c r="I18" s="196"/>
      <c r="J18" s="196"/>
      <c r="K18" s="196"/>
      <c r="L18" s="58"/>
    </row>
    <row r="19" spans="1:12" ht="14.25" customHeight="1">
      <c r="A19" s="965"/>
      <c r="B19" s="822" t="s">
        <v>689</v>
      </c>
      <c r="C19" s="823" t="s">
        <v>698</v>
      </c>
      <c r="D19" s="824">
        <v>2.6833333333333331</v>
      </c>
      <c r="E19" s="824"/>
      <c r="F19" s="824"/>
      <c r="G19" s="825"/>
      <c r="H19" s="825"/>
      <c r="I19" s="196"/>
      <c r="J19" s="196"/>
      <c r="K19" s="196"/>
      <c r="L19" s="58"/>
    </row>
    <row r="20" spans="1:12" ht="18.75" customHeight="1">
      <c r="A20" s="503" t="s">
        <v>190</v>
      </c>
      <c r="B20" s="504"/>
      <c r="C20" s="505"/>
      <c r="D20" s="506">
        <f>SUM(D7:D19)</f>
        <v>56.849999999999994</v>
      </c>
      <c r="E20" s="506">
        <f>SUM(E7:E19)</f>
        <v>257.01666666666665</v>
      </c>
      <c r="F20" s="506">
        <f>SUM(F7:F19)</f>
        <v>168.93333333333334</v>
      </c>
      <c r="G20" s="506">
        <f>SUM(G7:G19)</f>
        <v>0</v>
      </c>
      <c r="H20" s="756">
        <f t="shared" ref="H20" si="0">+E20/F20-1</f>
        <v>0.52140883977900532</v>
      </c>
      <c r="I20" s="196"/>
      <c r="J20" s="196"/>
      <c r="K20" s="197"/>
      <c r="L20" s="206"/>
    </row>
    <row r="21" spans="1:12" ht="11.25" customHeight="1">
      <c r="A21" s="268" t="str">
        <f>"Cuadro N° 14: Horas de operación de los principales equipos de congestión en "&amp;'1. Resumen'!Q4</f>
        <v>Cuadro N° 14: Horas de operación de los principales equipos de congestión en noviembre</v>
      </c>
      <c r="B21" s="209"/>
      <c r="C21" s="210"/>
      <c r="D21" s="211"/>
      <c r="E21" s="211"/>
      <c r="F21" s="212"/>
      <c r="G21" s="76"/>
      <c r="H21" s="82"/>
      <c r="I21" s="196"/>
      <c r="J21" s="196"/>
      <c r="K21" s="197"/>
      <c r="L21" s="206"/>
    </row>
    <row r="22" spans="1:12" ht="11.25" customHeight="1">
      <c r="A22" s="137"/>
      <c r="B22" s="209"/>
      <c r="C22" s="210"/>
      <c r="D22" s="211"/>
      <c r="E22" s="211"/>
      <c r="F22" s="212"/>
      <c r="G22" s="76"/>
      <c r="H22" s="76"/>
      <c r="I22" s="196"/>
      <c r="J22" s="196"/>
      <c r="K22" s="197"/>
      <c r="L22" s="206"/>
    </row>
    <row r="23" spans="1:12" ht="11.25" customHeight="1">
      <c r="A23" s="137"/>
      <c r="B23" s="209"/>
      <c r="C23" s="210"/>
      <c r="D23" s="211"/>
      <c r="E23" s="211"/>
      <c r="F23" s="212"/>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7"/>
      <c r="L26" s="207"/>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7"/>
      <c r="L28" s="206"/>
    </row>
    <row r="29" spans="1:12" ht="11.25" customHeight="1">
      <c r="A29" s="77"/>
      <c r="B29" s="164"/>
      <c r="C29" s="78"/>
      <c r="D29" s="79"/>
      <c r="E29" s="79"/>
      <c r="F29" s="80"/>
      <c r="G29" s="76"/>
      <c r="H29" s="76"/>
      <c r="I29" s="196"/>
      <c r="J29" s="196"/>
      <c r="K29" s="196"/>
      <c r="L29" s="58"/>
    </row>
    <row r="30" spans="1:12" ht="11.25" customHeight="1">
      <c r="A30" s="77"/>
      <c r="B30" s="164"/>
      <c r="C30" s="78"/>
      <c r="D30" s="79"/>
      <c r="E30" s="79"/>
      <c r="F30" s="80"/>
      <c r="G30" s="76"/>
      <c r="H30" s="76"/>
      <c r="I30" s="196"/>
      <c r="J30" s="196"/>
      <c r="K30" s="197"/>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164"/>
      <c r="C35" s="78"/>
      <c r="D35" s="79"/>
      <c r="E35" s="79"/>
      <c r="F35" s="80"/>
      <c r="G35" s="76"/>
      <c r="H35" s="76"/>
      <c r="I35" s="196"/>
      <c r="J35" s="196"/>
      <c r="K35" s="198"/>
      <c r="L35" s="206"/>
    </row>
    <row r="36" spans="1:12" ht="11.25" customHeight="1">
      <c r="A36" s="77"/>
      <c r="B36" s="164"/>
      <c r="C36" s="78"/>
      <c r="D36" s="79"/>
      <c r="E36" s="79"/>
      <c r="F36" s="80"/>
      <c r="G36" s="76"/>
      <c r="H36" s="76"/>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8.25" customHeight="1">
      <c r="A46" s="77"/>
      <c r="B46" s="77"/>
      <c r="C46" s="77"/>
      <c r="D46" s="77"/>
      <c r="E46" s="77"/>
      <c r="F46" s="77"/>
      <c r="G46" s="77"/>
      <c r="H46" s="77"/>
      <c r="I46" s="196"/>
      <c r="J46" s="196"/>
      <c r="K46" s="199"/>
      <c r="L46" s="59"/>
    </row>
    <row r="47" spans="1:12" ht="24.7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8"/>
    </row>
    <row r="52" spans="1:12" ht="11.25" customHeight="1">
      <c r="A52" s="77"/>
      <c r="B52" s="77"/>
      <c r="C52" s="77"/>
      <c r="D52" s="77"/>
      <c r="E52" s="77"/>
      <c r="F52" s="77"/>
      <c r="G52" s="77"/>
      <c r="H52" s="77"/>
      <c r="I52" s="196"/>
      <c r="J52" s="196"/>
      <c r="K52" s="198"/>
    </row>
    <row r="53" spans="1:12" ht="13.2">
      <c r="A53" s="54"/>
      <c r="B53" s="77"/>
      <c r="C53" s="77"/>
      <c r="D53" s="77"/>
      <c r="E53" s="77"/>
      <c r="F53" s="77"/>
      <c r="G53" s="77"/>
      <c r="H53" s="77"/>
      <c r="I53" s="196"/>
      <c r="J53" s="196"/>
      <c r="K53" s="198"/>
    </row>
    <row r="54" spans="1:12" ht="13.2">
      <c r="B54" s="77"/>
      <c r="C54" s="77"/>
      <c r="D54" s="77"/>
      <c r="E54" s="77"/>
      <c r="F54" s="77"/>
      <c r="G54" s="77"/>
      <c r="H54" s="77"/>
      <c r="I54" s="111"/>
      <c r="J54" s="111"/>
      <c r="K54" s="198"/>
    </row>
    <row r="55" spans="1:12" ht="13.2">
      <c r="A55" s="268" t="str">
        <f>"Gráfico N° 23: Comparación de las horas de operación de los principales equipos de congestión en "&amp;'1. Resumen'!Q4&amp;"."</f>
        <v>Gráfico N° 23: Comparación de las horas de operación de los principales equipos de congestión en noviembre.</v>
      </c>
      <c r="B55" s="77"/>
      <c r="C55" s="77"/>
      <c r="D55" s="77"/>
      <c r="E55" s="77"/>
      <c r="F55" s="77"/>
      <c r="G55" s="77"/>
      <c r="H55" s="77"/>
      <c r="I55" s="111"/>
      <c r="J55" s="111"/>
      <c r="K55" s="198"/>
    </row>
    <row r="56" spans="1:12" ht="13.2">
      <c r="A56" s="77"/>
      <c r="B56" s="77"/>
      <c r="C56" s="77"/>
      <c r="D56" s="77"/>
      <c r="E56" s="77"/>
      <c r="F56" s="77"/>
      <c r="G56" s="77"/>
      <c r="H56" s="77"/>
      <c r="I56" s="197"/>
      <c r="J56" s="197"/>
      <c r="K56" s="198"/>
    </row>
    <row r="57" spans="1:12" ht="13.2">
      <c r="A57" s="196"/>
      <c r="B57" s="197"/>
      <c r="C57" s="197"/>
      <c r="D57" s="197"/>
      <c r="E57" s="197"/>
      <c r="F57" s="197"/>
      <c r="G57" s="197"/>
      <c r="H57" s="197"/>
      <c r="I57" s="197"/>
      <c r="J57" s="197"/>
      <c r="K57" s="198"/>
    </row>
    <row r="58" spans="1:12" ht="13.2">
      <c r="A58" s="196"/>
      <c r="B58" s="208"/>
      <c r="C58" s="198"/>
      <c r="D58" s="198"/>
      <c r="E58" s="198"/>
      <c r="F58" s="198"/>
      <c r="G58" s="197"/>
      <c r="H58" s="197"/>
      <c r="I58" s="197"/>
      <c r="J58" s="197"/>
      <c r="K58" s="198"/>
    </row>
    <row r="59" spans="1:12" ht="13.2">
      <c r="A59" s="1"/>
      <c r="B59" s="31"/>
      <c r="C59" s="31"/>
      <c r="D59" s="31"/>
      <c r="E59" s="31"/>
      <c r="F59" s="31"/>
      <c r="G59" s="31"/>
      <c r="H59" s="197"/>
      <c r="I59" s="197"/>
      <c r="J59" s="197"/>
      <c r="K59" s="198"/>
    </row>
    <row r="60" spans="1:12" ht="13.2">
      <c r="A60" s="1"/>
      <c r="B60" s="31"/>
      <c r="C60" s="31"/>
      <c r="D60" s="31"/>
      <c r="E60" s="31"/>
      <c r="F60" s="31"/>
      <c r="G60" s="31"/>
      <c r="H60" s="197"/>
      <c r="I60" s="197"/>
      <c r="J60" s="197"/>
      <c r="K60" s="197"/>
    </row>
    <row r="61" spans="1:12" ht="13.2">
      <c r="A61" s="1"/>
      <c r="B61" s="31"/>
      <c r="C61" s="31"/>
      <c r="D61" s="31"/>
      <c r="E61" s="31"/>
      <c r="F61" s="31"/>
      <c r="G61" s="31"/>
      <c r="H61" s="197"/>
      <c r="I61" s="197"/>
      <c r="J61" s="197"/>
      <c r="K61" s="197"/>
    </row>
  </sheetData>
  <mergeCells count="3">
    <mergeCell ref="A4:H4"/>
    <mergeCell ref="A2:H2"/>
    <mergeCell ref="A7:A1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10" zoomScaleNormal="160" zoomScaleSheetLayoutView="110" zoomScalePageLayoutView="130" workbookViewId="0">
      <selection activeCell="T44" sqref="T44"/>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73" t="s">
        <v>419</v>
      </c>
      <c r="B2" s="973"/>
      <c r="C2" s="973"/>
      <c r="D2" s="973"/>
      <c r="E2" s="973"/>
      <c r="F2" s="973"/>
      <c r="G2" s="973"/>
      <c r="H2" s="973"/>
      <c r="I2" s="973"/>
      <c r="J2" s="973"/>
      <c r="K2" s="163"/>
    </row>
    <row r="3" spans="1:12" ht="6.75" customHeight="1">
      <c r="A3" s="17"/>
      <c r="B3" s="159"/>
      <c r="C3" s="213"/>
      <c r="D3" s="18"/>
      <c r="E3" s="18"/>
      <c r="F3" s="192"/>
      <c r="G3" s="66"/>
      <c r="H3" s="66"/>
      <c r="I3" s="71"/>
      <c r="J3" s="163"/>
      <c r="K3" s="163"/>
      <c r="L3" s="36"/>
    </row>
    <row r="4" spans="1:12" ht="15" customHeight="1">
      <c r="A4" s="974" t="s">
        <v>443</v>
      </c>
      <c r="B4" s="974"/>
      <c r="C4" s="974"/>
      <c r="D4" s="974"/>
      <c r="E4" s="974"/>
      <c r="F4" s="974"/>
      <c r="G4" s="974"/>
      <c r="H4" s="974"/>
      <c r="I4" s="974"/>
      <c r="J4" s="974"/>
      <c r="K4" s="163"/>
      <c r="L4" s="36"/>
    </row>
    <row r="5" spans="1:12" ht="38.25" customHeight="1">
      <c r="A5" s="971" t="s">
        <v>191</v>
      </c>
      <c r="B5" s="514" t="s">
        <v>192</v>
      </c>
      <c r="C5" s="515" t="s">
        <v>193</v>
      </c>
      <c r="D5" s="515" t="s">
        <v>194</v>
      </c>
      <c r="E5" s="515" t="s">
        <v>195</v>
      </c>
      <c r="F5" s="515" t="s">
        <v>196</v>
      </c>
      <c r="G5" s="515" t="s">
        <v>197</v>
      </c>
      <c r="H5" s="515" t="s">
        <v>198</v>
      </c>
      <c r="I5" s="516" t="s">
        <v>199</v>
      </c>
      <c r="J5" s="517" t="s">
        <v>200</v>
      </c>
      <c r="K5" s="131"/>
    </row>
    <row r="6" spans="1:12" ht="11.25" customHeight="1">
      <c r="A6" s="972"/>
      <c r="B6" s="696" t="s">
        <v>201</v>
      </c>
      <c r="C6" s="516" t="s">
        <v>202</v>
      </c>
      <c r="D6" s="516" t="s">
        <v>203</v>
      </c>
      <c r="E6" s="516" t="s">
        <v>204</v>
      </c>
      <c r="F6" s="516" t="s">
        <v>205</v>
      </c>
      <c r="G6" s="516" t="s">
        <v>206</v>
      </c>
      <c r="H6" s="516" t="s">
        <v>207</v>
      </c>
      <c r="I6" s="697"/>
      <c r="J6" s="698" t="s">
        <v>208</v>
      </c>
      <c r="K6" s="19"/>
    </row>
    <row r="7" spans="1:12" ht="20.25" customHeight="1">
      <c r="A7" s="706" t="s">
        <v>679</v>
      </c>
      <c r="B7" s="707">
        <v>16</v>
      </c>
      <c r="C7" s="707">
        <v>9</v>
      </c>
      <c r="D7" s="707">
        <v>2</v>
      </c>
      <c r="E7" s="707">
        <v>3</v>
      </c>
      <c r="F7" s="707">
        <v>12</v>
      </c>
      <c r="G7" s="707">
        <v>1</v>
      </c>
      <c r="H7" s="707"/>
      <c r="I7" s="708">
        <f>+SUM(B7:H7)</f>
        <v>43</v>
      </c>
      <c r="J7" s="709">
        <v>549.73</v>
      </c>
      <c r="K7" s="22"/>
    </row>
    <row r="8" spans="1:12" s="725" customFormat="1" ht="20.25" customHeight="1">
      <c r="A8" s="844" t="s">
        <v>520</v>
      </c>
      <c r="B8" s="845"/>
      <c r="C8" s="845"/>
      <c r="D8" s="845">
        <v>1</v>
      </c>
      <c r="E8" s="845"/>
      <c r="F8" s="845"/>
      <c r="G8" s="845">
        <v>2</v>
      </c>
      <c r="H8" s="845">
        <v>1</v>
      </c>
      <c r="I8" s="708">
        <f t="shared" ref="I8:I10" si="0">+SUM(B8:H8)</f>
        <v>4</v>
      </c>
      <c r="J8" s="846">
        <v>90.91</v>
      </c>
      <c r="K8" s="22"/>
    </row>
    <row r="9" spans="1:12" s="725" customFormat="1" ht="20.25" customHeight="1">
      <c r="A9" s="844" t="s">
        <v>166</v>
      </c>
      <c r="B9" s="845"/>
      <c r="C9" s="845"/>
      <c r="D9" s="845"/>
      <c r="E9" s="845"/>
      <c r="F9" s="845"/>
      <c r="G9" s="845"/>
      <c r="H9" s="845">
        <v>1</v>
      </c>
      <c r="I9" s="708">
        <f t="shared" si="0"/>
        <v>1</v>
      </c>
      <c r="J9" s="846">
        <v>5.78</v>
      </c>
      <c r="K9" s="22"/>
    </row>
    <row r="10" spans="1:12" s="725" customFormat="1" ht="20.25" customHeight="1">
      <c r="A10" s="844" t="s">
        <v>680</v>
      </c>
      <c r="B10" s="845"/>
      <c r="C10" s="845"/>
      <c r="D10" s="845">
        <v>1</v>
      </c>
      <c r="E10" s="845">
        <v>1</v>
      </c>
      <c r="F10" s="845"/>
      <c r="G10" s="845">
        <v>1</v>
      </c>
      <c r="H10" s="845"/>
      <c r="I10" s="708">
        <f t="shared" si="0"/>
        <v>3</v>
      </c>
      <c r="J10" s="846">
        <v>16.41</v>
      </c>
      <c r="K10" s="22"/>
    </row>
    <row r="11" spans="1:12" ht="14.25" customHeight="1">
      <c r="A11" s="704" t="s">
        <v>199</v>
      </c>
      <c r="B11" s="699">
        <f t="shared" ref="B11:H11" si="1">+SUM(B7:B10)</f>
        <v>16</v>
      </c>
      <c r="C11" s="699">
        <f t="shared" si="1"/>
        <v>9</v>
      </c>
      <c r="D11" s="699">
        <f t="shared" si="1"/>
        <v>4</v>
      </c>
      <c r="E11" s="699">
        <f t="shared" si="1"/>
        <v>4</v>
      </c>
      <c r="F11" s="699">
        <f t="shared" si="1"/>
        <v>12</v>
      </c>
      <c r="G11" s="699">
        <f t="shared" si="1"/>
        <v>4</v>
      </c>
      <c r="H11" s="699">
        <f t="shared" si="1"/>
        <v>2</v>
      </c>
      <c r="I11" s="699">
        <f>SUM(I7:I10)</f>
        <v>51</v>
      </c>
      <c r="J11" s="700">
        <f>SUM(J7:J10)</f>
        <v>662.82999999999993</v>
      </c>
      <c r="K11" s="22"/>
    </row>
    <row r="12" spans="1:12" ht="11.25" customHeight="1">
      <c r="A12" s="97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noviembre 2020</v>
      </c>
      <c r="B12" s="975"/>
      <c r="C12" s="975"/>
      <c r="D12" s="975"/>
      <c r="E12" s="975"/>
      <c r="F12" s="975"/>
      <c r="G12" s="975"/>
      <c r="H12" s="975"/>
      <c r="I12" s="975"/>
      <c r="J12" s="975"/>
      <c r="K12" s="22"/>
    </row>
    <row r="13" spans="1:12" ht="11.25" customHeight="1">
      <c r="K13" s="22"/>
    </row>
    <row r="14" spans="1:12" ht="11.25" customHeight="1">
      <c r="A14" s="17"/>
      <c r="B14" s="215"/>
      <c r="C14" s="214"/>
      <c r="D14" s="214"/>
      <c r="E14" s="214"/>
      <c r="F14" s="214"/>
      <c r="G14" s="178"/>
      <c r="H14" s="178"/>
      <c r="I14" s="138"/>
      <c r="J14" s="25"/>
      <c r="K14" s="25"/>
      <c r="L14" s="22"/>
    </row>
    <row r="15" spans="1:12" ht="11.25" customHeight="1">
      <c r="A15" s="968" t="str">
        <f>"FALLAS  POR TIPO DE CAUSA  -  "&amp;UPPER('1. Resumen'!Q4)&amp;" "&amp;'1. Resumen'!Q5</f>
        <v>FALLAS  POR TIPO DE CAUSA  -  NOVIEMBRE 2020</v>
      </c>
      <c r="B15" s="968"/>
      <c r="C15" s="968"/>
      <c r="D15" s="968"/>
      <c r="E15" s="968" t="str">
        <f>"FALLAS  POR TIPO DE EQUIPO  -  "&amp;UPPER('1. Resumen'!Q4)&amp;" "&amp;'1. Resumen'!Q5</f>
        <v>FALLAS  POR TIPO DE EQUIPO  -  NOVIEMBRE 2020</v>
      </c>
      <c r="F15" s="968"/>
      <c r="G15" s="968"/>
      <c r="H15" s="968"/>
      <c r="I15" s="968"/>
      <c r="J15" s="968"/>
      <c r="K15" s="25"/>
      <c r="L15" s="22"/>
    </row>
    <row r="16" spans="1:12" ht="11.25" customHeight="1">
      <c r="A16" s="17"/>
      <c r="E16" s="214"/>
      <c r="F16" s="214"/>
      <c r="G16" s="178"/>
      <c r="H16" s="178"/>
      <c r="I16" s="138"/>
      <c r="J16" s="111"/>
      <c r="K16" s="111"/>
      <c r="L16" s="22"/>
    </row>
    <row r="17" spans="1:12" ht="11.25" customHeight="1">
      <c r="A17" s="17"/>
      <c r="B17" s="215"/>
      <c r="C17" s="214"/>
      <c r="D17" s="214"/>
      <c r="E17" s="214"/>
      <c r="F17" s="214"/>
      <c r="G17" s="178"/>
      <c r="H17" s="178"/>
      <c r="I17" s="138"/>
      <c r="J17" s="111"/>
      <c r="K17" s="111"/>
      <c r="L17" s="30"/>
    </row>
    <row r="18" spans="1:12" ht="11.25" customHeight="1">
      <c r="A18" s="17"/>
      <c r="B18" s="215"/>
      <c r="C18" s="214"/>
      <c r="D18" s="214"/>
      <c r="E18" s="214"/>
      <c r="F18" s="214"/>
      <c r="G18" s="178"/>
      <c r="H18" s="178"/>
      <c r="I18" s="138"/>
      <c r="J18" s="111"/>
      <c r="K18" s="111"/>
      <c r="L18" s="22"/>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30"/>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23.25" customHeight="1">
      <c r="A33" s="967" t="s">
        <v>407</v>
      </c>
      <c r="B33" s="967"/>
      <c r="C33" s="967"/>
      <c r="D33" s="271"/>
      <c r="E33" s="970" t="s">
        <v>408</v>
      </c>
      <c r="F33" s="970"/>
      <c r="G33" s="970"/>
      <c r="H33" s="970"/>
      <c r="I33" s="970"/>
      <c r="J33" s="970"/>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6"/>
    </row>
    <row r="36" spans="1:12" ht="11.25" customHeight="1">
      <c r="A36" s="969" t="str">
        <f>"ENERGÍA INTERRUMPIDA APROXIMADA POR TIPO DE EQUIPO (MWh)  -  "&amp;UPPER('1. Resumen'!Q4)&amp;" "&amp;'1. Resumen'!Q5</f>
        <v>ENERGÍA INTERRUMPIDA APROXIMADA POR TIPO DE EQUIPO (MWh)  -  NOVIEMBRE 2020</v>
      </c>
      <c r="B36" s="969"/>
      <c r="C36" s="969"/>
      <c r="D36" s="969"/>
      <c r="E36" s="969"/>
      <c r="F36" s="969"/>
      <c r="G36" s="969"/>
      <c r="H36" s="969"/>
      <c r="I36" s="969"/>
      <c r="J36" s="969"/>
      <c r="K36" s="25"/>
      <c r="L36" s="216"/>
    </row>
    <row r="37" spans="1:12" ht="11.25" customHeight="1">
      <c r="A37" s="17"/>
      <c r="B37" s="132"/>
      <c r="C37" s="132"/>
      <c r="D37" s="132"/>
      <c r="E37" s="132"/>
      <c r="F37" s="132"/>
      <c r="G37" s="25"/>
      <c r="H37" s="25"/>
      <c r="I37" s="25"/>
      <c r="J37" s="25"/>
      <c r="K37" s="25"/>
      <c r="L37" s="216"/>
    </row>
    <row r="38" spans="1:12" ht="11.25" customHeight="1">
      <c r="A38" s="17"/>
      <c r="B38" s="132"/>
      <c r="C38" s="25"/>
      <c r="D38" s="25"/>
      <c r="E38" s="25"/>
      <c r="F38" s="25"/>
      <c r="G38" s="25"/>
      <c r="H38" s="25"/>
      <c r="I38" s="25"/>
      <c r="J38" s="25"/>
      <c r="K38" s="25"/>
      <c r="L38" s="216"/>
    </row>
    <row r="39" spans="1:12" ht="11.25" customHeight="1">
      <c r="A39" s="17"/>
      <c r="B39" s="132"/>
      <c r="C39" s="25"/>
      <c r="D39" s="25"/>
      <c r="E39" s="25"/>
      <c r="F39" s="25"/>
      <c r="G39" s="25"/>
      <c r="H39" s="25"/>
    </row>
    <row r="40" spans="1:12" ht="13.2">
      <c r="A40" s="17"/>
      <c r="B40" s="132"/>
      <c r="J40" s="25"/>
      <c r="K40" s="25"/>
      <c r="L40" s="216"/>
    </row>
    <row r="41" spans="1:12" ht="13.2">
      <c r="A41" s="17"/>
      <c r="B41" s="132"/>
      <c r="C41" s="132"/>
      <c r="D41" s="132"/>
      <c r="E41" s="132"/>
      <c r="F41" s="132"/>
      <c r="G41" s="25"/>
      <c r="H41" s="25"/>
      <c r="I41" s="25"/>
      <c r="J41" s="25"/>
      <c r="K41" s="25"/>
      <c r="L41" s="216"/>
    </row>
    <row r="42" spans="1:12" ht="3" customHeight="1">
      <c r="A42" s="17"/>
      <c r="B42" s="132"/>
      <c r="C42" s="132"/>
      <c r="D42" s="132"/>
      <c r="E42" s="132"/>
      <c r="F42" s="132"/>
      <c r="G42" s="25"/>
      <c r="H42" s="25"/>
      <c r="I42" s="25"/>
      <c r="J42" s="25"/>
      <c r="K42" s="25"/>
      <c r="L42" s="216"/>
    </row>
    <row r="43" spans="1:12" ht="13.2">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63"/>
      <c r="B46" s="25"/>
      <c r="C46" s="25"/>
      <c r="D46" s="25"/>
      <c r="E46" s="25"/>
      <c r="F46" s="25"/>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9" customHeight="1">
      <c r="A51" s="163"/>
      <c r="B51" s="25"/>
      <c r="C51" s="25"/>
      <c r="D51" s="25"/>
      <c r="E51" s="25"/>
      <c r="F51" s="25"/>
      <c r="G51" s="25"/>
      <c r="H51" s="25"/>
      <c r="I51" s="25"/>
      <c r="J51" s="25"/>
      <c r="K51" s="25"/>
      <c r="L51" s="216"/>
    </row>
    <row r="52" spans="1:12">
      <c r="A52" s="271" t="str">
        <f>"Gráfico N°26: Comparación de la energía interrumpida aproximada por tipo de equipo en "&amp;'1. Resumen'!Q4&amp;" "&amp;'1. Resumen'!Q5</f>
        <v>Gráfico N°26: Comparación de la energía interrumpida aproximada por tipo de equipo en noviembre 2020</v>
      </c>
      <c r="B52" s="25"/>
      <c r="C52" s="25"/>
      <c r="D52" s="25"/>
      <c r="E52" s="25"/>
      <c r="F52" s="25"/>
      <c r="G52" s="25"/>
      <c r="H52" s="25"/>
      <c r="I52" s="25"/>
      <c r="J52" s="25"/>
      <c r="K52" s="25"/>
      <c r="L52" s="216"/>
    </row>
    <row r="53" spans="1:12" ht="5.25" customHeight="1">
      <c r="B53" s="25"/>
      <c r="C53" s="25"/>
      <c r="D53" s="25"/>
      <c r="E53" s="25"/>
      <c r="F53" s="25"/>
      <c r="G53" s="25"/>
      <c r="H53" s="25"/>
      <c r="I53" s="25"/>
      <c r="J53" s="25"/>
      <c r="K53" s="25"/>
      <c r="L53" s="216"/>
    </row>
    <row r="54" spans="1:12" ht="24" customHeight="1">
      <c r="A54" s="976" t="s">
        <v>209</v>
      </c>
      <c r="B54" s="976"/>
      <c r="C54" s="976"/>
      <c r="D54" s="976"/>
      <c r="E54" s="976"/>
      <c r="F54" s="976"/>
      <c r="G54" s="976"/>
      <c r="H54" s="976"/>
      <c r="I54" s="976"/>
      <c r="J54" s="976"/>
      <c r="K54" s="25"/>
      <c r="L54" s="216"/>
    </row>
    <row r="55" spans="1:12" ht="11.25" customHeight="1">
      <c r="A55" s="966" t="s">
        <v>210</v>
      </c>
      <c r="B55" s="966"/>
      <c r="C55" s="966"/>
      <c r="D55" s="966"/>
      <c r="E55" s="966"/>
      <c r="F55" s="966"/>
      <c r="G55" s="966"/>
      <c r="H55" s="966"/>
      <c r="I55" s="966"/>
      <c r="J55" s="966"/>
      <c r="K55" s="25"/>
      <c r="L55" s="216"/>
    </row>
    <row r="56" spans="1:12" ht="13.2">
      <c r="A56" s="163"/>
      <c r="B56" s="25"/>
      <c r="C56" s="25"/>
      <c r="D56" s="25"/>
      <c r="E56" s="25"/>
      <c r="F56" s="25"/>
      <c r="G56" s="25"/>
      <c r="H56" s="25"/>
      <c r="I56" s="25"/>
      <c r="J56" s="25"/>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c r="B70" s="216"/>
      <c r="C70" s="216"/>
      <c r="D70" s="216"/>
      <c r="E70" s="216"/>
      <c r="F70" s="216"/>
      <c r="G70" s="216"/>
      <c r="H70" s="216"/>
      <c r="I70" s="216"/>
      <c r="J70" s="216"/>
      <c r="K70" s="216"/>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sheetData>
  <mergeCells count="11">
    <mergeCell ref="A5:A6"/>
    <mergeCell ref="A2:J2"/>
    <mergeCell ref="A4:J4"/>
    <mergeCell ref="A12:J12"/>
    <mergeCell ref="A54:J54"/>
    <mergeCell ref="A55:J55"/>
    <mergeCell ref="A33:C33"/>
    <mergeCell ref="A15:D15"/>
    <mergeCell ref="E15:J15"/>
    <mergeCell ref="A36:J36"/>
    <mergeCell ref="E33:J3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topLeftCell="A13" zoomScaleNormal="130" zoomScaleSheetLayoutView="100" zoomScalePageLayoutView="130" workbookViewId="0">
      <selection activeCell="T44" sqref="T44"/>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81" t="s">
        <v>0</v>
      </c>
      <c r="B3" s="881"/>
      <c r="C3" s="881"/>
      <c r="D3" s="881"/>
      <c r="E3" s="881"/>
      <c r="F3" s="881"/>
      <c r="G3" s="881"/>
      <c r="H3" s="881"/>
      <c r="I3" s="881"/>
      <c r="J3" s="881"/>
      <c r="K3" s="881"/>
      <c r="L3" s="881"/>
    </row>
    <row r="4" spans="1:12">
      <c r="A4" s="881"/>
      <c r="B4" s="881"/>
      <c r="C4" s="881"/>
      <c r="D4" s="881"/>
      <c r="E4" s="881"/>
      <c r="F4" s="881"/>
      <c r="G4" s="881"/>
      <c r="H4" s="881"/>
      <c r="I4" s="881"/>
      <c r="J4" s="881"/>
      <c r="K4" s="881"/>
      <c r="L4" s="881"/>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401</v>
      </c>
      <c r="B7" s="218"/>
      <c r="C7" s="25"/>
      <c r="D7" s="25"/>
      <c r="E7" s="25"/>
      <c r="F7" s="25"/>
      <c r="G7" s="25"/>
      <c r="H7" s="25"/>
      <c r="I7" s="25"/>
      <c r="J7" s="25"/>
      <c r="K7" s="25"/>
      <c r="L7" s="25"/>
    </row>
    <row r="8" spans="1:12" ht="17.25" customHeight="1">
      <c r="A8" s="25"/>
      <c r="B8" s="25" t="s">
        <v>556</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468</v>
      </c>
      <c r="B10" s="218"/>
      <c r="C10" s="25"/>
      <c r="D10" s="25"/>
      <c r="E10" s="25"/>
      <c r="F10" s="25"/>
      <c r="G10" s="25"/>
      <c r="H10" s="25"/>
      <c r="I10" s="25"/>
      <c r="J10" s="25"/>
      <c r="K10" s="25"/>
      <c r="L10" s="22"/>
    </row>
    <row r="11" spans="1:12" ht="19.5" customHeight="1">
      <c r="A11" s="27"/>
      <c r="B11" s="25" t="s">
        <v>449</v>
      </c>
      <c r="C11" s="25"/>
      <c r="D11" s="25"/>
      <c r="E11" s="25"/>
      <c r="F11" s="21"/>
      <c r="G11" s="21"/>
      <c r="H11" s="21"/>
      <c r="I11" s="21"/>
      <c r="J11" s="21"/>
      <c r="K11" s="21"/>
      <c r="L11" s="22" t="s">
        <v>2</v>
      </c>
    </row>
    <row r="12" spans="1:12" ht="19.5" customHeight="1">
      <c r="A12" s="27"/>
      <c r="B12" s="25" t="s">
        <v>381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394</v>
      </c>
      <c r="B14" s="25"/>
      <c r="C14" s="25"/>
      <c r="D14" s="25"/>
      <c r="E14" s="25"/>
      <c r="F14" s="25"/>
      <c r="G14" s="25"/>
      <c r="H14" s="25"/>
      <c r="I14" s="25"/>
      <c r="J14" s="25"/>
      <c r="K14" s="25"/>
      <c r="L14" s="22"/>
    </row>
    <row r="15" spans="1:12" ht="19.5" customHeight="1">
      <c r="A15" s="27"/>
      <c r="B15" s="25" t="s">
        <v>370</v>
      </c>
      <c r="C15" s="25"/>
      <c r="D15" s="25"/>
      <c r="E15" s="25"/>
      <c r="F15" s="21"/>
      <c r="G15" s="21"/>
      <c r="H15" s="21"/>
      <c r="I15" s="21"/>
      <c r="J15" s="21"/>
      <c r="K15" s="21"/>
      <c r="L15" s="22" t="s">
        <v>3</v>
      </c>
    </row>
    <row r="16" spans="1:12" ht="19.5" customHeight="1">
      <c r="A16" s="27"/>
      <c r="B16" s="25" t="s">
        <v>379</v>
      </c>
      <c r="C16" s="25"/>
      <c r="D16" s="25"/>
      <c r="E16" s="25"/>
      <c r="F16" s="25"/>
      <c r="G16" s="21"/>
      <c r="H16" s="21"/>
      <c r="I16" s="21"/>
      <c r="J16" s="21"/>
      <c r="K16" s="21"/>
      <c r="L16" s="22" t="s">
        <v>4</v>
      </c>
    </row>
    <row r="17" spans="1:12" ht="19.5" customHeight="1">
      <c r="A17" s="27"/>
      <c r="B17" s="25" t="s">
        <v>371</v>
      </c>
      <c r="C17" s="25"/>
      <c r="D17" s="25"/>
      <c r="E17" s="25"/>
      <c r="F17" s="25"/>
      <c r="G17" s="21"/>
      <c r="H17" s="21"/>
      <c r="I17" s="21"/>
      <c r="J17" s="21"/>
      <c r="K17" s="21"/>
      <c r="L17" s="22" t="s">
        <v>5</v>
      </c>
    </row>
    <row r="18" spans="1:12" ht="19.5" customHeight="1">
      <c r="A18" s="27"/>
      <c r="B18" s="25" t="s">
        <v>372</v>
      </c>
      <c r="C18" s="25"/>
      <c r="D18" s="25"/>
      <c r="E18" s="25"/>
      <c r="F18" s="21"/>
      <c r="G18" s="21"/>
      <c r="H18" s="21"/>
      <c r="I18" s="21"/>
      <c r="J18" s="21"/>
      <c r="K18" s="21"/>
      <c r="L18" s="22" t="s">
        <v>6</v>
      </c>
    </row>
    <row r="19" spans="1:12" ht="19.5" customHeight="1">
      <c r="A19" s="27"/>
      <c r="B19" s="25" t="s">
        <v>373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393</v>
      </c>
      <c r="B21" s="25"/>
      <c r="C21" s="25"/>
      <c r="D21" s="25"/>
      <c r="E21" s="25"/>
      <c r="F21" s="25"/>
      <c r="G21" s="25"/>
      <c r="H21" s="25"/>
      <c r="I21" s="25"/>
      <c r="J21" s="25"/>
      <c r="K21" s="25"/>
      <c r="L21" s="30"/>
    </row>
    <row r="22" spans="1:12" ht="19.5" customHeight="1">
      <c r="A22" s="25"/>
      <c r="B22" s="25" t="s">
        <v>395</v>
      </c>
      <c r="C22" s="25"/>
      <c r="D22" s="25"/>
      <c r="E22" s="25"/>
      <c r="F22" s="25"/>
      <c r="G22" s="21"/>
      <c r="H22" s="21"/>
      <c r="I22" s="21"/>
      <c r="J22" s="21"/>
      <c r="K22" s="21"/>
      <c r="L22" s="22" t="s">
        <v>9</v>
      </c>
    </row>
    <row r="23" spans="1:12" ht="19.5" customHeight="1">
      <c r="A23" s="31"/>
      <c r="B23" s="25" t="s">
        <v>439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252</v>
      </c>
      <c r="B25" s="25"/>
      <c r="C25" s="25"/>
      <c r="D25" s="25"/>
      <c r="E25" s="25"/>
      <c r="F25" s="25"/>
      <c r="G25" s="25"/>
      <c r="H25" s="25"/>
      <c r="I25" s="25"/>
      <c r="J25" s="25"/>
      <c r="K25" s="25"/>
      <c r="L25" s="30"/>
    </row>
    <row r="26" spans="1:12" ht="19.5" customHeight="1">
      <c r="A26" s="25"/>
      <c r="B26" s="25" t="s">
        <v>397</v>
      </c>
      <c r="C26" s="25"/>
      <c r="D26" s="25"/>
      <c r="E26" s="25"/>
      <c r="F26" s="21"/>
      <c r="G26" s="21"/>
      <c r="H26" s="21"/>
      <c r="I26" s="21"/>
      <c r="J26" s="21"/>
      <c r="K26" s="33"/>
      <c r="L26" s="22" t="s">
        <v>11</v>
      </c>
    </row>
    <row r="27" spans="1:12" ht="19.5" customHeight="1">
      <c r="A27" s="25"/>
      <c r="B27" s="25" t="s">
        <v>374</v>
      </c>
      <c r="C27" s="25"/>
      <c r="D27" s="25"/>
      <c r="E27" s="25"/>
      <c r="F27" s="25"/>
      <c r="G27" s="21"/>
      <c r="H27" s="21"/>
      <c r="I27" s="21"/>
      <c r="J27" s="21"/>
      <c r="K27" s="33"/>
      <c r="L27" s="22" t="s">
        <v>11</v>
      </c>
    </row>
    <row r="28" spans="1:12" ht="19.5" customHeight="1">
      <c r="A28" s="31"/>
      <c r="B28" s="25" t="s">
        <v>396</v>
      </c>
      <c r="C28" s="25"/>
      <c r="D28" s="25"/>
      <c r="E28" s="25"/>
      <c r="F28" s="21"/>
      <c r="G28" s="21"/>
      <c r="H28" s="33"/>
      <c r="I28" s="33"/>
      <c r="J28" s="33"/>
      <c r="K28" s="33"/>
      <c r="L28" s="22" t="s">
        <v>12</v>
      </c>
    </row>
    <row r="29" spans="1:12" ht="19.5" customHeight="1">
      <c r="A29" s="31"/>
      <c r="B29" s="25" t="s">
        <v>380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386</v>
      </c>
      <c r="B31" s="25"/>
      <c r="C31" s="25"/>
      <c r="D31" s="25"/>
      <c r="E31" s="25"/>
      <c r="F31" s="25"/>
      <c r="G31" s="25"/>
      <c r="H31" s="25"/>
      <c r="I31" s="25"/>
      <c r="J31" s="25"/>
      <c r="K31" s="25"/>
      <c r="L31" s="22"/>
    </row>
    <row r="32" spans="1:12" ht="19.5" customHeight="1">
      <c r="A32" s="31"/>
      <c r="B32" s="25" t="s">
        <v>398</v>
      </c>
      <c r="C32" s="25"/>
      <c r="D32" s="25"/>
      <c r="E32" s="25"/>
      <c r="F32" s="25"/>
      <c r="G32" s="21"/>
      <c r="H32" s="21"/>
      <c r="I32" s="21"/>
      <c r="J32" s="21"/>
      <c r="K32" s="21"/>
      <c r="L32" s="22" t="s">
        <v>13</v>
      </c>
    </row>
    <row r="33" spans="1:12" ht="19.5" customHeight="1">
      <c r="A33" s="31"/>
      <c r="B33" s="25" t="s">
        <v>375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376</v>
      </c>
      <c r="B35" s="26"/>
      <c r="C35" s="32"/>
      <c r="D35" s="26"/>
      <c r="E35" s="26"/>
      <c r="F35" s="26"/>
      <c r="G35" s="26"/>
      <c r="H35" s="26"/>
      <c r="I35" s="26"/>
      <c r="J35" s="26"/>
      <c r="K35" s="26"/>
      <c r="L35" s="22"/>
    </row>
    <row r="36" spans="1:12" ht="19.5" customHeight="1">
      <c r="A36" s="27"/>
      <c r="B36" s="25" t="s">
        <v>399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377</v>
      </c>
      <c r="B38" s="35"/>
      <c r="C38" s="25"/>
      <c r="D38" s="25"/>
      <c r="E38" s="25"/>
      <c r="F38" s="25"/>
      <c r="G38" s="25"/>
      <c r="H38" s="25"/>
      <c r="I38" s="25"/>
      <c r="J38" s="25"/>
      <c r="K38" s="25"/>
      <c r="L38" s="38"/>
    </row>
    <row r="39" spans="1:12" ht="19.5" customHeight="1">
      <c r="A39" s="27"/>
      <c r="B39" s="25" t="s">
        <v>378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211</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400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Mensual-Noviembre 2020
INFSGI-MES-11-2020
14/12/2020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Normal="100" zoomScaleSheetLayoutView="100" zoomScalePageLayoutView="140" workbookViewId="0">
      <selection activeCell="T44" sqref="T44"/>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3.42578125" customWidth="1"/>
    <col min="6" max="6" width="13.85546875" customWidth="1"/>
    <col min="7" max="7" width="14.42578125" customWidth="1"/>
  </cols>
  <sheetData>
    <row r="1" spans="1:8" ht="11.25" customHeight="1">
      <c r="A1" s="273" t="s">
        <v>275</v>
      </c>
      <c r="B1" s="272"/>
      <c r="C1" s="272"/>
      <c r="D1" s="272"/>
      <c r="E1" s="272"/>
      <c r="F1" s="272"/>
      <c r="G1" s="272"/>
    </row>
    <row r="2" spans="1:8" ht="14.25" customHeight="1">
      <c r="A2" s="977" t="s">
        <v>250</v>
      </c>
      <c r="B2" s="980" t="s">
        <v>54</v>
      </c>
      <c r="C2" s="983" t="str">
        <f>"ENERGÍA PRODUCIDA "&amp;UPPER('1. Resumen'!Q4)&amp;" "&amp;'1. Resumen'!Q5</f>
        <v>ENERGÍA PRODUCIDA NOVIEMBRE 2020</v>
      </c>
      <c r="D2" s="983"/>
      <c r="E2" s="983"/>
      <c r="F2" s="983"/>
      <c r="G2" s="626" t="s">
        <v>276</v>
      </c>
      <c r="H2" s="203"/>
    </row>
    <row r="3" spans="1:8" ht="11.25" customHeight="1">
      <c r="A3" s="978"/>
      <c r="B3" s="981"/>
      <c r="C3" s="984" t="s">
        <v>277</v>
      </c>
      <c r="D3" s="984"/>
      <c r="E3" s="984"/>
      <c r="F3" s="985" t="str">
        <f>"TOTAL 
"&amp;UPPER('1. Resumen'!Q4)</f>
        <v>TOTAL 
NOVIEMBRE</v>
      </c>
      <c r="G3" s="627" t="s">
        <v>278</v>
      </c>
      <c r="H3" s="194"/>
    </row>
    <row r="4" spans="1:8" ht="12.75" customHeight="1">
      <c r="A4" s="978"/>
      <c r="B4" s="981"/>
      <c r="C4" s="618" t="s">
        <v>215</v>
      </c>
      <c r="D4" s="618" t="s">
        <v>216</v>
      </c>
      <c r="E4" s="618" t="s">
        <v>279</v>
      </c>
      <c r="F4" s="986"/>
      <c r="G4" s="627">
        <v>2020</v>
      </c>
      <c r="H4" s="196"/>
    </row>
    <row r="5" spans="1:8" ht="11.25" customHeight="1">
      <c r="A5" s="979"/>
      <c r="B5" s="982"/>
      <c r="C5" s="619" t="s">
        <v>280</v>
      </c>
      <c r="D5" s="619" t="s">
        <v>280</v>
      </c>
      <c r="E5" s="619" t="s">
        <v>280</v>
      </c>
      <c r="F5" s="619" t="s">
        <v>280</v>
      </c>
      <c r="G5" s="628" t="s">
        <v>208</v>
      </c>
      <c r="H5" s="196"/>
    </row>
    <row r="6" spans="1:8" ht="9.75" customHeight="1">
      <c r="A6" s="689" t="s">
        <v>121</v>
      </c>
      <c r="B6" s="431" t="s">
        <v>86</v>
      </c>
      <c r="C6" s="432"/>
      <c r="D6" s="432"/>
      <c r="E6" s="432">
        <v>9437.9442725000008</v>
      </c>
      <c r="F6" s="432">
        <v>9437.9442725000008</v>
      </c>
      <c r="G6" s="685">
        <v>24163.777855</v>
      </c>
      <c r="H6" s="196"/>
    </row>
    <row r="7" spans="1:8" ht="9.75" customHeight="1">
      <c r="A7" s="671" t="s">
        <v>699</v>
      </c>
      <c r="B7" s="507"/>
      <c r="C7" s="508"/>
      <c r="D7" s="508"/>
      <c r="E7" s="508">
        <v>9437.9442725000008</v>
      </c>
      <c r="F7" s="508">
        <v>9437.9442725000008</v>
      </c>
      <c r="G7" s="675">
        <v>24163.777855</v>
      </c>
      <c r="H7" s="196"/>
    </row>
    <row r="8" spans="1:8" ht="9.75" customHeight="1">
      <c r="A8" s="689" t="s">
        <v>120</v>
      </c>
      <c r="B8" s="431" t="s">
        <v>63</v>
      </c>
      <c r="C8" s="432"/>
      <c r="D8" s="432"/>
      <c r="E8" s="432">
        <v>4517.5307350000003</v>
      </c>
      <c r="F8" s="432">
        <v>4517.5307350000003</v>
      </c>
      <c r="G8" s="685">
        <v>76918.05183750001</v>
      </c>
      <c r="H8" s="196"/>
    </row>
    <row r="9" spans="1:8" ht="9.75" customHeight="1">
      <c r="A9" s="671" t="s">
        <v>700</v>
      </c>
      <c r="B9" s="507"/>
      <c r="C9" s="508"/>
      <c r="D9" s="508"/>
      <c r="E9" s="508">
        <v>4517.5307350000003</v>
      </c>
      <c r="F9" s="508">
        <v>4517.5307350000003</v>
      </c>
      <c r="G9" s="675">
        <v>76918.05183750001</v>
      </c>
      <c r="H9" s="196"/>
    </row>
    <row r="10" spans="1:8" ht="9.75" customHeight="1">
      <c r="A10" s="669" t="s">
        <v>106</v>
      </c>
      <c r="B10" s="621" t="s">
        <v>83</v>
      </c>
      <c r="C10" s="622"/>
      <c r="D10" s="622"/>
      <c r="E10" s="622">
        <v>9738.2155050000001</v>
      </c>
      <c r="F10" s="622">
        <v>9738.2155050000001</v>
      </c>
      <c r="G10" s="674">
        <v>83667.890582499997</v>
      </c>
      <c r="H10" s="196"/>
    </row>
    <row r="11" spans="1:8" ht="9.75" customHeight="1">
      <c r="A11" s="671" t="s">
        <v>701</v>
      </c>
      <c r="B11" s="507"/>
      <c r="C11" s="508"/>
      <c r="D11" s="508"/>
      <c r="E11" s="508">
        <v>9738.2155050000001</v>
      </c>
      <c r="F11" s="508">
        <v>9738.2155050000001</v>
      </c>
      <c r="G11" s="675">
        <v>83667.890582499997</v>
      </c>
      <c r="H11" s="196"/>
    </row>
    <row r="12" spans="1:8" ht="9.75" customHeight="1">
      <c r="A12" s="669" t="s">
        <v>418</v>
      </c>
      <c r="B12" s="621" t="s">
        <v>420</v>
      </c>
      <c r="C12" s="622"/>
      <c r="D12" s="622"/>
      <c r="E12" s="622">
        <v>11460.72899</v>
      </c>
      <c r="F12" s="622">
        <v>11460.72899</v>
      </c>
      <c r="G12" s="674">
        <v>108013.4596575</v>
      </c>
      <c r="H12" s="196"/>
    </row>
    <row r="13" spans="1:8" ht="9.75" customHeight="1">
      <c r="A13" s="671" t="s">
        <v>702</v>
      </c>
      <c r="B13" s="507"/>
      <c r="C13" s="508"/>
      <c r="D13" s="508"/>
      <c r="E13" s="508">
        <v>11460.72899</v>
      </c>
      <c r="F13" s="508">
        <v>11460.72899</v>
      </c>
      <c r="G13" s="675">
        <v>108013.4596575</v>
      </c>
      <c r="H13" s="196"/>
    </row>
    <row r="14" spans="1:8" s="725" customFormat="1" ht="9.75" customHeight="1">
      <c r="A14" s="669" t="s">
        <v>457</v>
      </c>
      <c r="B14" s="621" t="s">
        <v>464</v>
      </c>
      <c r="C14" s="622"/>
      <c r="D14" s="622"/>
      <c r="E14" s="622">
        <v>6876.8999899999999</v>
      </c>
      <c r="F14" s="622">
        <v>6876.8999899999999</v>
      </c>
      <c r="G14" s="674">
        <v>62705.594349999992</v>
      </c>
      <c r="H14" s="196"/>
    </row>
    <row r="15" spans="1:8" s="725" customFormat="1" ht="13.5" customHeight="1">
      <c r="A15" s="738" t="s">
        <v>703</v>
      </c>
      <c r="B15" s="507"/>
      <c r="C15" s="508"/>
      <c r="D15" s="508"/>
      <c r="E15" s="508">
        <v>6876.8999899999999</v>
      </c>
      <c r="F15" s="508">
        <v>6876.8999899999999</v>
      </c>
      <c r="G15" s="675">
        <v>62705.594349999992</v>
      </c>
      <c r="H15" s="196"/>
    </row>
    <row r="16" spans="1:8" ht="9.75" customHeight="1">
      <c r="A16" s="669" t="s">
        <v>94</v>
      </c>
      <c r="B16" s="621" t="s">
        <v>281</v>
      </c>
      <c r="C16" s="622">
        <v>48689.485014999998</v>
      </c>
      <c r="D16" s="622"/>
      <c r="E16" s="622"/>
      <c r="F16" s="622">
        <v>48689.485014999998</v>
      </c>
      <c r="G16" s="674">
        <v>980388.41913749999</v>
      </c>
      <c r="H16" s="196"/>
    </row>
    <row r="17" spans="1:8" ht="9.75" customHeight="1">
      <c r="A17" s="671" t="s">
        <v>704</v>
      </c>
      <c r="B17" s="507"/>
      <c r="C17" s="508">
        <v>48689.485014999998</v>
      </c>
      <c r="D17" s="508"/>
      <c r="E17" s="508"/>
      <c r="F17" s="508">
        <v>48689.485014999998</v>
      </c>
      <c r="G17" s="675">
        <v>980388.41913749999</v>
      </c>
      <c r="H17" s="196"/>
    </row>
    <row r="18" spans="1:8" ht="10.5" customHeight="1">
      <c r="A18" s="669" t="s">
        <v>236</v>
      </c>
      <c r="B18" s="621" t="s">
        <v>282</v>
      </c>
      <c r="C18" s="622"/>
      <c r="D18" s="622">
        <v>0</v>
      </c>
      <c r="E18" s="622"/>
      <c r="F18" s="622">
        <v>0</v>
      </c>
      <c r="G18" s="674">
        <v>772.30673750000005</v>
      </c>
      <c r="H18" s="196"/>
    </row>
    <row r="19" spans="1:8" ht="10.5" customHeight="1">
      <c r="A19" s="671" t="s">
        <v>705</v>
      </c>
      <c r="B19" s="507"/>
      <c r="C19" s="508"/>
      <c r="D19" s="508">
        <v>0</v>
      </c>
      <c r="E19" s="508"/>
      <c r="F19" s="508">
        <v>0</v>
      </c>
      <c r="G19" s="675">
        <v>772.30673750000005</v>
      </c>
      <c r="H19" s="196"/>
    </row>
    <row r="20" spans="1:8" ht="9.75" customHeight="1">
      <c r="A20" s="669" t="s">
        <v>93</v>
      </c>
      <c r="B20" s="621" t="s">
        <v>283</v>
      </c>
      <c r="C20" s="622">
        <v>33740.849314999999</v>
      </c>
      <c r="D20" s="622"/>
      <c r="E20" s="622"/>
      <c r="F20" s="622">
        <v>33740.849314999999</v>
      </c>
      <c r="G20" s="674">
        <v>668101.31448749988</v>
      </c>
      <c r="H20" s="196"/>
    </row>
    <row r="21" spans="1:8" ht="9.75" customHeight="1">
      <c r="A21" s="669"/>
      <c r="B21" s="621" t="s">
        <v>284</v>
      </c>
      <c r="C21" s="622">
        <v>7402.9908674999997</v>
      </c>
      <c r="D21" s="622"/>
      <c r="E21" s="622"/>
      <c r="F21" s="622">
        <v>7402.9908674999997</v>
      </c>
      <c r="G21" s="674">
        <v>205324.18960249997</v>
      </c>
      <c r="H21" s="196"/>
    </row>
    <row r="22" spans="1:8" ht="9.75" customHeight="1">
      <c r="A22" s="671" t="s">
        <v>706</v>
      </c>
      <c r="B22" s="507"/>
      <c r="C22" s="508">
        <v>41143.840182499996</v>
      </c>
      <c r="D22" s="508"/>
      <c r="E22" s="508"/>
      <c r="F22" s="508">
        <v>41143.840182499996</v>
      </c>
      <c r="G22" s="675">
        <v>873425.50408999983</v>
      </c>
      <c r="H22" s="196"/>
    </row>
    <row r="23" spans="1:8" ht="9.75" customHeight="1">
      <c r="A23" s="669" t="s">
        <v>91</v>
      </c>
      <c r="B23" s="621" t="s">
        <v>285</v>
      </c>
      <c r="C23" s="622">
        <v>1172.7716800000001</v>
      </c>
      <c r="D23" s="622"/>
      <c r="E23" s="622"/>
      <c r="F23" s="622">
        <v>1172.7716800000001</v>
      </c>
      <c r="G23" s="674">
        <v>12140.407292499998</v>
      </c>
      <c r="H23" s="196"/>
    </row>
    <row r="24" spans="1:8" ht="9.75" customHeight="1">
      <c r="A24" s="669"/>
      <c r="B24" s="621" t="s">
        <v>286</v>
      </c>
      <c r="C24" s="622">
        <v>409.39113750000001</v>
      </c>
      <c r="D24" s="622"/>
      <c r="E24" s="622"/>
      <c r="F24" s="622">
        <v>409.39113750000001</v>
      </c>
      <c r="G24" s="674">
        <v>4151.1363775</v>
      </c>
      <c r="H24" s="196"/>
    </row>
    <row r="25" spans="1:8" ht="9.75" customHeight="1">
      <c r="A25" s="669"/>
      <c r="B25" s="621" t="s">
        <v>287</v>
      </c>
      <c r="C25" s="622">
        <v>3348.2044474999998</v>
      </c>
      <c r="D25" s="622"/>
      <c r="E25" s="622"/>
      <c r="F25" s="622">
        <v>3348.2044474999998</v>
      </c>
      <c r="G25" s="674">
        <v>37051.056432500001</v>
      </c>
      <c r="H25" s="196"/>
    </row>
    <row r="26" spans="1:8" ht="9.75" customHeight="1">
      <c r="A26" s="669"/>
      <c r="B26" s="621" t="s">
        <v>288</v>
      </c>
      <c r="C26" s="622">
        <v>8938.9966574999999</v>
      </c>
      <c r="D26" s="622"/>
      <c r="E26" s="622"/>
      <c r="F26" s="622">
        <v>8938.9966574999999</v>
      </c>
      <c r="G26" s="674">
        <v>102532.4554925</v>
      </c>
      <c r="H26" s="196"/>
    </row>
    <row r="27" spans="1:8" ht="9.75" customHeight="1">
      <c r="A27" s="669"/>
      <c r="B27" s="621" t="s">
        <v>289</v>
      </c>
      <c r="C27" s="622">
        <v>55439.239270000005</v>
      </c>
      <c r="D27" s="622"/>
      <c r="E27" s="622"/>
      <c r="F27" s="622">
        <v>55439.239270000005</v>
      </c>
      <c r="G27" s="674">
        <v>725677.08617500006</v>
      </c>
      <c r="H27" s="196"/>
    </row>
    <row r="28" spans="1:8" ht="9.75" customHeight="1">
      <c r="A28" s="669"/>
      <c r="B28" s="621" t="s">
        <v>290</v>
      </c>
      <c r="C28" s="622">
        <v>5315.7295674999996</v>
      </c>
      <c r="D28" s="622"/>
      <c r="E28" s="622"/>
      <c r="F28" s="622">
        <v>5315.7295674999996</v>
      </c>
      <c r="G28" s="674">
        <v>59512.148367500005</v>
      </c>
      <c r="H28" s="196"/>
    </row>
    <row r="29" spans="1:8" ht="9.75" customHeight="1">
      <c r="A29" s="669"/>
      <c r="B29" s="621" t="s">
        <v>291</v>
      </c>
      <c r="C29" s="622"/>
      <c r="D29" s="622">
        <v>28.273977500000001</v>
      </c>
      <c r="E29" s="622"/>
      <c r="F29" s="622">
        <v>28.273977500000001</v>
      </c>
      <c r="G29" s="674">
        <v>99.240512500000008</v>
      </c>
      <c r="H29" s="196"/>
    </row>
    <row r="30" spans="1:8" ht="9.75" customHeight="1">
      <c r="A30" s="669"/>
      <c r="B30" s="621" t="s">
        <v>292</v>
      </c>
      <c r="C30" s="622"/>
      <c r="D30" s="622">
        <v>22.1305725</v>
      </c>
      <c r="E30" s="622"/>
      <c r="F30" s="622">
        <v>22.1305725</v>
      </c>
      <c r="G30" s="674">
        <v>102.0985675</v>
      </c>
      <c r="H30" s="196"/>
    </row>
    <row r="31" spans="1:8" ht="9.75" customHeight="1">
      <c r="A31" s="669"/>
      <c r="B31" s="621" t="s">
        <v>293</v>
      </c>
      <c r="C31" s="622"/>
      <c r="D31" s="622">
        <v>0</v>
      </c>
      <c r="E31" s="622"/>
      <c r="F31" s="622">
        <v>0</v>
      </c>
      <c r="G31" s="674">
        <v>0</v>
      </c>
      <c r="H31" s="196"/>
    </row>
    <row r="32" spans="1:8" ht="9.75" customHeight="1">
      <c r="A32" s="671" t="s">
        <v>707</v>
      </c>
      <c r="B32" s="507"/>
      <c r="C32" s="508">
        <v>74624.332760000019</v>
      </c>
      <c r="D32" s="508">
        <v>50.40455</v>
      </c>
      <c r="E32" s="508"/>
      <c r="F32" s="508">
        <v>74674.737310000011</v>
      </c>
      <c r="G32" s="675">
        <v>941265.62921750022</v>
      </c>
      <c r="H32" s="196"/>
    </row>
    <row r="33" spans="1:8" ht="9.75" customHeight="1">
      <c r="A33" s="669" t="s">
        <v>114</v>
      </c>
      <c r="B33" s="621" t="s">
        <v>70</v>
      </c>
      <c r="C33" s="622"/>
      <c r="D33" s="622"/>
      <c r="E33" s="622">
        <v>2205.6392875000001</v>
      </c>
      <c r="F33" s="622">
        <v>2205.6392875000001</v>
      </c>
      <c r="G33" s="674">
        <v>32157.501400000008</v>
      </c>
      <c r="H33" s="196"/>
    </row>
    <row r="34" spans="1:8" ht="9.75" customHeight="1">
      <c r="A34" s="671" t="s">
        <v>708</v>
      </c>
      <c r="B34" s="507"/>
      <c r="C34" s="508"/>
      <c r="D34" s="508"/>
      <c r="E34" s="508">
        <v>2205.6392875000001</v>
      </c>
      <c r="F34" s="508">
        <v>2205.6392875000001</v>
      </c>
      <c r="G34" s="675">
        <v>32157.501400000008</v>
      </c>
      <c r="H34" s="196"/>
    </row>
    <row r="35" spans="1:8" ht="9.75" customHeight="1">
      <c r="A35" s="669" t="s">
        <v>92</v>
      </c>
      <c r="B35" s="621" t="s">
        <v>294</v>
      </c>
      <c r="C35" s="622">
        <v>96921.251457499995</v>
      </c>
      <c r="D35" s="622"/>
      <c r="E35" s="622"/>
      <c r="F35" s="622">
        <v>96921.251457499995</v>
      </c>
      <c r="G35" s="674">
        <v>1052324.8454675002</v>
      </c>
      <c r="H35" s="196"/>
    </row>
    <row r="36" spans="1:8" ht="9.75" customHeight="1">
      <c r="A36" s="671" t="s">
        <v>709</v>
      </c>
      <c r="B36" s="507"/>
      <c r="C36" s="508">
        <v>96921.251457499995</v>
      </c>
      <c r="D36" s="508"/>
      <c r="E36" s="508"/>
      <c r="F36" s="508">
        <v>96921.251457499995</v>
      </c>
      <c r="G36" s="675">
        <v>1052324.8454675002</v>
      </c>
      <c r="H36" s="196"/>
    </row>
    <row r="37" spans="1:8" ht="9.75" customHeight="1">
      <c r="A37" s="669" t="s">
        <v>101</v>
      </c>
      <c r="B37" s="621" t="s">
        <v>295</v>
      </c>
      <c r="C37" s="622">
        <v>5149.4430000000002</v>
      </c>
      <c r="D37" s="622"/>
      <c r="E37" s="622"/>
      <c r="F37" s="622">
        <v>5149.4430000000002</v>
      </c>
      <c r="G37" s="674">
        <v>57619.375499999995</v>
      </c>
      <c r="H37" s="196"/>
    </row>
    <row r="38" spans="1:8" ht="9.75" customHeight="1">
      <c r="A38" s="669"/>
      <c r="B38" s="621" t="s">
        <v>296</v>
      </c>
      <c r="C38" s="622">
        <v>3802.2660000000001</v>
      </c>
      <c r="D38" s="622"/>
      <c r="E38" s="622"/>
      <c r="F38" s="622">
        <v>3802.2660000000001</v>
      </c>
      <c r="G38" s="674">
        <v>42429.460500000001</v>
      </c>
      <c r="H38" s="196"/>
    </row>
    <row r="39" spans="1:8" ht="9.75" customHeight="1">
      <c r="A39" s="669"/>
      <c r="B39" s="621" t="s">
        <v>297</v>
      </c>
      <c r="C39" s="622"/>
      <c r="D39" s="622">
        <v>10926.1132175</v>
      </c>
      <c r="E39" s="622"/>
      <c r="F39" s="622">
        <v>10926.1132175</v>
      </c>
      <c r="G39" s="674">
        <v>23140.459542500001</v>
      </c>
      <c r="H39" s="196"/>
    </row>
    <row r="40" spans="1:8" ht="9.75" customHeight="1">
      <c r="A40" s="671" t="s">
        <v>710</v>
      </c>
      <c r="B40" s="507"/>
      <c r="C40" s="508">
        <v>8951.7090000000007</v>
      </c>
      <c r="D40" s="508">
        <v>10926.1132175</v>
      </c>
      <c r="E40" s="508"/>
      <c r="F40" s="508">
        <v>19877.822217500001</v>
      </c>
      <c r="G40" s="675">
        <v>123189.2955425</v>
      </c>
      <c r="H40" s="196"/>
    </row>
    <row r="41" spans="1:8" ht="19.5" customHeight="1">
      <c r="A41" s="683" t="s">
        <v>453</v>
      </c>
      <c r="B41" s="621" t="s">
        <v>75</v>
      </c>
      <c r="C41" s="622"/>
      <c r="D41" s="622"/>
      <c r="E41" s="622">
        <v>313.63494500000002</v>
      </c>
      <c r="F41" s="622">
        <v>313.63494500000002</v>
      </c>
      <c r="G41" s="674">
        <v>4223.8494475000007</v>
      </c>
      <c r="H41" s="196"/>
    </row>
    <row r="42" spans="1:8" ht="20.25" customHeight="1">
      <c r="A42" s="738" t="s">
        <v>711</v>
      </c>
      <c r="B42" s="507"/>
      <c r="C42" s="508"/>
      <c r="D42" s="508"/>
      <c r="E42" s="508">
        <v>313.63494500000002</v>
      </c>
      <c r="F42" s="508">
        <v>313.63494500000002</v>
      </c>
      <c r="G42" s="675">
        <v>4223.8494475000007</v>
      </c>
      <c r="H42" s="196"/>
    </row>
    <row r="43" spans="1:8" ht="9.75" customHeight="1">
      <c r="A43" s="669" t="s">
        <v>115</v>
      </c>
      <c r="B43" s="621" t="s">
        <v>73</v>
      </c>
      <c r="C43" s="622"/>
      <c r="D43" s="622"/>
      <c r="E43" s="622">
        <v>1752.2756949999998</v>
      </c>
      <c r="F43" s="622">
        <v>1752.2756949999998</v>
      </c>
      <c r="G43" s="674">
        <v>22770.37689</v>
      </c>
      <c r="H43" s="196"/>
    </row>
    <row r="44" spans="1:8" ht="9.75" customHeight="1">
      <c r="A44" s="671" t="s">
        <v>712</v>
      </c>
      <c r="B44" s="507"/>
      <c r="C44" s="508"/>
      <c r="D44" s="508"/>
      <c r="E44" s="508">
        <v>1752.2756949999998</v>
      </c>
      <c r="F44" s="508">
        <v>1752.2756949999998</v>
      </c>
      <c r="G44" s="675">
        <v>22770.37689</v>
      </c>
      <c r="H44" s="196"/>
    </row>
    <row r="45" spans="1:8" ht="9.75" customHeight="1">
      <c r="A45" s="669" t="s">
        <v>421</v>
      </c>
      <c r="B45" s="621" t="s">
        <v>424</v>
      </c>
      <c r="C45" s="622"/>
      <c r="D45" s="622"/>
      <c r="E45" s="622">
        <v>2345.1341950000001</v>
      </c>
      <c r="F45" s="622">
        <v>2345.1341950000001</v>
      </c>
      <c r="G45" s="674">
        <v>64735.54406</v>
      </c>
      <c r="H45" s="196"/>
    </row>
    <row r="46" spans="1:8" ht="9.75" customHeight="1">
      <c r="A46" s="671" t="s">
        <v>713</v>
      </c>
      <c r="B46" s="507"/>
      <c r="C46" s="508"/>
      <c r="D46" s="508"/>
      <c r="E46" s="508">
        <v>2345.1341950000001</v>
      </c>
      <c r="F46" s="508">
        <v>2345.1341950000001</v>
      </c>
      <c r="G46" s="675">
        <v>64735.54406</v>
      </c>
      <c r="H46" s="196"/>
    </row>
    <row r="47" spans="1:8" ht="9.75" customHeight="1">
      <c r="A47" s="669" t="s">
        <v>89</v>
      </c>
      <c r="B47" s="621" t="s">
        <v>298</v>
      </c>
      <c r="C47" s="622">
        <v>375043.29000000004</v>
      </c>
      <c r="D47" s="622"/>
      <c r="E47" s="622"/>
      <c r="F47" s="622">
        <v>375043.29000000004</v>
      </c>
      <c r="G47" s="674">
        <v>4837352.4882000005</v>
      </c>
      <c r="H47" s="196"/>
    </row>
    <row r="48" spans="1:8" ht="9.75" customHeight="1">
      <c r="A48" s="669"/>
      <c r="B48" s="621" t="s">
        <v>299</v>
      </c>
      <c r="C48" s="622">
        <v>120820.15920000001</v>
      </c>
      <c r="D48" s="622"/>
      <c r="E48" s="622"/>
      <c r="F48" s="622">
        <v>120820.15920000001</v>
      </c>
      <c r="G48" s="674">
        <v>1573585.0531200001</v>
      </c>
      <c r="H48" s="196"/>
    </row>
    <row r="49" spans="1:8" ht="9.75" customHeight="1">
      <c r="A49" s="669"/>
      <c r="B49" s="621" t="s">
        <v>300</v>
      </c>
      <c r="C49" s="622"/>
      <c r="D49" s="622">
        <v>0</v>
      </c>
      <c r="E49" s="622"/>
      <c r="F49" s="622">
        <v>0</v>
      </c>
      <c r="G49" s="674">
        <v>0</v>
      </c>
      <c r="H49" s="196"/>
    </row>
    <row r="50" spans="1:8" ht="9.75" customHeight="1">
      <c r="A50" s="671" t="s">
        <v>714</v>
      </c>
      <c r="B50" s="507"/>
      <c r="C50" s="508">
        <v>495863.44920000003</v>
      </c>
      <c r="D50" s="508">
        <v>0</v>
      </c>
      <c r="E50" s="508"/>
      <c r="F50" s="508">
        <v>495863.44920000003</v>
      </c>
      <c r="G50" s="675">
        <v>6410937.5413200008</v>
      </c>
      <c r="H50" s="196"/>
    </row>
    <row r="51" spans="1:8" ht="9.75" customHeight="1">
      <c r="A51" s="669" t="s">
        <v>237</v>
      </c>
      <c r="B51" s="621" t="s">
        <v>301</v>
      </c>
      <c r="C51" s="622">
        <v>48193.839817500004</v>
      </c>
      <c r="D51" s="622"/>
      <c r="E51" s="622"/>
      <c r="F51" s="622">
        <v>48193.839817500004</v>
      </c>
      <c r="G51" s="674">
        <v>1638260.7840750001</v>
      </c>
      <c r="H51" s="196"/>
    </row>
    <row r="52" spans="1:8" ht="9.75" customHeight="1">
      <c r="A52" s="669"/>
      <c r="B52" s="621" t="s">
        <v>302</v>
      </c>
      <c r="C52" s="622">
        <v>4455.533625</v>
      </c>
      <c r="D52" s="622"/>
      <c r="E52" s="622"/>
      <c r="F52" s="622">
        <v>4455.533625</v>
      </c>
      <c r="G52" s="674">
        <v>48615.652000000002</v>
      </c>
      <c r="H52" s="196"/>
    </row>
    <row r="53" spans="1:8" ht="9.75" customHeight="1">
      <c r="A53" s="671" t="s">
        <v>715</v>
      </c>
      <c r="B53" s="507"/>
      <c r="C53" s="508">
        <v>52649.3734425</v>
      </c>
      <c r="D53" s="508"/>
      <c r="E53" s="508"/>
      <c r="F53" s="508">
        <v>52649.3734425</v>
      </c>
      <c r="G53" s="675">
        <v>1686876.4360750001</v>
      </c>
      <c r="H53" s="196"/>
    </row>
    <row r="54" spans="1:8" ht="9.75" customHeight="1">
      <c r="A54" s="669" t="s">
        <v>238</v>
      </c>
      <c r="B54" s="621" t="s">
        <v>303</v>
      </c>
      <c r="C54" s="622">
        <v>47661.424737499998</v>
      </c>
      <c r="D54" s="622"/>
      <c r="E54" s="622"/>
      <c r="F54" s="622">
        <v>47661.424737499998</v>
      </c>
      <c r="G54" s="674">
        <v>398670.68744000001</v>
      </c>
      <c r="H54" s="196"/>
    </row>
    <row r="55" spans="1:8" ht="9.75" customHeight="1">
      <c r="A55" s="671" t="s">
        <v>716</v>
      </c>
      <c r="B55" s="507"/>
      <c r="C55" s="508">
        <v>47661.424737499998</v>
      </c>
      <c r="D55" s="508"/>
      <c r="E55" s="508"/>
      <c r="F55" s="508">
        <v>47661.424737499998</v>
      </c>
      <c r="G55" s="675">
        <v>398670.68744000001</v>
      </c>
      <c r="H55" s="111"/>
    </row>
    <row r="56" spans="1:8" ht="15.6">
      <c r="A56" s="673" t="s">
        <v>455</v>
      </c>
      <c r="B56" s="621" t="s">
        <v>65</v>
      </c>
      <c r="C56" s="622"/>
      <c r="D56" s="622"/>
      <c r="E56" s="622">
        <v>850.05789749999997</v>
      </c>
      <c r="F56" s="622">
        <v>850.05789749999997</v>
      </c>
      <c r="G56" s="674">
        <v>41194.598747500007</v>
      </c>
      <c r="H56" s="111"/>
    </row>
    <row r="57" spans="1:8" ht="9.75" customHeight="1">
      <c r="A57" s="669"/>
      <c r="B57" s="621" t="s">
        <v>64</v>
      </c>
      <c r="C57" s="622"/>
      <c r="D57" s="622"/>
      <c r="E57" s="622">
        <v>1192.5310175</v>
      </c>
      <c r="F57" s="622">
        <v>1192.5310175</v>
      </c>
      <c r="G57" s="674">
        <v>42771.387057499996</v>
      </c>
      <c r="H57" s="111"/>
    </row>
    <row r="58" spans="1:8" s="725" customFormat="1" ht="9.75" customHeight="1">
      <c r="A58" s="669"/>
      <c r="B58" s="621" t="s">
        <v>60</v>
      </c>
      <c r="C58" s="622"/>
      <c r="D58" s="622"/>
      <c r="E58" s="622">
        <v>2269.14131</v>
      </c>
      <c r="F58" s="622">
        <v>2269.14131</v>
      </c>
      <c r="G58" s="674">
        <v>72793.566967499995</v>
      </c>
      <c r="H58" s="111"/>
    </row>
    <row r="59" spans="1:8" s="725" customFormat="1" ht="9.75" customHeight="1">
      <c r="A59" s="669"/>
      <c r="B59" s="621" t="s">
        <v>57</v>
      </c>
      <c r="C59" s="622"/>
      <c r="D59" s="622"/>
      <c r="E59" s="622">
        <v>3351.1670174999999</v>
      </c>
      <c r="F59" s="622">
        <v>3351.1670174999999</v>
      </c>
      <c r="G59" s="674">
        <v>90099.518215000018</v>
      </c>
      <c r="H59" s="111"/>
    </row>
    <row r="60" spans="1:8" s="725" customFormat="1" ht="9.75" customHeight="1">
      <c r="A60" s="669"/>
      <c r="B60" s="621" t="s">
        <v>68</v>
      </c>
      <c r="C60" s="622"/>
      <c r="D60" s="622"/>
      <c r="E60" s="622">
        <v>1616.5722925</v>
      </c>
      <c r="F60" s="622">
        <v>1616.5722925</v>
      </c>
      <c r="G60" s="674">
        <v>24637.727262500004</v>
      </c>
      <c r="H60" s="111"/>
    </row>
    <row r="61" spans="1:8" s="725" customFormat="1" ht="9.75" customHeight="1">
      <c r="A61" s="669"/>
      <c r="B61" s="621" t="s">
        <v>67</v>
      </c>
      <c r="C61" s="622"/>
      <c r="D61" s="622"/>
      <c r="E61" s="622">
        <v>1933.6297199999999</v>
      </c>
      <c r="F61" s="622">
        <v>1933.6297199999999</v>
      </c>
      <c r="G61" s="674">
        <v>28023.517632500003</v>
      </c>
      <c r="H61" s="111"/>
    </row>
    <row r="62" spans="1:8">
      <c r="A62" s="779" t="s">
        <v>717</v>
      </c>
      <c r="B62" s="507"/>
      <c r="C62" s="508"/>
      <c r="D62" s="508"/>
      <c r="E62" s="508">
        <v>11213.099255000001</v>
      </c>
      <c r="F62" s="508">
        <v>11213.099255000001</v>
      </c>
      <c r="G62" s="508">
        <v>299520.31588249997</v>
      </c>
      <c r="H62" s="111"/>
    </row>
    <row r="63" spans="1:8" ht="9.75" customHeight="1">
      <c r="A63" s="669" t="s">
        <v>88</v>
      </c>
      <c r="B63" s="621" t="s">
        <v>465</v>
      </c>
      <c r="C63" s="622">
        <v>46803.762734999997</v>
      </c>
      <c r="D63" s="622"/>
      <c r="E63" s="622"/>
      <c r="F63" s="622">
        <v>46803.762734999997</v>
      </c>
      <c r="G63" s="674">
        <v>574197.46129999997</v>
      </c>
      <c r="H63" s="111"/>
    </row>
    <row r="64" spans="1:8" ht="9.75" customHeight="1">
      <c r="A64" s="669"/>
      <c r="B64" s="621" t="s">
        <v>304</v>
      </c>
      <c r="C64" s="622">
        <v>18555.706567500001</v>
      </c>
      <c r="D64" s="622"/>
      <c r="E64" s="622"/>
      <c r="F64" s="622">
        <v>18555.706567500001</v>
      </c>
      <c r="G64" s="674">
        <v>194617.2836</v>
      </c>
      <c r="H64" s="197"/>
    </row>
    <row r="65" spans="1:8" ht="9.75" customHeight="1">
      <c r="A65" s="669"/>
      <c r="B65" s="621" t="s">
        <v>305</v>
      </c>
      <c r="C65" s="622">
        <v>104739.10550999999</v>
      </c>
      <c r="D65" s="622"/>
      <c r="E65" s="622"/>
      <c r="F65" s="622">
        <v>104739.10550999999</v>
      </c>
      <c r="G65" s="674">
        <v>1074401.498045</v>
      </c>
      <c r="H65" s="197"/>
    </row>
    <row r="66" spans="1:8" ht="9.75" customHeight="1">
      <c r="A66" s="669"/>
      <c r="B66" s="621" t="s">
        <v>306</v>
      </c>
      <c r="C66" s="622">
        <v>46676.214112500005</v>
      </c>
      <c r="D66" s="622"/>
      <c r="E66" s="622"/>
      <c r="F66" s="622">
        <v>46676.214112500005</v>
      </c>
      <c r="G66" s="674">
        <v>797266.15766250005</v>
      </c>
      <c r="H66" s="197"/>
    </row>
    <row r="67" spans="1:8" ht="9.75" customHeight="1">
      <c r="A67" s="669"/>
      <c r="B67" s="621" t="s">
        <v>307</v>
      </c>
      <c r="C67" s="622">
        <v>42589.481852500001</v>
      </c>
      <c r="D67" s="622"/>
      <c r="E67" s="622"/>
      <c r="F67" s="622">
        <v>42589.481852500001</v>
      </c>
      <c r="G67" s="674">
        <v>480084.40894250001</v>
      </c>
      <c r="H67" s="197"/>
    </row>
    <row r="68" spans="1:8" ht="9.75" customHeight="1">
      <c r="A68" s="669"/>
      <c r="B68" s="621" t="s">
        <v>308</v>
      </c>
      <c r="C68" s="622"/>
      <c r="D68" s="622">
        <v>58505.441764999996</v>
      </c>
      <c r="E68" s="622"/>
      <c r="F68" s="622">
        <v>58505.441764999996</v>
      </c>
      <c r="G68" s="674">
        <v>73110.118594999993</v>
      </c>
      <c r="H68" s="197"/>
    </row>
    <row r="69" spans="1:8" ht="9.75" customHeight="1">
      <c r="A69" s="669"/>
      <c r="B69" s="621" t="s">
        <v>309</v>
      </c>
      <c r="C69" s="622"/>
      <c r="D69" s="622">
        <v>71801.414257500001</v>
      </c>
      <c r="E69" s="622"/>
      <c r="F69" s="622">
        <v>71801.414257500001</v>
      </c>
      <c r="G69" s="674">
        <v>147238.77092500002</v>
      </c>
      <c r="H69" s="197"/>
    </row>
    <row r="70" spans="1:8" ht="9.75" customHeight="1">
      <c r="A70" s="669"/>
      <c r="B70" s="621" t="s">
        <v>310</v>
      </c>
      <c r="C70" s="622"/>
      <c r="D70" s="622">
        <v>325882.42747749999</v>
      </c>
      <c r="E70" s="622"/>
      <c r="F70" s="622">
        <v>325882.42747749999</v>
      </c>
      <c r="G70" s="674">
        <v>2322049.2179974997</v>
      </c>
    </row>
    <row r="71" spans="1:8" ht="9.75" customHeight="1">
      <c r="A71" s="669"/>
      <c r="B71" s="621" t="s">
        <v>416</v>
      </c>
      <c r="C71" s="622"/>
      <c r="D71" s="622"/>
      <c r="E71" s="622">
        <v>417.60679499999998</v>
      </c>
      <c r="F71" s="622">
        <v>417.60679499999998</v>
      </c>
      <c r="G71" s="674">
        <v>4324.496107500001</v>
      </c>
    </row>
    <row r="72" spans="1:8" ht="9.75" customHeight="1">
      <c r="A72" s="671" t="s">
        <v>718</v>
      </c>
      <c r="B72" s="507"/>
      <c r="C72" s="508">
        <v>259364.2707775</v>
      </c>
      <c r="D72" s="508">
        <v>456189.28350000002</v>
      </c>
      <c r="E72" s="508">
        <v>417.60679499999998</v>
      </c>
      <c r="F72" s="508">
        <v>715971.16107249993</v>
      </c>
      <c r="G72" s="675">
        <v>5667289.4131749999</v>
      </c>
    </row>
    <row r="73" spans="1:8" ht="9.75" customHeight="1">
      <c r="A73" s="669" t="s">
        <v>96</v>
      </c>
      <c r="B73" s="621" t="s">
        <v>311</v>
      </c>
      <c r="C73" s="622"/>
      <c r="D73" s="622">
        <v>2553.5496149999999</v>
      </c>
      <c r="E73" s="622"/>
      <c r="F73" s="622">
        <v>2553.5496149999999</v>
      </c>
      <c r="G73" s="674">
        <v>19925.262354999999</v>
      </c>
    </row>
    <row r="74" spans="1:8" ht="9.75" customHeight="1">
      <c r="A74" s="669"/>
      <c r="B74" s="621" t="s">
        <v>312</v>
      </c>
      <c r="C74" s="622"/>
      <c r="D74" s="622">
        <v>64724.143972500002</v>
      </c>
      <c r="E74" s="622"/>
      <c r="F74" s="622">
        <v>64724.143972500002</v>
      </c>
      <c r="G74" s="674">
        <v>513845.23751999997</v>
      </c>
    </row>
    <row r="75" spans="1:8" ht="9.75" customHeight="1">
      <c r="A75" s="669"/>
      <c r="B75" s="621" t="s">
        <v>313</v>
      </c>
      <c r="C75" s="622"/>
      <c r="D75" s="622">
        <v>0</v>
      </c>
      <c r="E75" s="622"/>
      <c r="F75" s="622">
        <v>0</v>
      </c>
      <c r="G75" s="674">
        <v>26334.459202500002</v>
      </c>
    </row>
    <row r="76" spans="1:8">
      <c r="A76" s="779" t="s">
        <v>719</v>
      </c>
      <c r="B76" s="507"/>
      <c r="C76" s="508"/>
      <c r="D76" s="508">
        <v>67277.693587500005</v>
      </c>
      <c r="E76" s="508"/>
      <c r="F76" s="508">
        <v>67277.693587500005</v>
      </c>
      <c r="G76" s="675">
        <v>560104.95907750004</v>
      </c>
    </row>
    <row r="77" spans="1:8" ht="9.75" customHeight="1">
      <c r="A77" s="669" t="s">
        <v>98</v>
      </c>
      <c r="B77" s="621" t="s">
        <v>427</v>
      </c>
      <c r="C77" s="622"/>
      <c r="D77" s="622"/>
      <c r="E77" s="622">
        <v>46124.559872500002</v>
      </c>
      <c r="F77" s="622">
        <v>46124.559872500002</v>
      </c>
      <c r="G77" s="674">
        <v>394119.00324500003</v>
      </c>
    </row>
    <row r="78" spans="1:8" ht="9.75" customHeight="1">
      <c r="A78" s="669"/>
      <c r="B78" s="621" t="s">
        <v>426</v>
      </c>
      <c r="C78" s="622"/>
      <c r="D78" s="622"/>
      <c r="E78" s="622">
        <v>51766.810647500002</v>
      </c>
      <c r="F78" s="622">
        <v>51766.810647500002</v>
      </c>
      <c r="G78" s="674">
        <v>570725.9669750001</v>
      </c>
    </row>
    <row r="79" spans="1:8">
      <c r="A79" s="779" t="s">
        <v>720</v>
      </c>
      <c r="B79" s="507"/>
      <c r="C79" s="508"/>
      <c r="D79" s="508"/>
      <c r="E79" s="508">
        <v>97891.370519999997</v>
      </c>
      <c r="F79" s="508">
        <v>97891.370519999997</v>
      </c>
      <c r="G79" s="675">
        <v>964844.97022000013</v>
      </c>
    </row>
    <row r="80" spans="1:8" ht="9.75" customHeight="1">
      <c r="A80" s="669" t="s">
        <v>97</v>
      </c>
      <c r="B80" s="621" t="s">
        <v>77</v>
      </c>
      <c r="C80" s="622"/>
      <c r="D80" s="622"/>
      <c r="E80" s="622">
        <v>34156.346865</v>
      </c>
      <c r="F80" s="622">
        <v>34156.346865</v>
      </c>
      <c r="G80" s="674">
        <v>333637.35453750007</v>
      </c>
    </row>
    <row r="81" spans="1:7" ht="9.75" customHeight="1">
      <c r="A81" s="669"/>
      <c r="B81" s="621" t="s">
        <v>79</v>
      </c>
      <c r="C81" s="622"/>
      <c r="D81" s="622"/>
      <c r="E81" s="622">
        <v>14245.757960000001</v>
      </c>
      <c r="F81" s="622">
        <v>14245.757960000001</v>
      </c>
      <c r="G81" s="674">
        <v>125324.70314000001</v>
      </c>
    </row>
    <row r="82" spans="1:7" ht="9.75" customHeight="1">
      <c r="A82" s="687" t="s">
        <v>721</v>
      </c>
      <c r="B82" s="629"/>
      <c r="C82" s="630"/>
      <c r="D82" s="630"/>
      <c r="E82" s="630">
        <v>48402.104825000002</v>
      </c>
      <c r="F82" s="630">
        <v>48402.104825000002</v>
      </c>
      <c r="G82" s="688">
        <v>458962.05767750007</v>
      </c>
    </row>
    <row r="83" spans="1:7" ht="9.75" customHeight="1">
      <c r="A83" s="330"/>
      <c r="B83" s="330"/>
      <c r="C83" s="433"/>
      <c r="D83" s="433"/>
      <c r="E83" s="433"/>
      <c r="F83" s="330"/>
      <c r="G83" s="330"/>
    </row>
    <row r="84" spans="1:7" ht="9.75" customHeight="1">
      <c r="A84" s="330"/>
      <c r="B84" s="330"/>
      <c r="C84" s="433"/>
      <c r="D84" s="433"/>
      <c r="E84" s="433"/>
      <c r="F84" s="330"/>
      <c r="G84" s="330"/>
    </row>
    <row r="85" spans="1:7" ht="9.75" customHeight="1">
      <c r="A85" s="330"/>
      <c r="B85" s="330"/>
      <c r="C85" s="433"/>
      <c r="D85" s="433"/>
      <c r="E85" s="433"/>
      <c r="F85" s="330"/>
      <c r="G85" s="330"/>
    </row>
    <row r="86" spans="1:7" ht="9.75" customHeight="1">
      <c r="A86" s="330"/>
      <c r="B86" s="330"/>
      <c r="C86" s="433"/>
      <c r="D86" s="433"/>
      <c r="E86" s="433"/>
      <c r="F86" s="330"/>
      <c r="G86" s="330"/>
    </row>
    <row r="87" spans="1:7" ht="9.75" customHeight="1">
      <c r="A87" s="330"/>
      <c r="B87" s="330"/>
      <c r="C87" s="433"/>
      <c r="D87" s="433"/>
      <c r="E87" s="433"/>
      <c r="F87" s="330"/>
      <c r="G87" s="330"/>
    </row>
    <row r="88" spans="1:7" ht="9.75" customHeight="1">
      <c r="A88" s="330"/>
      <c r="B88" s="330"/>
      <c r="C88" s="433"/>
      <c r="D88" s="433"/>
      <c r="E88" s="433"/>
      <c r="F88" s="330"/>
      <c r="G88" s="330"/>
    </row>
    <row r="89" spans="1:7" ht="9.75" customHeight="1">
      <c r="A89" s="330"/>
      <c r="B89" s="330"/>
      <c r="C89" s="433"/>
      <c r="D89" s="433"/>
      <c r="E89" s="433"/>
      <c r="F89" s="330"/>
      <c r="G89" s="330"/>
    </row>
    <row r="90" spans="1:7" ht="9.75" customHeight="1">
      <c r="A90" s="330"/>
      <c r="B90" s="330"/>
      <c r="C90" s="433"/>
      <c r="D90" s="433"/>
      <c r="E90" s="433"/>
      <c r="F90" s="330"/>
      <c r="G90" s="330"/>
    </row>
    <row r="91" spans="1:7" ht="9.75" customHeight="1">
      <c r="A91" s="330"/>
      <c r="B91" s="330"/>
      <c r="C91" s="433"/>
      <c r="D91" s="433"/>
      <c r="E91" s="433"/>
      <c r="F91" s="330"/>
      <c r="G91" s="330"/>
    </row>
    <row r="92" spans="1:7" ht="9.75" customHeight="1">
      <c r="A92" s="330"/>
      <c r="B92" s="330"/>
      <c r="C92" s="433"/>
      <c r="D92" s="433"/>
      <c r="E92" s="433"/>
      <c r="F92" s="330"/>
      <c r="G92" s="330"/>
    </row>
    <row r="93" spans="1:7" ht="9.75" customHeight="1">
      <c r="A93" s="330"/>
      <c r="B93" s="330"/>
      <c r="C93" s="433"/>
      <c r="D93" s="433"/>
      <c r="E93" s="433"/>
      <c r="F93" s="330"/>
      <c r="G93" s="330"/>
    </row>
    <row r="94" spans="1:7" ht="9.75" customHeight="1">
      <c r="A94" s="330"/>
      <c r="B94" s="330"/>
      <c r="C94" s="433"/>
      <c r="D94" s="433"/>
      <c r="E94" s="433"/>
      <c r="F94" s="330"/>
      <c r="G94" s="330"/>
    </row>
    <row r="95" spans="1:7" ht="9.75" customHeight="1">
      <c r="A95" s="330"/>
      <c r="B95" s="330"/>
      <c r="C95" s="433"/>
      <c r="D95" s="433"/>
      <c r="E95" s="433"/>
      <c r="F95" s="330"/>
      <c r="G95" s="330"/>
    </row>
    <row r="96" spans="1:7" ht="9.75" customHeight="1">
      <c r="A96" s="330"/>
      <c r="B96" s="330"/>
      <c r="C96" s="433"/>
      <c r="D96" s="433"/>
      <c r="E96" s="433"/>
      <c r="F96" s="330"/>
      <c r="G96" s="330"/>
    </row>
    <row r="97" spans="1:7" ht="9.75" customHeight="1">
      <c r="A97" s="330"/>
      <c r="B97" s="330"/>
      <c r="C97" s="433"/>
      <c r="D97" s="433"/>
      <c r="E97" s="433"/>
      <c r="F97" s="330"/>
      <c r="G97" s="330"/>
    </row>
    <row r="98" spans="1:7" ht="9.75" customHeight="1">
      <c r="A98" s="330"/>
      <c r="B98" s="330"/>
      <c r="C98" s="433"/>
      <c r="D98" s="433"/>
      <c r="E98" s="433"/>
      <c r="F98" s="330"/>
      <c r="G98" s="330"/>
    </row>
    <row r="99" spans="1:7" ht="9.75" customHeight="1">
      <c r="A99" s="330"/>
      <c r="B99" s="330"/>
      <c r="C99" s="433"/>
      <c r="D99" s="433"/>
      <c r="E99" s="433"/>
      <c r="F99" s="330"/>
      <c r="G99" s="330"/>
    </row>
    <row r="100" spans="1:7" ht="9.75" customHeight="1">
      <c r="A100" s="330"/>
      <c r="B100" s="330"/>
      <c r="C100" s="433"/>
      <c r="D100" s="433"/>
      <c r="E100" s="433"/>
      <c r="F100" s="330"/>
      <c r="G100" s="330"/>
    </row>
    <row r="101" spans="1:7" ht="9.75" customHeight="1">
      <c r="A101" s="330"/>
      <c r="B101" s="330"/>
      <c r="C101" s="433"/>
      <c r="D101" s="433"/>
      <c r="E101" s="433"/>
      <c r="F101" s="330"/>
      <c r="G101" s="330"/>
    </row>
    <row r="102" spans="1:7" ht="9.75" customHeight="1">
      <c r="A102" s="330"/>
      <c r="B102" s="330"/>
      <c r="C102" s="433"/>
      <c r="D102" s="433"/>
      <c r="E102" s="433"/>
      <c r="F102" s="330"/>
      <c r="G102" s="330"/>
    </row>
    <row r="103" spans="1:7" ht="9.75" customHeight="1">
      <c r="A103" s="330"/>
      <c r="B103" s="330"/>
      <c r="C103" s="433"/>
      <c r="D103" s="433"/>
      <c r="E103" s="433"/>
      <c r="F103" s="330"/>
      <c r="G103" s="330"/>
    </row>
    <row r="104" spans="1:7" ht="9.75" customHeight="1">
      <c r="A104" s="330"/>
      <c r="B104" s="330"/>
      <c r="C104" s="433"/>
      <c r="D104" s="433"/>
      <c r="E104" s="433"/>
      <c r="F104" s="330"/>
      <c r="G104" s="330"/>
    </row>
    <row r="105" spans="1:7" ht="9.75" customHeight="1">
      <c r="A105" s="330"/>
      <c r="B105" s="330"/>
      <c r="C105" s="433"/>
      <c r="D105" s="433"/>
      <c r="E105" s="433"/>
      <c r="F105" s="330"/>
      <c r="G105" s="330"/>
    </row>
    <row r="106" spans="1:7" ht="9.75" customHeight="1">
      <c r="A106" s="330"/>
      <c r="B106" s="330"/>
      <c r="C106" s="433"/>
      <c r="D106" s="433"/>
      <c r="E106" s="433"/>
      <c r="F106" s="330"/>
      <c r="G106" s="330"/>
    </row>
    <row r="107" spans="1:7" ht="9.75" customHeight="1">
      <c r="A107" s="330"/>
      <c r="B107" s="330"/>
      <c r="C107" s="433"/>
      <c r="D107" s="433"/>
      <c r="E107" s="433"/>
      <c r="F107" s="330"/>
      <c r="G107" s="330"/>
    </row>
    <row r="108" spans="1:7" ht="9.75" customHeight="1">
      <c r="A108" s="330"/>
      <c r="B108" s="330"/>
      <c r="C108" s="433"/>
      <c r="D108" s="433"/>
      <c r="E108" s="433"/>
      <c r="F108" s="330"/>
      <c r="G108" s="330"/>
    </row>
    <row r="109" spans="1:7" ht="9.75" customHeight="1">
      <c r="A109" s="330"/>
      <c r="B109" s="330"/>
      <c r="C109" s="433"/>
      <c r="D109" s="433"/>
      <c r="E109" s="433"/>
      <c r="F109" s="330"/>
      <c r="G109" s="330"/>
    </row>
    <row r="110" spans="1:7" ht="9.75" customHeight="1">
      <c r="A110" s="330"/>
      <c r="B110" s="330"/>
      <c r="C110" s="433"/>
      <c r="D110" s="433"/>
      <c r="E110" s="433"/>
      <c r="F110" s="330"/>
      <c r="G110" s="330"/>
    </row>
    <row r="111" spans="1:7" ht="9.75" customHeight="1">
      <c r="A111" s="330"/>
      <c r="B111" s="330"/>
      <c r="C111" s="433"/>
      <c r="D111" s="433"/>
      <c r="E111" s="433"/>
      <c r="F111" s="330"/>
      <c r="G111" s="330"/>
    </row>
    <row r="112" spans="1:7" ht="9.75" customHeight="1">
      <c r="A112" s="330"/>
      <c r="B112" s="330"/>
      <c r="C112" s="433"/>
      <c r="D112" s="433"/>
      <c r="E112" s="433"/>
      <c r="F112" s="330"/>
      <c r="G112" s="330"/>
    </row>
    <row r="113" spans="1:7" ht="9.75" customHeight="1">
      <c r="A113" s="330"/>
      <c r="B113" s="330"/>
      <c r="C113" s="433"/>
      <c r="D113" s="433"/>
      <c r="E113" s="433"/>
      <c r="F113" s="330"/>
      <c r="G113" s="330"/>
    </row>
    <row r="114" spans="1:7" ht="9.75" customHeight="1">
      <c r="A114" s="330"/>
      <c r="B114" s="330"/>
      <c r="C114" s="433"/>
      <c r="D114" s="433"/>
      <c r="E114" s="433"/>
      <c r="F114" s="330"/>
      <c r="G114" s="330"/>
    </row>
    <row r="115" spans="1:7" ht="9.75" customHeight="1">
      <c r="A115" s="330"/>
      <c r="B115" s="330"/>
      <c r="C115" s="433"/>
      <c r="D115" s="433"/>
      <c r="E115" s="433"/>
      <c r="F115" s="330"/>
      <c r="G115" s="330"/>
    </row>
    <row r="116" spans="1:7" ht="9.75" customHeight="1">
      <c r="A116" s="330"/>
      <c r="B116" s="330"/>
      <c r="C116" s="433"/>
      <c r="D116" s="433"/>
      <c r="E116" s="433"/>
      <c r="F116" s="330"/>
      <c r="G116" s="330"/>
    </row>
    <row r="117" spans="1:7" ht="9.75" customHeight="1">
      <c r="A117" s="330"/>
      <c r="B117" s="330"/>
      <c r="C117" s="433"/>
      <c r="D117" s="433"/>
      <c r="E117" s="433"/>
      <c r="F117" s="330"/>
      <c r="G117" s="330"/>
    </row>
    <row r="118" spans="1:7" ht="9.75" customHeight="1">
      <c r="A118" s="330"/>
      <c r="B118" s="330"/>
      <c r="C118" s="433"/>
      <c r="D118" s="433"/>
      <c r="E118" s="433"/>
      <c r="F118" s="330"/>
      <c r="G118" s="330"/>
    </row>
    <row r="119" spans="1:7" ht="9.75" customHeight="1">
      <c r="A119" s="330"/>
      <c r="B119" s="330"/>
      <c r="C119" s="433"/>
      <c r="D119" s="433"/>
      <c r="E119" s="433"/>
      <c r="F119" s="330"/>
      <c r="G119" s="330"/>
    </row>
    <row r="120" spans="1:7" ht="9.75" customHeight="1">
      <c r="A120" s="330"/>
      <c r="B120" s="330"/>
      <c r="C120" s="433"/>
      <c r="D120" s="433"/>
      <c r="E120" s="433"/>
      <c r="F120" s="330"/>
      <c r="G120" s="330"/>
    </row>
    <row r="121" spans="1:7" ht="9.75" customHeight="1">
      <c r="A121" s="330"/>
      <c r="B121" s="330"/>
      <c r="C121" s="433"/>
      <c r="D121" s="433"/>
      <c r="E121" s="433"/>
      <c r="F121" s="330"/>
      <c r="G121" s="330"/>
    </row>
    <row r="122" spans="1:7" ht="9.75" customHeight="1">
      <c r="A122" s="330"/>
      <c r="B122" s="330"/>
      <c r="C122" s="433"/>
      <c r="D122" s="433"/>
      <c r="E122" s="433"/>
      <c r="F122" s="330"/>
      <c r="G122" s="330"/>
    </row>
    <row r="123" spans="1:7" ht="9.75" customHeight="1">
      <c r="A123" s="330"/>
      <c r="B123" s="330"/>
      <c r="C123" s="433"/>
      <c r="D123" s="433"/>
      <c r="E123" s="433"/>
      <c r="F123" s="330"/>
      <c r="G123" s="330"/>
    </row>
    <row r="124" spans="1:7" ht="9.75" customHeight="1">
      <c r="A124" s="330"/>
      <c r="B124" s="330"/>
      <c r="C124" s="433"/>
      <c r="D124" s="433"/>
      <c r="E124" s="433"/>
      <c r="F124" s="330"/>
      <c r="G124" s="330"/>
    </row>
    <row r="125" spans="1:7" ht="9.75" customHeight="1">
      <c r="A125" s="330"/>
      <c r="B125" s="330"/>
      <c r="C125" s="433"/>
      <c r="D125" s="433"/>
      <c r="E125" s="433"/>
      <c r="F125" s="330"/>
      <c r="G125" s="330"/>
    </row>
    <row r="126" spans="1:7" ht="9.75" customHeight="1">
      <c r="A126" s="330"/>
      <c r="B126" s="330"/>
      <c r="C126" s="433"/>
      <c r="D126" s="433"/>
      <c r="E126" s="433"/>
      <c r="F126" s="330"/>
      <c r="G126" s="330"/>
    </row>
    <row r="127" spans="1:7" ht="9.75" customHeight="1">
      <c r="A127" s="330"/>
      <c r="B127" s="330"/>
      <c r="C127" s="433"/>
      <c r="D127" s="433"/>
      <c r="E127" s="433"/>
      <c r="F127" s="330"/>
      <c r="G127" s="330"/>
    </row>
    <row r="128" spans="1:7" ht="9.75" customHeight="1">
      <c r="A128" s="330"/>
      <c r="B128" s="330"/>
      <c r="C128" s="433"/>
      <c r="D128" s="433"/>
      <c r="E128" s="433"/>
      <c r="F128" s="330"/>
      <c r="G128" s="330"/>
    </row>
    <row r="129" spans="1:7" ht="9.75" customHeight="1">
      <c r="A129" s="330"/>
      <c r="B129" s="330"/>
      <c r="C129" s="433"/>
      <c r="D129" s="433"/>
      <c r="E129" s="433"/>
      <c r="F129" s="330"/>
      <c r="G129" s="330"/>
    </row>
    <row r="130" spans="1:7" ht="9.75" customHeight="1">
      <c r="A130" s="330"/>
      <c r="B130" s="330"/>
      <c r="C130" s="433"/>
      <c r="D130" s="433"/>
      <c r="E130" s="433"/>
      <c r="F130" s="330"/>
      <c r="G130" s="330"/>
    </row>
    <row r="131" spans="1:7" ht="9.75" customHeight="1">
      <c r="A131" s="330"/>
      <c r="B131" s="330"/>
      <c r="C131" s="433"/>
      <c r="D131" s="433"/>
      <c r="E131" s="433"/>
      <c r="F131" s="330"/>
      <c r="G131" s="330"/>
    </row>
    <row r="132" spans="1:7" ht="9.75" customHeight="1">
      <c r="A132" s="330"/>
      <c r="B132" s="330"/>
      <c r="C132" s="433"/>
      <c r="D132" s="433"/>
      <c r="E132" s="433"/>
      <c r="F132" s="330"/>
      <c r="G132" s="330"/>
    </row>
    <row r="133" spans="1:7" ht="9.75" customHeight="1">
      <c r="A133" s="330"/>
      <c r="B133" s="330"/>
      <c r="C133" s="433"/>
      <c r="D133" s="433"/>
      <c r="E133" s="433"/>
      <c r="F133" s="330"/>
      <c r="G133" s="330"/>
    </row>
    <row r="134" spans="1:7" ht="9.75" customHeight="1">
      <c r="A134" s="330"/>
      <c r="B134" s="330"/>
      <c r="C134" s="433"/>
      <c r="D134" s="433"/>
      <c r="E134" s="433"/>
      <c r="F134" s="330"/>
      <c r="G134" s="330"/>
    </row>
    <row r="135" spans="1:7" ht="9.75" customHeight="1">
      <c r="A135" s="330"/>
      <c r="B135" s="330"/>
      <c r="C135" s="433"/>
      <c r="D135" s="433"/>
      <c r="E135" s="433"/>
      <c r="F135" s="330"/>
      <c r="G135" s="330"/>
    </row>
    <row r="136" spans="1:7" ht="9.75" customHeight="1">
      <c r="A136" s="330"/>
      <c r="B136" s="330"/>
      <c r="C136" s="433"/>
      <c r="D136" s="433"/>
      <c r="E136" s="433"/>
      <c r="F136" s="330"/>
      <c r="G136" s="330"/>
    </row>
    <row r="137" spans="1:7" ht="9.75" customHeight="1">
      <c r="A137" s="330"/>
      <c r="B137" s="330"/>
      <c r="C137" s="433"/>
      <c r="D137" s="433"/>
      <c r="E137" s="433"/>
      <c r="F137" s="330"/>
      <c r="G137" s="330"/>
    </row>
    <row r="138" spans="1:7" ht="9.75" customHeight="1">
      <c r="A138" s="330"/>
      <c r="B138" s="330"/>
      <c r="C138" s="433"/>
      <c r="D138" s="433"/>
      <c r="E138" s="433"/>
      <c r="F138" s="330"/>
      <c r="G138" s="330"/>
    </row>
    <row r="139" spans="1:7" ht="9.75" customHeight="1">
      <c r="A139" s="330"/>
      <c r="B139" s="330"/>
      <c r="C139" s="433"/>
      <c r="D139" s="433"/>
      <c r="E139" s="433"/>
      <c r="F139" s="330"/>
      <c r="G139" s="330"/>
    </row>
    <row r="140" spans="1:7" ht="9.75" customHeight="1">
      <c r="A140" s="330"/>
      <c r="B140" s="330"/>
      <c r="C140" s="433"/>
      <c r="D140" s="433"/>
      <c r="E140" s="433"/>
      <c r="F140" s="330"/>
      <c r="G140" s="330"/>
    </row>
    <row r="141" spans="1:7" ht="9.75" customHeight="1">
      <c r="A141" s="330"/>
      <c r="B141" s="330"/>
      <c r="C141" s="433"/>
      <c r="D141" s="433"/>
      <c r="E141" s="433"/>
      <c r="F141" s="330"/>
      <c r="G141" s="330"/>
    </row>
    <row r="142" spans="1:7" ht="9.75" customHeight="1">
      <c r="A142" s="330"/>
      <c r="B142" s="330"/>
      <c r="C142" s="433"/>
      <c r="D142" s="433"/>
      <c r="E142" s="433"/>
      <c r="F142" s="330"/>
      <c r="G142" s="330"/>
    </row>
    <row r="143" spans="1:7" ht="9.75" customHeight="1">
      <c r="A143" s="330"/>
      <c r="B143" s="330"/>
      <c r="C143" s="433"/>
      <c r="D143" s="433"/>
      <c r="E143" s="433"/>
      <c r="F143" s="330"/>
      <c r="G143" s="330"/>
    </row>
    <row r="144" spans="1:7" ht="9.75" customHeight="1">
      <c r="A144" s="330"/>
      <c r="B144" s="330"/>
      <c r="C144" s="433"/>
      <c r="D144" s="433"/>
      <c r="E144" s="433"/>
      <c r="F144" s="330"/>
      <c r="G144" s="330"/>
    </row>
    <row r="145" spans="1:7" ht="9.75" customHeight="1">
      <c r="A145" s="330"/>
      <c r="B145" s="330"/>
      <c r="C145" s="433"/>
      <c r="D145" s="433"/>
      <c r="E145" s="433"/>
      <c r="F145" s="330"/>
      <c r="G145" s="330"/>
    </row>
    <row r="146" spans="1:7" ht="9.75" customHeight="1">
      <c r="A146" s="330"/>
      <c r="B146" s="330"/>
      <c r="C146" s="433"/>
      <c r="D146" s="433"/>
      <c r="E146" s="433"/>
      <c r="F146" s="330"/>
      <c r="G146" s="330"/>
    </row>
    <row r="147" spans="1:7" ht="9.75" customHeight="1">
      <c r="A147" s="330"/>
      <c r="B147" s="330"/>
      <c r="C147" s="433"/>
      <c r="D147" s="433"/>
      <c r="E147" s="433"/>
      <c r="F147" s="330"/>
      <c r="G147" s="330"/>
    </row>
    <row r="148" spans="1:7" ht="9.75" customHeight="1">
      <c r="A148" s="330"/>
      <c r="B148" s="330"/>
      <c r="C148" s="433"/>
      <c r="D148" s="433"/>
      <c r="E148" s="433"/>
      <c r="F148" s="330"/>
      <c r="G148" s="330"/>
    </row>
    <row r="149" spans="1:7" ht="9.75" customHeight="1">
      <c r="A149" s="330"/>
      <c r="B149" s="330"/>
      <c r="C149" s="433"/>
      <c r="D149" s="433"/>
      <c r="E149" s="433"/>
      <c r="F149" s="330"/>
      <c r="G149" s="330"/>
    </row>
    <row r="150" spans="1:7" ht="9.75" customHeight="1">
      <c r="A150" s="330"/>
      <c r="B150" s="330"/>
      <c r="C150" s="433"/>
      <c r="D150" s="433"/>
      <c r="E150" s="433"/>
      <c r="F150" s="330"/>
      <c r="G150" s="330"/>
    </row>
    <row r="151" spans="1:7" ht="9.75" customHeight="1">
      <c r="A151" s="330"/>
      <c r="B151" s="330"/>
      <c r="C151" s="433"/>
      <c r="D151" s="433"/>
      <c r="E151" s="433"/>
      <c r="F151" s="330"/>
      <c r="G151" s="330"/>
    </row>
    <row r="152" spans="1:7" ht="9.75" customHeight="1">
      <c r="A152" s="330"/>
      <c r="B152" s="330"/>
      <c r="C152" s="433"/>
      <c r="D152" s="433"/>
      <c r="E152" s="433"/>
      <c r="F152" s="330"/>
      <c r="G152" s="330"/>
    </row>
    <row r="153" spans="1:7" ht="9.75" customHeight="1">
      <c r="A153" s="330"/>
      <c r="B153" s="330"/>
      <c r="C153" s="433"/>
      <c r="D153" s="433"/>
      <c r="E153" s="433"/>
      <c r="F153" s="330"/>
      <c r="G153" s="330"/>
    </row>
    <row r="154" spans="1:7" ht="9.75" customHeight="1">
      <c r="A154" s="330"/>
      <c r="B154" s="330"/>
      <c r="C154" s="433"/>
      <c r="D154" s="433"/>
      <c r="E154" s="433"/>
      <c r="F154" s="330"/>
      <c r="G154" s="330"/>
    </row>
    <row r="155" spans="1:7" ht="9.75" customHeight="1">
      <c r="A155" s="330"/>
      <c r="B155" s="330"/>
      <c r="C155" s="433"/>
      <c r="D155" s="433"/>
      <c r="E155" s="433"/>
      <c r="F155" s="330"/>
      <c r="G155" s="330"/>
    </row>
    <row r="156" spans="1:7" ht="9.75" customHeight="1">
      <c r="A156" s="330"/>
      <c r="B156" s="330"/>
      <c r="C156" s="433"/>
      <c r="D156" s="433"/>
      <c r="E156" s="433"/>
      <c r="F156" s="330"/>
      <c r="G156" s="330"/>
    </row>
    <row r="157" spans="1:7" ht="9.75" customHeight="1">
      <c r="A157" s="330"/>
      <c r="B157" s="330"/>
      <c r="C157" s="433"/>
      <c r="D157" s="433"/>
      <c r="E157" s="433"/>
      <c r="F157" s="330"/>
      <c r="G157" s="330"/>
    </row>
    <row r="158" spans="1:7" ht="9.75" customHeight="1">
      <c r="A158" s="330"/>
      <c r="B158" s="330"/>
      <c r="C158" s="433"/>
      <c r="D158" s="433"/>
      <c r="E158" s="433"/>
      <c r="F158" s="330"/>
      <c r="G158" s="330"/>
    </row>
    <row r="159" spans="1:7" ht="9.75" customHeight="1">
      <c r="A159" s="330"/>
      <c r="B159" s="330"/>
      <c r="C159" s="433"/>
      <c r="D159" s="433"/>
      <c r="E159" s="433"/>
      <c r="F159" s="330"/>
      <c r="G159" s="330"/>
    </row>
    <row r="160" spans="1:7" ht="9.75" customHeight="1">
      <c r="A160" s="330"/>
      <c r="B160" s="330"/>
      <c r="C160" s="433"/>
      <c r="D160" s="433"/>
      <c r="E160" s="433"/>
      <c r="F160" s="330"/>
      <c r="G160" s="330"/>
    </row>
    <row r="161" spans="1:7" ht="9.75" customHeight="1">
      <c r="A161" s="330"/>
      <c r="B161" s="330"/>
      <c r="C161" s="433"/>
      <c r="D161" s="433"/>
      <c r="E161" s="433"/>
      <c r="F161" s="330"/>
      <c r="G161" s="330"/>
    </row>
    <row r="162" spans="1:7" ht="9.75" customHeight="1">
      <c r="A162" s="330"/>
      <c r="B162" s="330"/>
      <c r="C162" s="433"/>
      <c r="D162" s="433"/>
      <c r="E162" s="433"/>
      <c r="F162" s="330"/>
      <c r="G162" s="330"/>
    </row>
    <row r="163" spans="1:7" ht="9.75" customHeight="1">
      <c r="A163" s="330"/>
      <c r="B163" s="330"/>
      <c r="C163" s="433"/>
      <c r="D163" s="433"/>
      <c r="E163" s="433"/>
      <c r="F163" s="330"/>
      <c r="G163" s="330"/>
    </row>
    <row r="164" spans="1:7" ht="9.75" customHeight="1">
      <c r="A164" s="330"/>
      <c r="B164" s="330"/>
      <c r="C164" s="433"/>
      <c r="D164" s="433"/>
      <c r="E164" s="433"/>
      <c r="F164" s="330"/>
      <c r="G164" s="330"/>
    </row>
    <row r="165" spans="1:7" ht="9.75" customHeight="1">
      <c r="A165" s="330"/>
      <c r="B165" s="330"/>
      <c r="C165" s="433"/>
      <c r="D165" s="433"/>
      <c r="E165" s="433"/>
      <c r="F165" s="330"/>
      <c r="G165" s="330"/>
    </row>
    <row r="166" spans="1:7" ht="9.75" customHeight="1">
      <c r="A166" s="330"/>
      <c r="B166" s="330"/>
      <c r="C166" s="433"/>
      <c r="D166" s="433"/>
      <c r="E166" s="433"/>
      <c r="F166" s="330"/>
      <c r="G166" s="330"/>
    </row>
    <row r="167" spans="1:7" ht="9.75" customHeight="1">
      <c r="A167" s="330"/>
      <c r="B167" s="330"/>
      <c r="C167" s="433"/>
      <c r="D167" s="433"/>
      <c r="E167" s="433"/>
      <c r="F167" s="330"/>
      <c r="G167" s="330"/>
    </row>
    <row r="168" spans="1:7" ht="9.75" customHeight="1">
      <c r="A168" s="330"/>
      <c r="B168" s="330"/>
      <c r="C168" s="433"/>
      <c r="D168" s="433"/>
      <c r="E168" s="433"/>
      <c r="F168" s="330"/>
      <c r="G168" s="330"/>
    </row>
    <row r="169" spans="1:7" ht="9.75" customHeight="1">
      <c r="A169" s="330"/>
      <c r="B169" s="330"/>
      <c r="C169" s="433"/>
      <c r="D169" s="433"/>
      <c r="E169" s="433"/>
      <c r="F169" s="330"/>
      <c r="G169" s="330"/>
    </row>
    <row r="170" spans="1:7" ht="9.75" customHeight="1">
      <c r="A170" s="330"/>
      <c r="B170" s="330"/>
      <c r="C170" s="433"/>
      <c r="D170" s="433"/>
      <c r="E170" s="433"/>
      <c r="F170" s="330"/>
      <c r="G170" s="330"/>
    </row>
    <row r="171" spans="1:7" ht="9.75" customHeight="1">
      <c r="A171" s="330"/>
      <c r="B171" s="330"/>
      <c r="C171" s="433"/>
      <c r="D171" s="433"/>
      <c r="E171" s="433"/>
      <c r="F171" s="330"/>
      <c r="G171" s="330"/>
    </row>
    <row r="172" spans="1:7" ht="9.75" customHeight="1">
      <c r="A172" s="330"/>
      <c r="B172" s="330"/>
      <c r="C172" s="330"/>
      <c r="D172" s="330"/>
      <c r="E172" s="330"/>
      <c r="F172" s="330"/>
      <c r="G172" s="330"/>
    </row>
    <row r="173" spans="1:7" ht="9.75" customHeight="1">
      <c r="A173" s="330"/>
      <c r="B173" s="330"/>
      <c r="C173" s="330"/>
      <c r="D173" s="330"/>
      <c r="E173" s="330"/>
      <c r="F173" s="330"/>
      <c r="G173" s="330"/>
    </row>
    <row r="174" spans="1:7" ht="9.75" customHeight="1">
      <c r="A174" s="330"/>
      <c r="B174" s="330"/>
      <c r="C174" s="330"/>
      <c r="D174" s="330"/>
      <c r="E174" s="330"/>
      <c r="F174" s="330"/>
      <c r="G174" s="330"/>
    </row>
    <row r="175" spans="1:7" ht="9.75" customHeight="1">
      <c r="A175" s="330"/>
      <c r="B175" s="330"/>
      <c r="C175" s="330"/>
      <c r="D175" s="330"/>
      <c r="E175" s="330"/>
      <c r="F175" s="330"/>
      <c r="G175" s="330"/>
    </row>
    <row r="176" spans="1:7" ht="9.75" customHeight="1">
      <c r="A176" s="330"/>
      <c r="B176" s="330"/>
      <c r="C176" s="330"/>
      <c r="D176" s="330"/>
      <c r="E176" s="330"/>
      <c r="F176" s="330"/>
      <c r="G176" s="330"/>
    </row>
    <row r="177" spans="1:7" ht="9.75" customHeight="1">
      <c r="A177" s="330"/>
      <c r="B177" s="330"/>
      <c r="C177" s="330"/>
      <c r="D177" s="330"/>
      <c r="E177" s="330"/>
      <c r="F177" s="330"/>
      <c r="G177" s="330"/>
    </row>
    <row r="178" spans="1:7" ht="9.75" customHeight="1">
      <c r="A178" s="330"/>
      <c r="B178" s="330"/>
      <c r="C178" s="330"/>
      <c r="D178" s="330"/>
      <c r="E178" s="330"/>
      <c r="F178" s="330"/>
      <c r="G178" s="330"/>
    </row>
    <row r="179" spans="1:7" ht="9.75" customHeight="1">
      <c r="A179" s="330"/>
      <c r="B179" s="330"/>
      <c r="C179" s="330"/>
      <c r="D179" s="330"/>
      <c r="E179" s="330"/>
      <c r="F179" s="330"/>
      <c r="G179" s="330"/>
    </row>
    <row r="180" spans="1:7" ht="9.75" customHeight="1">
      <c r="A180" s="330"/>
      <c r="B180" s="330"/>
      <c r="C180" s="330"/>
      <c r="D180" s="330"/>
      <c r="E180" s="330"/>
      <c r="F180" s="330"/>
      <c r="G180" s="330"/>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5" orientation="portrait" r:id="rId1"/>
  <headerFooter>
    <oddHeader>&amp;R&amp;7Informe de la Operación Mensual-Noviembre 2020
INFSGI-MES-11-2020
14/12/2020
Versión: 01</oddHeader>
    <oddFooter>&amp;L&amp;7COES, 2020&amp;C18&amp;R&amp;7Dirección Ejecutiva
Sub Dirección de Gestión de Información</oddFooter>
  </headerFooter>
  <rowBreaks count="1" manualBreakCount="1">
    <brk id="82"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3"/>
  <sheetViews>
    <sheetView showGridLines="0" view="pageBreakPreview" zoomScaleNormal="100" zoomScaleSheetLayoutView="100" zoomScalePageLayoutView="130" workbookViewId="0">
      <selection activeCell="T44" sqref="T44"/>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0.28515625" customWidth="1"/>
    <col min="6" max="6" width="12.42578125" customWidth="1"/>
    <col min="7" max="7" width="16.140625" bestFit="1" customWidth="1"/>
    <col min="8" max="8" width="13" bestFit="1" customWidth="1"/>
  </cols>
  <sheetData>
    <row r="1" spans="1:8" ht="17.25" customHeight="1">
      <c r="A1" s="977" t="s">
        <v>250</v>
      </c>
      <c r="B1" s="980" t="s">
        <v>54</v>
      </c>
      <c r="C1" s="983" t="str">
        <f>+'18. ANEXOI-1'!C2:F2</f>
        <v>ENERGÍA PRODUCIDA NOVIEMBRE 2020</v>
      </c>
      <c r="D1" s="983"/>
      <c r="E1" s="983"/>
      <c r="F1" s="983"/>
      <c r="G1" s="626" t="s">
        <v>276</v>
      </c>
      <c r="H1" s="203"/>
    </row>
    <row r="2" spans="1:8" ht="11.25" customHeight="1">
      <c r="A2" s="978"/>
      <c r="B2" s="981"/>
      <c r="C2" s="984" t="s">
        <v>277</v>
      </c>
      <c r="D2" s="984"/>
      <c r="E2" s="984"/>
      <c r="F2" s="985" t="str">
        <f>"TOTAL 
"&amp;UPPER('1. Resumen'!Q4)</f>
        <v>TOTAL 
NOVIEMBRE</v>
      </c>
      <c r="G2" s="627" t="s">
        <v>278</v>
      </c>
      <c r="H2" s="194"/>
    </row>
    <row r="3" spans="1:8" ht="11.25" customHeight="1">
      <c r="A3" s="978"/>
      <c r="B3" s="981"/>
      <c r="C3" s="618" t="s">
        <v>215</v>
      </c>
      <c r="D3" s="618" t="s">
        <v>216</v>
      </c>
      <c r="E3" s="618" t="s">
        <v>279</v>
      </c>
      <c r="F3" s="986"/>
      <c r="G3" s="627">
        <v>2020</v>
      </c>
      <c r="H3" s="196"/>
    </row>
    <row r="4" spans="1:8" ht="11.25" customHeight="1">
      <c r="A4" s="987"/>
      <c r="B4" s="988"/>
      <c r="C4" s="619" t="s">
        <v>280</v>
      </c>
      <c r="D4" s="619" t="s">
        <v>280</v>
      </c>
      <c r="E4" s="619" t="s">
        <v>280</v>
      </c>
      <c r="F4" s="619" t="s">
        <v>280</v>
      </c>
      <c r="G4" s="628" t="s">
        <v>208</v>
      </c>
      <c r="H4" s="196"/>
    </row>
    <row r="5" spans="1:8" ht="10.5" customHeight="1">
      <c r="A5" s="669" t="s">
        <v>87</v>
      </c>
      <c r="B5" s="621" t="s">
        <v>314</v>
      </c>
      <c r="C5" s="622">
        <v>24778.28052</v>
      </c>
      <c r="D5" s="622"/>
      <c r="E5" s="622"/>
      <c r="F5" s="622">
        <v>24778.28052</v>
      </c>
      <c r="G5" s="674">
        <v>393061.995475</v>
      </c>
    </row>
    <row r="6" spans="1:8" ht="10.5" customHeight="1">
      <c r="A6" s="669"/>
      <c r="B6" s="621" t="s">
        <v>315</v>
      </c>
      <c r="C6" s="622">
        <v>29997.733215</v>
      </c>
      <c r="D6" s="622"/>
      <c r="E6" s="622"/>
      <c r="F6" s="622">
        <v>29997.733215</v>
      </c>
      <c r="G6" s="674">
        <v>728045.71901500004</v>
      </c>
    </row>
    <row r="7" spans="1:8" ht="10.5" customHeight="1">
      <c r="A7" s="669"/>
      <c r="B7" s="621" t="s">
        <v>316</v>
      </c>
      <c r="C7" s="622"/>
      <c r="D7" s="622">
        <v>422523.5432675</v>
      </c>
      <c r="E7" s="622"/>
      <c r="F7" s="622">
        <v>422523.5432675</v>
      </c>
      <c r="G7" s="674">
        <v>4145263.0723300003</v>
      </c>
    </row>
    <row r="8" spans="1:8" ht="10.5" customHeight="1">
      <c r="A8" s="669"/>
      <c r="B8" s="621" t="s">
        <v>317</v>
      </c>
      <c r="C8" s="622"/>
      <c r="D8" s="622">
        <v>70152.838557499999</v>
      </c>
      <c r="E8" s="622"/>
      <c r="F8" s="622">
        <v>70152.838557499999</v>
      </c>
      <c r="G8" s="674">
        <v>363123.20227249997</v>
      </c>
    </row>
    <row r="9" spans="1:8" ht="10.5" customHeight="1">
      <c r="A9" s="669"/>
      <c r="B9" s="621" t="s">
        <v>318</v>
      </c>
      <c r="C9" s="622"/>
      <c r="D9" s="622">
        <v>4383.0983974999999</v>
      </c>
      <c r="E9" s="622"/>
      <c r="F9" s="622">
        <v>4383.0983974999999</v>
      </c>
      <c r="G9" s="674">
        <v>13023.314237500001</v>
      </c>
    </row>
    <row r="10" spans="1:8" ht="10.5" customHeight="1">
      <c r="A10" s="669"/>
      <c r="B10" s="621" t="s">
        <v>319</v>
      </c>
      <c r="C10" s="622"/>
      <c r="D10" s="622">
        <v>0</v>
      </c>
      <c r="E10" s="622"/>
      <c r="F10" s="622">
        <v>0</v>
      </c>
      <c r="G10" s="674">
        <v>6903.0657499999998</v>
      </c>
    </row>
    <row r="11" spans="1:8" ht="10.5" customHeight="1">
      <c r="A11" s="669"/>
      <c r="B11" s="621" t="s">
        <v>320</v>
      </c>
      <c r="C11" s="622"/>
      <c r="D11" s="622">
        <v>379.1782675</v>
      </c>
      <c r="E11" s="622"/>
      <c r="F11" s="622">
        <v>379.1782675</v>
      </c>
      <c r="G11" s="674">
        <v>738.99654250000003</v>
      </c>
    </row>
    <row r="12" spans="1:8" ht="10.5" customHeight="1">
      <c r="A12" s="669"/>
      <c r="B12" s="621" t="s">
        <v>428</v>
      </c>
      <c r="C12" s="622"/>
      <c r="D12" s="622"/>
      <c r="E12" s="622">
        <v>11430.2804825</v>
      </c>
      <c r="F12" s="622">
        <v>11430.2804825</v>
      </c>
      <c r="G12" s="674">
        <v>95100.211982499997</v>
      </c>
    </row>
    <row r="13" spans="1:8" ht="10.5" customHeight="1">
      <c r="A13" s="671" t="s">
        <v>722</v>
      </c>
      <c r="B13" s="507"/>
      <c r="C13" s="508">
        <v>54776.013735</v>
      </c>
      <c r="D13" s="508">
        <v>497438.65849</v>
      </c>
      <c r="E13" s="508">
        <v>11430.2804825</v>
      </c>
      <c r="F13" s="508">
        <v>563644.95270749996</v>
      </c>
      <c r="G13" s="675">
        <v>5745259.5776049998</v>
      </c>
    </row>
    <row r="14" spans="1:8" ht="10.5" customHeight="1">
      <c r="A14" s="669" t="s">
        <v>239</v>
      </c>
      <c r="B14" s="621" t="s">
        <v>321</v>
      </c>
      <c r="C14" s="622"/>
      <c r="D14" s="622">
        <v>389771.89506749995</v>
      </c>
      <c r="E14" s="622"/>
      <c r="F14" s="622">
        <v>389771.89506749995</v>
      </c>
      <c r="G14" s="674">
        <v>2638770.1767899999</v>
      </c>
    </row>
    <row r="15" spans="1:8" ht="10.5" customHeight="1">
      <c r="A15" s="671" t="s">
        <v>723</v>
      </c>
      <c r="B15" s="507"/>
      <c r="C15" s="508"/>
      <c r="D15" s="508">
        <v>389771.89506749995</v>
      </c>
      <c r="E15" s="508"/>
      <c r="F15" s="508">
        <v>389771.89506749995</v>
      </c>
      <c r="G15" s="675">
        <v>2638770.1767899999</v>
      </c>
    </row>
    <row r="16" spans="1:8" s="725" customFormat="1" ht="10.5" customHeight="1">
      <c r="A16" s="689" t="s">
        <v>458</v>
      </c>
      <c r="B16" s="431" t="s">
        <v>463</v>
      </c>
      <c r="C16" s="432"/>
      <c r="D16" s="432"/>
      <c r="E16" s="432">
        <v>5951.982935</v>
      </c>
      <c r="F16" s="432">
        <v>5951.982935</v>
      </c>
      <c r="G16" s="685">
        <v>81274.652887499979</v>
      </c>
    </row>
    <row r="17" spans="1:7" s="725" customFormat="1" ht="10.5" customHeight="1">
      <c r="A17" s="686"/>
      <c r="B17" s="621" t="s">
        <v>459</v>
      </c>
      <c r="C17" s="622"/>
      <c r="D17" s="622"/>
      <c r="E17" s="622">
        <v>2718.1955374999998</v>
      </c>
      <c r="F17" s="622">
        <v>2718.1955374999998</v>
      </c>
      <c r="G17" s="674">
        <v>18989.597029999997</v>
      </c>
    </row>
    <row r="18" spans="1:7" s="725" customFormat="1" ht="10.5" customHeight="1">
      <c r="A18" s="671" t="s">
        <v>724</v>
      </c>
      <c r="B18" s="507"/>
      <c r="C18" s="508"/>
      <c r="D18" s="508"/>
      <c r="E18" s="508">
        <v>8670.1784724999998</v>
      </c>
      <c r="F18" s="508">
        <v>8670.1784724999998</v>
      </c>
      <c r="G18" s="675">
        <v>100264.24991749998</v>
      </c>
    </row>
    <row r="19" spans="1:7" ht="10.5" customHeight="1">
      <c r="A19" s="669" t="s">
        <v>108</v>
      </c>
      <c r="B19" s="621" t="s">
        <v>66</v>
      </c>
      <c r="C19" s="622"/>
      <c r="D19" s="622"/>
      <c r="E19" s="622">
        <v>3459.1920700000001</v>
      </c>
      <c r="F19" s="622">
        <v>3459.1920700000001</v>
      </c>
      <c r="G19" s="674">
        <v>54320.341669999987</v>
      </c>
    </row>
    <row r="20" spans="1:7" ht="10.5" customHeight="1">
      <c r="A20" s="669"/>
      <c r="B20" s="621" t="s">
        <v>415</v>
      </c>
      <c r="C20" s="622"/>
      <c r="D20" s="622"/>
      <c r="E20" s="622">
        <v>3000.1448125000002</v>
      </c>
      <c r="F20" s="622">
        <v>3000.1448125000002</v>
      </c>
      <c r="G20" s="674">
        <v>83646.5739875</v>
      </c>
    </row>
    <row r="21" spans="1:7" ht="10.5" customHeight="1">
      <c r="A21" s="669"/>
      <c r="B21" s="621" t="s">
        <v>413</v>
      </c>
      <c r="C21" s="622"/>
      <c r="D21" s="622"/>
      <c r="E21" s="622">
        <v>3879.5359575000002</v>
      </c>
      <c r="F21" s="622">
        <v>3879.5359575000002</v>
      </c>
      <c r="G21" s="674">
        <v>91956.474695000012</v>
      </c>
    </row>
    <row r="22" spans="1:7" ht="10.5" customHeight="1">
      <c r="A22" s="669"/>
      <c r="B22" s="621" t="s">
        <v>414</v>
      </c>
      <c r="C22" s="622"/>
      <c r="D22" s="622"/>
      <c r="E22" s="622">
        <v>3967.5468624999999</v>
      </c>
      <c r="F22" s="622">
        <v>3967.5468624999999</v>
      </c>
      <c r="G22" s="674">
        <v>84358.250350000002</v>
      </c>
    </row>
    <row r="23" spans="1:7" ht="10.5" customHeight="1">
      <c r="A23" s="671" t="s">
        <v>725</v>
      </c>
      <c r="B23" s="507"/>
      <c r="C23" s="508"/>
      <c r="D23" s="508"/>
      <c r="E23" s="508">
        <v>14306.419702499999</v>
      </c>
      <c r="F23" s="508">
        <v>14306.419702499999</v>
      </c>
      <c r="G23" s="675">
        <v>314281.64070250001</v>
      </c>
    </row>
    <row r="24" spans="1:7" ht="10.5" customHeight="1">
      <c r="A24" s="669" t="s">
        <v>111</v>
      </c>
      <c r="B24" s="621" t="s">
        <v>233</v>
      </c>
      <c r="C24" s="622"/>
      <c r="D24" s="622"/>
      <c r="E24" s="622">
        <v>3924.3125</v>
      </c>
      <c r="F24" s="622">
        <v>3924.3125</v>
      </c>
      <c r="G24" s="674">
        <v>39288.330099999999</v>
      </c>
    </row>
    <row r="25" spans="1:7" ht="10.5" customHeight="1">
      <c r="A25" s="671" t="s">
        <v>726</v>
      </c>
      <c r="B25" s="507"/>
      <c r="C25" s="508"/>
      <c r="D25" s="508"/>
      <c r="E25" s="508">
        <v>3924.3125</v>
      </c>
      <c r="F25" s="508">
        <v>3924.3125</v>
      </c>
      <c r="G25" s="675">
        <v>39288.330099999999</v>
      </c>
    </row>
    <row r="26" spans="1:7" ht="10.5" customHeight="1">
      <c r="A26" s="669" t="s">
        <v>112</v>
      </c>
      <c r="B26" s="621" t="s">
        <v>82</v>
      </c>
      <c r="C26" s="622"/>
      <c r="D26" s="622"/>
      <c r="E26" s="622">
        <v>3828.3818350000001</v>
      </c>
      <c r="F26" s="622">
        <v>3828.3818350000001</v>
      </c>
      <c r="G26" s="674">
        <v>38243.476559999996</v>
      </c>
    </row>
    <row r="27" spans="1:7" ht="10.5" customHeight="1">
      <c r="A27" s="671" t="s">
        <v>727</v>
      </c>
      <c r="B27" s="507"/>
      <c r="C27" s="508"/>
      <c r="D27" s="508"/>
      <c r="E27" s="508">
        <v>3828.3818350000001</v>
      </c>
      <c r="F27" s="508">
        <v>3828.3818350000001</v>
      </c>
      <c r="G27" s="675">
        <v>38243.476559999996</v>
      </c>
    </row>
    <row r="28" spans="1:7" ht="10.5" customHeight="1">
      <c r="A28" s="669" t="s">
        <v>116</v>
      </c>
      <c r="B28" s="621" t="s">
        <v>74</v>
      </c>
      <c r="C28" s="622"/>
      <c r="D28" s="622"/>
      <c r="E28" s="622">
        <v>1778</v>
      </c>
      <c r="F28" s="622">
        <v>1778</v>
      </c>
      <c r="G28" s="674">
        <v>24691.700000000004</v>
      </c>
    </row>
    <row r="29" spans="1:7" ht="10.5" customHeight="1">
      <c r="A29" s="671" t="s">
        <v>728</v>
      </c>
      <c r="B29" s="507"/>
      <c r="C29" s="508"/>
      <c r="D29" s="508"/>
      <c r="E29" s="508">
        <v>1778</v>
      </c>
      <c r="F29" s="508">
        <v>1778</v>
      </c>
      <c r="G29" s="675">
        <v>24691.700000000004</v>
      </c>
    </row>
    <row r="30" spans="1:7" ht="20.25" customHeight="1">
      <c r="A30" s="673" t="s">
        <v>103</v>
      </c>
      <c r="B30" s="631" t="s">
        <v>322</v>
      </c>
      <c r="C30" s="632">
        <v>9846.1818725000012</v>
      </c>
      <c r="D30" s="632"/>
      <c r="E30" s="632"/>
      <c r="F30" s="632">
        <v>9846.1818725000012</v>
      </c>
      <c r="G30" s="684">
        <v>131036.64058250001</v>
      </c>
    </row>
    <row r="31" spans="1:7" ht="10.5" customHeight="1">
      <c r="A31" s="671" t="s">
        <v>729</v>
      </c>
      <c r="B31" s="507"/>
      <c r="C31" s="508">
        <v>9846.1818725000012</v>
      </c>
      <c r="D31" s="508"/>
      <c r="E31" s="508"/>
      <c r="F31" s="508">
        <v>9846.1818725000012</v>
      </c>
      <c r="G31" s="675">
        <v>131036.64058250001</v>
      </c>
    </row>
    <row r="32" spans="1:7" ht="16.2">
      <c r="A32" s="683" t="s">
        <v>425</v>
      </c>
      <c r="B32" s="631" t="s">
        <v>323</v>
      </c>
      <c r="C32" s="632">
        <v>9666.4160324999993</v>
      </c>
      <c r="D32" s="632"/>
      <c r="E32" s="632"/>
      <c r="F32" s="632">
        <v>9666.4160324999993</v>
      </c>
      <c r="G32" s="684">
        <v>126172.52161000003</v>
      </c>
    </row>
    <row r="33" spans="1:7" ht="10.5" customHeight="1">
      <c r="A33" s="671" t="s">
        <v>730</v>
      </c>
      <c r="B33" s="507"/>
      <c r="C33" s="508">
        <v>9666.4160324999993</v>
      </c>
      <c r="D33" s="508"/>
      <c r="E33" s="508"/>
      <c r="F33" s="508">
        <v>9666.4160324999993</v>
      </c>
      <c r="G33" s="675">
        <v>126172.52161000003</v>
      </c>
    </row>
    <row r="34" spans="1:7" ht="10.5" customHeight="1">
      <c r="A34" s="669" t="s">
        <v>240</v>
      </c>
      <c r="B34" s="621" t="s">
        <v>59</v>
      </c>
      <c r="C34" s="622"/>
      <c r="D34" s="622"/>
      <c r="E34" s="622">
        <v>11098.966087500001</v>
      </c>
      <c r="F34" s="622">
        <v>11098.966087500001</v>
      </c>
      <c r="G34" s="674">
        <v>125099.8101175</v>
      </c>
    </row>
    <row r="35" spans="1:7" ht="10.5" customHeight="1">
      <c r="A35" s="671" t="s">
        <v>731</v>
      </c>
      <c r="B35" s="507"/>
      <c r="C35" s="508"/>
      <c r="D35" s="508"/>
      <c r="E35" s="508">
        <v>11098.966087500001</v>
      </c>
      <c r="F35" s="508">
        <v>11098.966087500001</v>
      </c>
      <c r="G35" s="675">
        <v>125099.8101175</v>
      </c>
    </row>
    <row r="36" spans="1:7" ht="10.5" customHeight="1">
      <c r="A36" s="669" t="s">
        <v>412</v>
      </c>
      <c r="B36" s="621" t="s">
        <v>466</v>
      </c>
      <c r="C36" s="622">
        <v>0</v>
      </c>
      <c r="D36" s="622"/>
      <c r="E36" s="622"/>
      <c r="F36" s="622">
        <v>0</v>
      </c>
      <c r="G36" s="674">
        <v>1622.0092499999996</v>
      </c>
    </row>
    <row r="37" spans="1:7" ht="10.5" customHeight="1">
      <c r="A37" s="671" t="s">
        <v>732</v>
      </c>
      <c r="B37" s="507"/>
      <c r="C37" s="508">
        <v>0</v>
      </c>
      <c r="D37" s="508"/>
      <c r="E37" s="508"/>
      <c r="F37" s="508">
        <v>0</v>
      </c>
      <c r="G37" s="675">
        <v>1622.0092499999996</v>
      </c>
    </row>
    <row r="38" spans="1:7" ht="10.5" customHeight="1">
      <c r="A38" s="669" t="s">
        <v>430</v>
      </c>
      <c r="B38" s="621" t="s">
        <v>434</v>
      </c>
      <c r="C38" s="622">
        <v>51060.329274999996</v>
      </c>
      <c r="D38" s="622"/>
      <c r="E38" s="622"/>
      <c r="F38" s="622">
        <v>51060.329274999996</v>
      </c>
      <c r="G38" s="674">
        <v>557454.02691999997</v>
      </c>
    </row>
    <row r="39" spans="1:7" ht="10.5" customHeight="1">
      <c r="A39" s="671" t="s">
        <v>733</v>
      </c>
      <c r="B39" s="507"/>
      <c r="C39" s="508">
        <v>51060.329274999996</v>
      </c>
      <c r="D39" s="508"/>
      <c r="E39" s="508"/>
      <c r="F39" s="508">
        <v>51060.329274999996</v>
      </c>
      <c r="G39" s="675">
        <v>557454.02691999997</v>
      </c>
    </row>
    <row r="40" spans="1:7" s="46" customFormat="1" ht="20.25" customHeight="1">
      <c r="A40" s="673" t="s">
        <v>486</v>
      </c>
      <c r="B40" s="631" t="s">
        <v>516</v>
      </c>
      <c r="C40" s="632"/>
      <c r="D40" s="632"/>
      <c r="E40" s="632">
        <v>4130.5157024999999</v>
      </c>
      <c r="F40" s="632">
        <v>4130.5157024999999</v>
      </c>
      <c r="G40" s="684">
        <v>24547.306382500003</v>
      </c>
    </row>
    <row r="41" spans="1:7" ht="12" customHeight="1">
      <c r="A41" s="671" t="s">
        <v>734</v>
      </c>
      <c r="B41" s="507"/>
      <c r="C41" s="508"/>
      <c r="D41" s="508"/>
      <c r="E41" s="508">
        <v>4130.5157024999999</v>
      </c>
      <c r="F41" s="508">
        <v>4130.5157024999999</v>
      </c>
      <c r="G41" s="675">
        <v>24547.306382500003</v>
      </c>
    </row>
    <row r="42" spans="1:7" ht="10.5" customHeight="1">
      <c r="A42" s="673" t="s">
        <v>118</v>
      </c>
      <c r="B42" s="631" t="s">
        <v>324</v>
      </c>
      <c r="C42" s="632"/>
      <c r="D42" s="632">
        <v>538.42157499999996</v>
      </c>
      <c r="E42" s="632"/>
      <c r="F42" s="632">
        <v>538.42157499999996</v>
      </c>
      <c r="G42" s="684">
        <v>5017.6050150000001</v>
      </c>
    </row>
    <row r="43" spans="1:7" ht="10.5" customHeight="1">
      <c r="A43" s="673"/>
      <c r="B43" s="631" t="s">
        <v>325</v>
      </c>
      <c r="C43" s="632"/>
      <c r="D43" s="632">
        <v>1715.8946225</v>
      </c>
      <c r="E43" s="632"/>
      <c r="F43" s="632">
        <v>1715.8946225</v>
      </c>
      <c r="G43" s="684">
        <v>2154.9709250000001</v>
      </c>
    </row>
    <row r="44" spans="1:7" ht="10.5" customHeight="1">
      <c r="A44" s="671" t="s">
        <v>735</v>
      </c>
      <c r="B44" s="507"/>
      <c r="C44" s="508"/>
      <c r="D44" s="508">
        <v>2254.3161974999998</v>
      </c>
      <c r="E44" s="508"/>
      <c r="F44" s="508">
        <v>2254.3161974999998</v>
      </c>
      <c r="G44" s="675">
        <v>7172.5759400000006</v>
      </c>
    </row>
    <row r="45" spans="1:7" ht="10.5" customHeight="1">
      <c r="A45" s="673" t="s">
        <v>410</v>
      </c>
      <c r="B45" s="631" t="s">
        <v>326</v>
      </c>
      <c r="C45" s="632"/>
      <c r="D45" s="632">
        <v>568444.70643250004</v>
      </c>
      <c r="E45" s="632"/>
      <c r="F45" s="632">
        <v>568444.70643250004</v>
      </c>
      <c r="G45" s="684">
        <v>3393542.9968274995</v>
      </c>
    </row>
    <row r="46" spans="1:7" ht="10.5" customHeight="1">
      <c r="A46" s="673"/>
      <c r="B46" s="631" t="s">
        <v>327</v>
      </c>
      <c r="C46" s="632"/>
      <c r="D46" s="632">
        <v>114218.21675750001</v>
      </c>
      <c r="E46" s="632"/>
      <c r="F46" s="632">
        <v>114218.21675750001</v>
      </c>
      <c r="G46" s="684">
        <v>505064.69900750002</v>
      </c>
    </row>
    <row r="47" spans="1:7" ht="10.5" customHeight="1">
      <c r="A47" s="673"/>
      <c r="B47" s="631" t="s">
        <v>432</v>
      </c>
      <c r="C47" s="632">
        <v>133773.429455</v>
      </c>
      <c r="D47" s="632"/>
      <c r="E47" s="632"/>
      <c r="F47" s="632">
        <v>133773.429455</v>
      </c>
      <c r="G47" s="684">
        <v>2783949.0976499999</v>
      </c>
    </row>
    <row r="48" spans="1:7" ht="10.5" customHeight="1">
      <c r="A48" s="673"/>
      <c r="B48" s="631" t="s">
        <v>328</v>
      </c>
      <c r="C48" s="632">
        <v>2961.6685725000002</v>
      </c>
      <c r="D48" s="632"/>
      <c r="E48" s="632"/>
      <c r="F48" s="632">
        <v>2961.6685725000002</v>
      </c>
      <c r="G48" s="684">
        <v>49526.761807500006</v>
      </c>
    </row>
    <row r="49" spans="1:8" ht="10.5" customHeight="1">
      <c r="A49" s="671" t="s">
        <v>736</v>
      </c>
      <c r="B49" s="507"/>
      <c r="C49" s="508">
        <v>136735.0980275</v>
      </c>
      <c r="D49" s="508">
        <v>682662.92319</v>
      </c>
      <c r="E49" s="508"/>
      <c r="F49" s="508">
        <v>819398.02121749998</v>
      </c>
      <c r="G49" s="675">
        <v>6732083.5552924993</v>
      </c>
    </row>
    <row r="50" spans="1:8" ht="10.5" customHeight="1">
      <c r="A50" s="673" t="s">
        <v>117</v>
      </c>
      <c r="B50" s="631" t="s">
        <v>72</v>
      </c>
      <c r="C50" s="632"/>
      <c r="D50" s="632"/>
      <c r="E50" s="632">
        <v>780.10133500000006</v>
      </c>
      <c r="F50" s="632">
        <v>780.10133500000006</v>
      </c>
      <c r="G50" s="684">
        <v>13909.686229999998</v>
      </c>
    </row>
    <row r="51" spans="1:8" ht="10.5" customHeight="1">
      <c r="A51" s="671" t="s">
        <v>737</v>
      </c>
      <c r="B51" s="507"/>
      <c r="C51" s="508"/>
      <c r="D51" s="508"/>
      <c r="E51" s="508">
        <v>780.10133500000006</v>
      </c>
      <c r="F51" s="508">
        <v>780.10133500000006</v>
      </c>
      <c r="G51" s="675">
        <v>13909.686229999998</v>
      </c>
      <c r="H51" s="356"/>
    </row>
    <row r="52" spans="1:8" ht="10.5" customHeight="1">
      <c r="A52" s="673" t="s">
        <v>110</v>
      </c>
      <c r="B52" s="631" t="s">
        <v>81</v>
      </c>
      <c r="C52" s="632"/>
      <c r="D52" s="632"/>
      <c r="E52" s="632">
        <v>4904.3414400000001</v>
      </c>
      <c r="F52" s="632">
        <v>4904.3414400000001</v>
      </c>
      <c r="G52" s="684">
        <v>43135.674129999999</v>
      </c>
    </row>
    <row r="53" spans="1:8" ht="10.5" customHeight="1">
      <c r="A53" s="671" t="s">
        <v>738</v>
      </c>
      <c r="B53" s="507"/>
      <c r="C53" s="508"/>
      <c r="D53" s="508"/>
      <c r="E53" s="508">
        <v>4904.3414400000001</v>
      </c>
      <c r="F53" s="508">
        <v>4904.3414400000001</v>
      </c>
      <c r="G53" s="675">
        <v>43135.674129999999</v>
      </c>
    </row>
    <row r="54" spans="1:8" ht="10.5" customHeight="1">
      <c r="A54" s="673" t="s">
        <v>241</v>
      </c>
      <c r="B54" s="631" t="s">
        <v>71</v>
      </c>
      <c r="C54" s="632"/>
      <c r="D54" s="632"/>
      <c r="E54" s="632">
        <v>877.72500000000002</v>
      </c>
      <c r="F54" s="632">
        <v>877.72500000000002</v>
      </c>
      <c r="G54" s="684">
        <v>28400.737384999993</v>
      </c>
    </row>
    <row r="55" spans="1:8" ht="10.5" customHeight="1">
      <c r="A55" s="673"/>
      <c r="B55" s="631" t="s">
        <v>329</v>
      </c>
      <c r="C55" s="632">
        <v>94668.557499999995</v>
      </c>
      <c r="D55" s="632"/>
      <c r="E55" s="632"/>
      <c r="F55" s="632">
        <v>94668.557499999995</v>
      </c>
      <c r="G55" s="684">
        <v>1244427.2629499999</v>
      </c>
    </row>
    <row r="56" spans="1:8" ht="10.5" customHeight="1">
      <c r="A56" s="673"/>
      <c r="B56" s="631" t="s">
        <v>330</v>
      </c>
      <c r="C56" s="632">
        <v>12190.1785</v>
      </c>
      <c r="D56" s="632"/>
      <c r="E56" s="632"/>
      <c r="F56" s="632">
        <v>12190.1785</v>
      </c>
      <c r="G56" s="684">
        <v>429524.36650500004</v>
      </c>
    </row>
    <row r="57" spans="1:8" ht="10.5" customHeight="1">
      <c r="A57" s="673"/>
      <c r="B57" s="631" t="s">
        <v>62</v>
      </c>
      <c r="C57" s="632"/>
      <c r="D57" s="632"/>
      <c r="E57" s="632">
        <v>5086.74125</v>
      </c>
      <c r="F57" s="632">
        <v>5086.74125</v>
      </c>
      <c r="G57" s="684">
        <v>71602.342407500008</v>
      </c>
    </row>
    <row r="58" spans="1:8" ht="10.5" customHeight="1">
      <c r="A58" s="671" t="s">
        <v>739</v>
      </c>
      <c r="B58" s="507"/>
      <c r="C58" s="508">
        <v>106858.73599999999</v>
      </c>
      <c r="D58" s="508"/>
      <c r="E58" s="508">
        <v>5964.4662500000004</v>
      </c>
      <c r="F58" s="508">
        <v>112823.20225</v>
      </c>
      <c r="G58" s="675">
        <v>1773954.7092474999</v>
      </c>
    </row>
    <row r="59" spans="1:8" ht="10.5" customHeight="1">
      <c r="A59" s="673" t="s">
        <v>242</v>
      </c>
      <c r="B59" s="631" t="s">
        <v>78</v>
      </c>
      <c r="C59" s="632"/>
      <c r="D59" s="632"/>
      <c r="E59" s="632">
        <v>13346.5334275</v>
      </c>
      <c r="F59" s="632">
        <v>13346.5334275</v>
      </c>
      <c r="G59" s="684">
        <v>155294.7579725</v>
      </c>
    </row>
    <row r="60" spans="1:8" ht="10.5" customHeight="1">
      <c r="A60" s="671" t="s">
        <v>740</v>
      </c>
      <c r="B60" s="507"/>
      <c r="C60" s="508"/>
      <c r="D60" s="508"/>
      <c r="E60" s="508">
        <v>13346.5334275</v>
      </c>
      <c r="F60" s="508">
        <v>13346.5334275</v>
      </c>
      <c r="G60" s="675">
        <v>155294.7579725</v>
      </c>
    </row>
    <row r="61" spans="1:8" ht="10.5" customHeight="1">
      <c r="A61" s="673" t="s">
        <v>99</v>
      </c>
      <c r="B61" s="631" t="s">
        <v>76</v>
      </c>
      <c r="C61" s="632"/>
      <c r="D61" s="632"/>
      <c r="E61" s="632">
        <v>43152.437152500002</v>
      </c>
      <c r="F61" s="632">
        <v>43152.437152500002</v>
      </c>
      <c r="G61" s="684">
        <v>470987.22224749997</v>
      </c>
    </row>
    <row r="62" spans="1:8" ht="10.5" customHeight="1">
      <c r="A62" s="671" t="s">
        <v>741</v>
      </c>
      <c r="B62" s="507"/>
      <c r="C62" s="508"/>
      <c r="D62" s="508"/>
      <c r="E62" s="508">
        <v>43152.437152500002</v>
      </c>
      <c r="F62" s="508">
        <v>43152.437152500002</v>
      </c>
      <c r="G62" s="675">
        <v>470987.22224749997</v>
      </c>
    </row>
    <row r="63" spans="1:8" ht="10.5" customHeight="1">
      <c r="A63" s="673" t="s">
        <v>107</v>
      </c>
      <c r="B63" s="631" t="s">
        <v>232</v>
      </c>
      <c r="C63" s="632"/>
      <c r="D63" s="632"/>
      <c r="E63" s="632">
        <v>5845.5621775</v>
      </c>
      <c r="F63" s="632">
        <v>5845.5621775</v>
      </c>
      <c r="G63" s="684">
        <v>50185.232972499987</v>
      </c>
    </row>
    <row r="64" spans="1:8" ht="10.5" customHeight="1">
      <c r="A64" s="671" t="s">
        <v>742</v>
      </c>
      <c r="B64" s="507"/>
      <c r="C64" s="508"/>
      <c r="D64" s="508"/>
      <c r="E64" s="508">
        <v>5845.5621775</v>
      </c>
      <c r="F64" s="508">
        <v>5845.5621775</v>
      </c>
      <c r="G64" s="675">
        <v>50185.232972499987</v>
      </c>
    </row>
    <row r="65" spans="1:7" ht="10.5" customHeight="1">
      <c r="A65" s="673" t="s">
        <v>411</v>
      </c>
      <c r="B65" s="631" t="s">
        <v>85</v>
      </c>
      <c r="C65" s="632"/>
      <c r="D65" s="632"/>
      <c r="E65" s="632">
        <v>889.41618249999999</v>
      </c>
      <c r="F65" s="632">
        <v>889.41618249999999</v>
      </c>
      <c r="G65" s="684">
        <v>10801.596545</v>
      </c>
    </row>
    <row r="66" spans="1:7" ht="10.5" customHeight="1">
      <c r="A66" s="673"/>
      <c r="B66" s="631" t="s">
        <v>84</v>
      </c>
      <c r="C66" s="632"/>
      <c r="D66" s="632"/>
      <c r="E66" s="632">
        <v>2706.727535</v>
      </c>
      <c r="F66" s="632">
        <v>2706.727535</v>
      </c>
      <c r="G66" s="684">
        <v>22600.851129999995</v>
      </c>
    </row>
    <row r="67" spans="1:7" ht="10.5" customHeight="1">
      <c r="A67" s="673"/>
      <c r="B67" s="631" t="s">
        <v>429</v>
      </c>
      <c r="C67" s="632"/>
      <c r="D67" s="632"/>
      <c r="E67" s="632">
        <v>1664.6106374999999</v>
      </c>
      <c r="F67" s="632">
        <v>1664.6106374999999</v>
      </c>
      <c r="G67" s="684">
        <v>11782.614489999998</v>
      </c>
    </row>
    <row r="68" spans="1:7" ht="10.5" customHeight="1">
      <c r="A68" s="673"/>
      <c r="B68" s="631" t="s">
        <v>515</v>
      </c>
      <c r="C68" s="632"/>
      <c r="D68" s="632"/>
      <c r="E68" s="632">
        <v>1643.5377324999999</v>
      </c>
      <c r="F68" s="632">
        <v>1643.5377324999999</v>
      </c>
      <c r="G68" s="684">
        <v>7151.9051149999996</v>
      </c>
    </row>
    <row r="69" spans="1:7" ht="10.5" customHeight="1">
      <c r="A69" s="671" t="s">
        <v>743</v>
      </c>
      <c r="B69" s="507"/>
      <c r="C69" s="508"/>
      <c r="D69" s="508"/>
      <c r="E69" s="508">
        <v>6904.2920875</v>
      </c>
      <c r="F69" s="508">
        <v>6904.2920875</v>
      </c>
      <c r="G69" s="675">
        <v>52336.967279999997</v>
      </c>
    </row>
    <row r="70" spans="1:7" ht="10.5" customHeight="1">
      <c r="A70" s="673" t="s">
        <v>243</v>
      </c>
      <c r="B70" s="631" t="s">
        <v>331</v>
      </c>
      <c r="C70" s="632"/>
      <c r="D70" s="632">
        <v>2.0550174999999999</v>
      </c>
      <c r="E70" s="632"/>
      <c r="F70" s="632">
        <v>2.0550174999999999</v>
      </c>
      <c r="G70" s="684">
        <v>1249.0884575000002</v>
      </c>
    </row>
    <row r="71" spans="1:7" ht="10.5" customHeight="1">
      <c r="A71" s="671" t="s">
        <v>744</v>
      </c>
      <c r="B71" s="507"/>
      <c r="C71" s="508"/>
      <c r="D71" s="508">
        <v>2.0550174999999999</v>
      </c>
      <c r="E71" s="508"/>
      <c r="F71" s="508">
        <v>2.0550174999999999</v>
      </c>
      <c r="G71" s="675">
        <v>1249.0884575000002</v>
      </c>
    </row>
    <row r="72" spans="1:7" ht="10.5" customHeight="1">
      <c r="A72" s="673" t="s">
        <v>446</v>
      </c>
      <c r="B72" s="631" t="s">
        <v>460</v>
      </c>
      <c r="C72" s="632"/>
      <c r="D72" s="632"/>
      <c r="E72" s="632">
        <v>7395.8688199999997</v>
      </c>
      <c r="F72" s="632">
        <v>7395.8688199999997</v>
      </c>
      <c r="G72" s="684">
        <v>117750.422125</v>
      </c>
    </row>
    <row r="73" spans="1:7" ht="10.5" customHeight="1">
      <c r="A73" s="671" t="s">
        <v>745</v>
      </c>
      <c r="B73" s="507"/>
      <c r="C73" s="508"/>
      <c r="D73" s="508"/>
      <c r="E73" s="508">
        <v>7395.8688199999997</v>
      </c>
      <c r="F73" s="508">
        <v>7395.8688199999997</v>
      </c>
      <c r="G73" s="675">
        <v>117750.422125</v>
      </c>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0" orientation="portrait" r:id="rId1"/>
  <headerFooter>
    <oddHeader>&amp;R&amp;7Informe de la Operación Mensual-Noviembre 2020
INFSGI-MES-11-2020
14/12/2020
Versión: 01</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3"/>
  <sheetViews>
    <sheetView showGridLines="0" view="pageBreakPreview" zoomScaleNormal="100" zoomScaleSheetLayoutView="100" zoomScalePageLayoutView="160" workbookViewId="0">
      <selection activeCell="T44" sqref="T44"/>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77" t="s">
        <v>250</v>
      </c>
      <c r="B1" s="980" t="s">
        <v>54</v>
      </c>
      <c r="C1" s="983" t="str">
        <f>+'19. ANEXOI-2'!C1:F1</f>
        <v>ENERGÍA PRODUCIDA NOVIEMBRE 2020</v>
      </c>
      <c r="D1" s="983"/>
      <c r="E1" s="983"/>
      <c r="F1" s="983"/>
      <c r="G1" s="626" t="s">
        <v>276</v>
      </c>
      <c r="H1" s="203"/>
    </row>
    <row r="2" spans="1:8" ht="11.25" customHeight="1">
      <c r="A2" s="978"/>
      <c r="B2" s="981"/>
      <c r="C2" s="984" t="s">
        <v>277</v>
      </c>
      <c r="D2" s="984"/>
      <c r="E2" s="984"/>
      <c r="F2" s="985" t="str">
        <f>"TOTAL 
"&amp;UPPER('1. Resumen'!Q4)</f>
        <v>TOTAL 
NOVIEMBRE</v>
      </c>
      <c r="G2" s="627" t="s">
        <v>278</v>
      </c>
      <c r="H2" s="194"/>
    </row>
    <row r="3" spans="1:8" ht="11.25" customHeight="1">
      <c r="A3" s="978"/>
      <c r="B3" s="981"/>
      <c r="C3" s="618" t="s">
        <v>215</v>
      </c>
      <c r="D3" s="618" t="s">
        <v>216</v>
      </c>
      <c r="E3" s="618" t="s">
        <v>279</v>
      </c>
      <c r="F3" s="986"/>
      <c r="G3" s="627">
        <v>2020</v>
      </c>
      <c r="H3" s="196"/>
    </row>
    <row r="4" spans="1:8" ht="11.25" customHeight="1">
      <c r="A4" s="987"/>
      <c r="B4" s="988"/>
      <c r="C4" s="619" t="s">
        <v>280</v>
      </c>
      <c r="D4" s="619" t="s">
        <v>280</v>
      </c>
      <c r="E4" s="619" t="s">
        <v>280</v>
      </c>
      <c r="F4" s="619" t="s">
        <v>280</v>
      </c>
      <c r="G4" s="628" t="s">
        <v>208</v>
      </c>
      <c r="H4" s="196"/>
    </row>
    <row r="5" spans="1:8" s="330" customFormat="1" ht="9" customHeight="1">
      <c r="A5" s="669" t="s">
        <v>104</v>
      </c>
      <c r="B5" s="621" t="s">
        <v>61</v>
      </c>
      <c r="C5" s="622"/>
      <c r="D5" s="622"/>
      <c r="E5" s="622">
        <v>1650.9693975</v>
      </c>
      <c r="F5" s="622">
        <v>1650.9693975</v>
      </c>
      <c r="G5" s="674">
        <v>79107.162067500001</v>
      </c>
    </row>
    <row r="6" spans="1:8" s="330" customFormat="1" ht="9" customHeight="1">
      <c r="A6" s="671" t="s">
        <v>746</v>
      </c>
      <c r="B6" s="507"/>
      <c r="C6" s="508"/>
      <c r="D6" s="508"/>
      <c r="E6" s="508">
        <v>1650.9693975</v>
      </c>
      <c r="F6" s="508">
        <v>1650.9693975</v>
      </c>
      <c r="G6" s="675">
        <v>79107.162067500001</v>
      </c>
    </row>
    <row r="7" spans="1:8" s="330" customFormat="1" ht="9" customHeight="1">
      <c r="A7" s="669" t="s">
        <v>244</v>
      </c>
      <c r="B7" s="621" t="s">
        <v>332</v>
      </c>
      <c r="C7" s="622"/>
      <c r="D7" s="622">
        <v>0</v>
      </c>
      <c r="E7" s="622"/>
      <c r="F7" s="622">
        <v>0</v>
      </c>
      <c r="G7" s="674">
        <v>7002.9718350000003</v>
      </c>
    </row>
    <row r="8" spans="1:8" s="330" customFormat="1" ht="9" customHeight="1">
      <c r="A8" s="671" t="s">
        <v>747</v>
      </c>
      <c r="B8" s="507"/>
      <c r="C8" s="508"/>
      <c r="D8" s="508">
        <v>0</v>
      </c>
      <c r="E8" s="508"/>
      <c r="F8" s="508">
        <v>0</v>
      </c>
      <c r="G8" s="675">
        <v>7002.9718350000003</v>
      </c>
    </row>
    <row r="9" spans="1:8" s="330" customFormat="1" ht="9" customHeight="1">
      <c r="A9" s="669" t="s">
        <v>95</v>
      </c>
      <c r="B9" s="621" t="s">
        <v>333</v>
      </c>
      <c r="C9" s="622">
        <v>44634.4391225</v>
      </c>
      <c r="D9" s="622"/>
      <c r="E9" s="622"/>
      <c r="F9" s="622">
        <v>44634.4391225</v>
      </c>
      <c r="G9" s="674">
        <v>657179.78489250003</v>
      </c>
    </row>
    <row r="10" spans="1:8" s="330" customFormat="1" ht="9" customHeight="1">
      <c r="A10" s="671" t="s">
        <v>748</v>
      </c>
      <c r="B10" s="507"/>
      <c r="C10" s="508">
        <v>44634.4391225</v>
      </c>
      <c r="D10" s="508"/>
      <c r="E10" s="508"/>
      <c r="F10" s="508">
        <v>44634.4391225</v>
      </c>
      <c r="G10" s="675">
        <v>657179.78489250003</v>
      </c>
    </row>
    <row r="11" spans="1:8" s="330" customFormat="1" ht="9" customHeight="1">
      <c r="A11" s="669" t="s">
        <v>431</v>
      </c>
      <c r="B11" s="621" t="s">
        <v>467</v>
      </c>
      <c r="C11" s="622"/>
      <c r="D11" s="622"/>
      <c r="E11" s="622">
        <v>5028.2716049999999</v>
      </c>
      <c r="F11" s="622">
        <v>5028.2716049999999</v>
      </c>
      <c r="G11" s="674">
        <v>48562.674112499997</v>
      </c>
    </row>
    <row r="12" spans="1:8" s="330" customFormat="1" ht="9" customHeight="1">
      <c r="A12" s="671" t="s">
        <v>749</v>
      </c>
      <c r="B12" s="507"/>
      <c r="C12" s="508"/>
      <c r="D12" s="508"/>
      <c r="E12" s="508">
        <v>5028.2716049999999</v>
      </c>
      <c r="F12" s="508">
        <v>5028.2716049999999</v>
      </c>
      <c r="G12" s="675">
        <v>48562.674112499997</v>
      </c>
    </row>
    <row r="13" spans="1:8" s="330" customFormat="1" ht="9" customHeight="1">
      <c r="A13" s="669" t="s">
        <v>402</v>
      </c>
      <c r="B13" s="621" t="s">
        <v>406</v>
      </c>
      <c r="C13" s="622"/>
      <c r="D13" s="622"/>
      <c r="E13" s="622">
        <v>12190.2930775</v>
      </c>
      <c r="F13" s="622">
        <v>12190.2930775</v>
      </c>
      <c r="G13" s="674">
        <v>149377.169815</v>
      </c>
    </row>
    <row r="14" spans="1:8" s="330" customFormat="1" ht="9" customHeight="1">
      <c r="A14" s="671" t="s">
        <v>750</v>
      </c>
      <c r="B14" s="507"/>
      <c r="C14" s="508"/>
      <c r="D14" s="508"/>
      <c r="E14" s="508">
        <v>12190.2930775</v>
      </c>
      <c r="F14" s="508">
        <v>12190.2930775</v>
      </c>
      <c r="G14" s="675">
        <v>149377.169815</v>
      </c>
    </row>
    <row r="15" spans="1:8" s="330" customFormat="1" ht="9" customHeight="1">
      <c r="A15" s="669" t="s">
        <v>102</v>
      </c>
      <c r="B15" s="621" t="s">
        <v>334</v>
      </c>
      <c r="C15" s="622"/>
      <c r="D15" s="622">
        <v>1659.3142925</v>
      </c>
      <c r="E15" s="622"/>
      <c r="F15" s="622">
        <v>1659.3142925</v>
      </c>
      <c r="G15" s="674">
        <v>51224.952345000005</v>
      </c>
    </row>
    <row r="16" spans="1:8" s="330" customFormat="1" ht="9" customHeight="1">
      <c r="A16" s="671" t="s">
        <v>751</v>
      </c>
      <c r="B16" s="507"/>
      <c r="C16" s="508"/>
      <c r="D16" s="508">
        <v>1659.3142925</v>
      </c>
      <c r="E16" s="508"/>
      <c r="F16" s="508">
        <v>1659.3142925</v>
      </c>
      <c r="G16" s="675">
        <v>51224.952345000005</v>
      </c>
    </row>
    <row r="17" spans="1:7" s="330" customFormat="1" ht="9" customHeight="1">
      <c r="A17" s="669" t="s">
        <v>119</v>
      </c>
      <c r="B17" s="621" t="s">
        <v>335</v>
      </c>
      <c r="C17" s="622"/>
      <c r="D17" s="622">
        <v>1153.9812724999999</v>
      </c>
      <c r="E17" s="622"/>
      <c r="F17" s="622">
        <v>1153.9812724999999</v>
      </c>
      <c r="G17" s="674">
        <v>7383.4042950000003</v>
      </c>
    </row>
    <row r="18" spans="1:7" s="330" customFormat="1" ht="9" customHeight="1">
      <c r="A18" s="671" t="s">
        <v>752</v>
      </c>
      <c r="B18" s="507"/>
      <c r="C18" s="508"/>
      <c r="D18" s="508">
        <v>1153.9812724999999</v>
      </c>
      <c r="E18" s="508"/>
      <c r="F18" s="508">
        <v>1153.9812724999999</v>
      </c>
      <c r="G18" s="675">
        <v>7383.4042950000003</v>
      </c>
    </row>
    <row r="19" spans="1:7" s="330" customFormat="1" ht="9" customHeight="1">
      <c r="A19" s="669" t="s">
        <v>113</v>
      </c>
      <c r="B19" s="621" t="s">
        <v>461</v>
      </c>
      <c r="C19" s="622"/>
      <c r="D19" s="622"/>
      <c r="E19" s="622">
        <v>10366.761287500001</v>
      </c>
      <c r="F19" s="622">
        <v>10366.761287500001</v>
      </c>
      <c r="G19" s="674">
        <v>142697.10406499999</v>
      </c>
    </row>
    <row r="20" spans="1:7" s="330" customFormat="1" ht="9" customHeight="1">
      <c r="A20" s="669"/>
      <c r="B20" s="621" t="s">
        <v>69</v>
      </c>
      <c r="C20" s="622"/>
      <c r="D20" s="622"/>
      <c r="E20" s="622">
        <v>2042.5044925</v>
      </c>
      <c r="F20" s="622">
        <v>2042.5044925</v>
      </c>
      <c r="G20" s="674">
        <v>49246.305879999993</v>
      </c>
    </row>
    <row r="21" spans="1:7" s="330" customFormat="1" ht="9" customHeight="1">
      <c r="A21" s="671" t="s">
        <v>753</v>
      </c>
      <c r="B21" s="507"/>
      <c r="C21" s="508"/>
      <c r="D21" s="508"/>
      <c r="E21" s="508">
        <v>12409.265780000002</v>
      </c>
      <c r="F21" s="508">
        <v>12409.265780000002</v>
      </c>
      <c r="G21" s="675">
        <v>191943.40994499999</v>
      </c>
    </row>
    <row r="22" spans="1:7" s="330" customFormat="1" ht="9" customHeight="1">
      <c r="A22" s="669" t="s">
        <v>90</v>
      </c>
      <c r="B22" s="621" t="s">
        <v>336</v>
      </c>
      <c r="C22" s="622">
        <v>17229.6998675</v>
      </c>
      <c r="D22" s="622"/>
      <c r="E22" s="622"/>
      <c r="F22" s="622">
        <v>17229.6998675</v>
      </c>
      <c r="G22" s="674">
        <v>264297.59883999999</v>
      </c>
    </row>
    <row r="23" spans="1:7" s="330" customFormat="1" ht="9" customHeight="1">
      <c r="A23" s="669"/>
      <c r="B23" s="621" t="s">
        <v>337</v>
      </c>
      <c r="C23" s="622">
        <v>39299.011780000001</v>
      </c>
      <c r="D23" s="622"/>
      <c r="E23" s="622"/>
      <c r="F23" s="622">
        <v>39299.011780000001</v>
      </c>
      <c r="G23" s="674">
        <v>685766.33267999999</v>
      </c>
    </row>
    <row r="24" spans="1:7" s="330" customFormat="1" ht="9" customHeight="1">
      <c r="A24" s="669"/>
      <c r="B24" s="621" t="s">
        <v>338</v>
      </c>
      <c r="C24" s="622">
        <v>2639.0909149999998</v>
      </c>
      <c r="D24" s="622"/>
      <c r="E24" s="622"/>
      <c r="F24" s="622">
        <v>2639.0909149999998</v>
      </c>
      <c r="G24" s="674">
        <v>85745.688410000002</v>
      </c>
    </row>
    <row r="25" spans="1:7" s="330" customFormat="1" ht="9" customHeight="1">
      <c r="A25" s="669"/>
      <c r="B25" s="621" t="s">
        <v>339</v>
      </c>
      <c r="C25" s="622">
        <v>91.779835000000006</v>
      </c>
      <c r="D25" s="622"/>
      <c r="E25" s="622"/>
      <c r="F25" s="622">
        <v>91.779835000000006</v>
      </c>
      <c r="G25" s="674">
        <v>523.68958250000003</v>
      </c>
    </row>
    <row r="26" spans="1:7" s="330" customFormat="1" ht="9" customHeight="1">
      <c r="A26" s="669"/>
      <c r="B26" s="621" t="s">
        <v>340</v>
      </c>
      <c r="C26" s="622">
        <v>16419.332340000001</v>
      </c>
      <c r="D26" s="622"/>
      <c r="E26" s="622"/>
      <c r="F26" s="622">
        <v>16419.332340000001</v>
      </c>
      <c r="G26" s="674">
        <v>226650.30230749995</v>
      </c>
    </row>
    <row r="27" spans="1:7" s="330" customFormat="1" ht="9" customHeight="1">
      <c r="A27" s="669"/>
      <c r="B27" s="621" t="s">
        <v>341</v>
      </c>
      <c r="C27" s="622">
        <v>582.690515</v>
      </c>
      <c r="D27" s="622"/>
      <c r="E27" s="622"/>
      <c r="F27" s="622">
        <v>582.690515</v>
      </c>
      <c r="G27" s="674">
        <v>20963.389532500001</v>
      </c>
    </row>
    <row r="28" spans="1:7" s="330" customFormat="1" ht="9" customHeight="1">
      <c r="A28" s="669"/>
      <c r="B28" s="621" t="s">
        <v>342</v>
      </c>
      <c r="C28" s="622">
        <v>2555.99622</v>
      </c>
      <c r="D28" s="622"/>
      <c r="E28" s="622"/>
      <c r="F28" s="622">
        <v>2555.99622</v>
      </c>
      <c r="G28" s="674">
        <v>52651.846350000007</v>
      </c>
    </row>
    <row r="29" spans="1:7" s="330" customFormat="1" ht="8.25" customHeight="1">
      <c r="A29" s="669"/>
      <c r="B29" s="621" t="s">
        <v>343</v>
      </c>
      <c r="C29" s="622">
        <v>1131.1894075</v>
      </c>
      <c r="D29" s="622"/>
      <c r="E29" s="622"/>
      <c r="F29" s="622">
        <v>1131.1894075</v>
      </c>
      <c r="G29" s="674">
        <v>31762.798337500004</v>
      </c>
    </row>
    <row r="30" spans="1:7" s="330" customFormat="1" ht="9" customHeight="1">
      <c r="A30" s="669"/>
      <c r="B30" s="621" t="s">
        <v>344</v>
      </c>
      <c r="C30" s="622">
        <v>609.70086500000002</v>
      </c>
      <c r="D30" s="622"/>
      <c r="E30" s="622"/>
      <c r="F30" s="622">
        <v>609.70086500000002</v>
      </c>
      <c r="G30" s="674">
        <v>10858.808907500001</v>
      </c>
    </row>
    <row r="31" spans="1:7" s="330" customFormat="1" ht="9" customHeight="1">
      <c r="A31" s="669"/>
      <c r="B31" s="621" t="s">
        <v>345</v>
      </c>
      <c r="C31" s="622">
        <v>32.306972500000001</v>
      </c>
      <c r="D31" s="622"/>
      <c r="E31" s="622"/>
      <c r="F31" s="622">
        <v>32.306972500000001</v>
      </c>
      <c r="G31" s="674">
        <v>1652.4066350000001</v>
      </c>
    </row>
    <row r="32" spans="1:7" s="330" customFormat="1" ht="9" customHeight="1">
      <c r="A32" s="669"/>
      <c r="B32" s="621" t="s">
        <v>346</v>
      </c>
      <c r="C32" s="622">
        <v>25.539415000000002</v>
      </c>
      <c r="D32" s="622"/>
      <c r="E32" s="622"/>
      <c r="F32" s="622">
        <v>25.539415000000002</v>
      </c>
      <c r="G32" s="674">
        <v>1601.5269524999999</v>
      </c>
    </row>
    <row r="33" spans="1:8" s="330" customFormat="1" ht="9" customHeight="1">
      <c r="A33" s="669"/>
      <c r="B33" s="621" t="s">
        <v>347</v>
      </c>
      <c r="C33" s="622">
        <v>35708.699747500003</v>
      </c>
      <c r="D33" s="622"/>
      <c r="E33" s="622"/>
      <c r="F33" s="622">
        <v>35708.699747500003</v>
      </c>
      <c r="G33" s="674">
        <v>667273.47355250001</v>
      </c>
    </row>
    <row r="34" spans="1:8" s="330" customFormat="1" ht="9" customHeight="1">
      <c r="A34" s="671" t="s">
        <v>754</v>
      </c>
      <c r="B34" s="507"/>
      <c r="C34" s="508">
        <v>116325.03788000002</v>
      </c>
      <c r="D34" s="508"/>
      <c r="E34" s="508"/>
      <c r="F34" s="508">
        <v>116325.03788000002</v>
      </c>
      <c r="G34" s="675">
        <v>2049747.8620874998</v>
      </c>
    </row>
    <row r="35" spans="1:8" s="330" customFormat="1" ht="9" customHeight="1">
      <c r="A35" s="669" t="s">
        <v>109</v>
      </c>
      <c r="B35" s="621" t="s">
        <v>231</v>
      </c>
      <c r="C35" s="622"/>
      <c r="D35" s="622"/>
      <c r="E35" s="622">
        <v>5453.7806250000003</v>
      </c>
      <c r="F35" s="622">
        <v>5453.7806250000003</v>
      </c>
      <c r="G35" s="674">
        <v>44138.160167500006</v>
      </c>
    </row>
    <row r="36" spans="1:8" s="330" customFormat="1" ht="9" customHeight="1">
      <c r="A36" s="671" t="s">
        <v>755</v>
      </c>
      <c r="B36" s="507"/>
      <c r="C36" s="508"/>
      <c r="D36" s="508"/>
      <c r="E36" s="508">
        <v>5453.7806250000003</v>
      </c>
      <c r="F36" s="508">
        <v>5453.7806250000003</v>
      </c>
      <c r="G36" s="675">
        <v>44138.160167500006</v>
      </c>
    </row>
    <row r="37" spans="1:8">
      <c r="A37" s="669" t="s">
        <v>100</v>
      </c>
      <c r="B37" s="621" t="s">
        <v>433</v>
      </c>
      <c r="C37" s="621"/>
      <c r="D37" s="621">
        <v>186728.39376000001</v>
      </c>
      <c r="E37" s="621"/>
      <c r="F37" s="621">
        <v>186728.39376000001</v>
      </c>
      <c r="G37" s="676">
        <v>1063035.919245</v>
      </c>
    </row>
    <row r="38" spans="1:8">
      <c r="A38" s="671" t="s">
        <v>756</v>
      </c>
      <c r="B38" s="507"/>
      <c r="C38" s="508"/>
      <c r="D38" s="508">
        <v>186728.39376000001</v>
      </c>
      <c r="E38" s="508"/>
      <c r="F38" s="508">
        <v>186728.39376000001</v>
      </c>
      <c r="G38" s="675">
        <v>1063035.919245</v>
      </c>
    </row>
    <row r="39" spans="1:8">
      <c r="A39" s="677" t="s">
        <v>105</v>
      </c>
      <c r="B39" s="633" t="s">
        <v>348</v>
      </c>
      <c r="C39" s="634"/>
      <c r="D39" s="634">
        <v>42716.016275000002</v>
      </c>
      <c r="E39" s="634"/>
      <c r="F39" s="634">
        <v>42716.016275000002</v>
      </c>
      <c r="G39" s="678">
        <v>71959.94643750001</v>
      </c>
    </row>
    <row r="40" spans="1:8">
      <c r="A40" s="679" t="s">
        <v>757</v>
      </c>
      <c r="B40" s="680"/>
      <c r="C40" s="681"/>
      <c r="D40" s="681">
        <v>42716.016275000002</v>
      </c>
      <c r="E40" s="681"/>
      <c r="F40" s="681">
        <v>42716.016275000002</v>
      </c>
      <c r="G40" s="682">
        <v>71959.94643750001</v>
      </c>
    </row>
    <row r="41" spans="1:8">
      <c r="A41" s="492" t="s">
        <v>422</v>
      </c>
      <c r="B41" s="492"/>
      <c r="C41" s="491">
        <v>1655771.3885175001</v>
      </c>
      <c r="D41" s="491">
        <v>2338831.0484174998</v>
      </c>
      <c r="E41" s="491">
        <v>390765.42296749994</v>
      </c>
      <c r="F41" s="491">
        <v>4385367.8599025002</v>
      </c>
      <c r="G41" s="635">
        <v>44603383.202817492</v>
      </c>
    </row>
    <row r="42" spans="1:8">
      <c r="A42" s="492" t="s">
        <v>349</v>
      </c>
      <c r="B42" s="492"/>
      <c r="C42" s="493"/>
      <c r="D42" s="493"/>
      <c r="E42" s="528"/>
      <c r="F42" s="494">
        <f>+'3. Tipo Generación'!D14*1000</f>
        <v>0</v>
      </c>
      <c r="G42" s="636">
        <f>+'4. Tipo Recurso'!$G$21*1000</f>
        <v>37447.757109999999</v>
      </c>
    </row>
    <row r="43" spans="1:8">
      <c r="A43" s="637" t="s">
        <v>350</v>
      </c>
      <c r="B43" s="492"/>
      <c r="C43" s="493"/>
      <c r="D43" s="493"/>
      <c r="E43" s="528"/>
      <c r="F43" s="494"/>
      <c r="G43" s="636"/>
    </row>
    <row r="44" spans="1:8" ht="6.75" customHeight="1">
      <c r="A44" s="638"/>
      <c r="B44" s="638"/>
      <c r="C44" s="638"/>
      <c r="D44" s="638"/>
      <c r="E44" s="638"/>
      <c r="F44" s="638"/>
      <c r="G44" s="638"/>
    </row>
    <row r="45" spans="1:8" ht="23.25" customHeight="1">
      <c r="A45" s="990" t="s">
        <v>480</v>
      </c>
      <c r="B45" s="990"/>
      <c r="C45" s="990"/>
      <c r="D45" s="990"/>
      <c r="E45" s="990"/>
      <c r="F45" s="990"/>
      <c r="G45" s="990"/>
    </row>
    <row r="46" spans="1:8" ht="17.25" customHeight="1">
      <c r="A46" s="701"/>
      <c r="B46" s="701"/>
      <c r="C46" s="701"/>
      <c r="D46" s="701"/>
      <c r="E46" s="701"/>
      <c r="F46" s="701"/>
      <c r="G46" s="701"/>
      <c r="H46" s="46"/>
    </row>
    <row r="47" spans="1:8" ht="17.25" customHeight="1">
      <c r="A47" s="701" t="s">
        <v>514</v>
      </c>
      <c r="B47" s="701"/>
      <c r="C47" s="701"/>
      <c r="D47" s="701"/>
      <c r="E47" s="701"/>
      <c r="F47" s="701"/>
      <c r="G47" s="701"/>
      <c r="H47" s="46"/>
    </row>
    <row r="48" spans="1:8" s="407" customFormat="1" ht="17.25" customHeight="1">
      <c r="A48" s="701" t="s">
        <v>554</v>
      </c>
      <c r="B48" s="701"/>
      <c r="C48" s="701"/>
      <c r="D48" s="701"/>
      <c r="E48" s="701"/>
      <c r="F48" s="701"/>
      <c r="G48" s="701"/>
      <c r="H48" s="46"/>
    </row>
    <row r="49" spans="1:8" ht="17.25" customHeight="1">
      <c r="B49" s="701"/>
      <c r="C49" s="701"/>
      <c r="D49" s="701"/>
      <c r="E49" s="701"/>
      <c r="F49" s="701"/>
      <c r="G49" s="701"/>
      <c r="H49" s="46"/>
    </row>
    <row r="50" spans="1:8" ht="17.25" customHeight="1">
      <c r="A50" s="701"/>
      <c r="B50" s="278"/>
      <c r="C50" s="278"/>
      <c r="D50" s="278"/>
      <c r="E50" s="278"/>
      <c r="F50" s="278"/>
      <c r="G50" s="46"/>
      <c r="H50" s="46"/>
    </row>
    <row r="51" spans="1:8" ht="17.25" customHeight="1">
      <c r="A51" s="701"/>
      <c r="B51" s="278"/>
      <c r="C51" s="278"/>
      <c r="D51" s="278"/>
      <c r="E51" s="278"/>
      <c r="F51" s="278"/>
      <c r="G51" s="46"/>
      <c r="H51" s="46"/>
    </row>
    <row r="52" spans="1:8" ht="22.5" customHeight="1">
      <c r="A52" s="989"/>
      <c r="B52" s="989"/>
      <c r="C52" s="989"/>
      <c r="D52" s="989"/>
      <c r="E52" s="989"/>
      <c r="F52" s="989"/>
      <c r="G52" s="989"/>
    </row>
    <row r="53" spans="1:8" ht="16.5" customHeight="1">
      <c r="A53" s="701"/>
      <c r="B53" s="274"/>
      <c r="C53" s="274"/>
      <c r="D53" s="274"/>
      <c r="E53" s="274"/>
      <c r="F53" s="274"/>
    </row>
    <row r="54" spans="1:8" s="725" customFormat="1" ht="16.5" customHeight="1">
      <c r="A54" s="701"/>
      <c r="B54" s="274"/>
      <c r="C54" s="274"/>
      <c r="D54" s="274"/>
      <c r="E54" s="274"/>
      <c r="F54" s="274"/>
    </row>
    <row r="55" spans="1:8" s="725" customFormat="1" ht="16.5" customHeight="1">
      <c r="A55" s="701"/>
      <c r="B55" s="274"/>
      <c r="C55" s="274"/>
      <c r="D55" s="274"/>
      <c r="E55" s="274"/>
      <c r="F55" s="274"/>
    </row>
    <row r="56" spans="1:8">
      <c r="A56" s="330"/>
      <c r="B56" s="274"/>
      <c r="C56" s="274"/>
      <c r="D56" s="274"/>
      <c r="E56" s="274"/>
      <c r="F56" s="274"/>
    </row>
    <row r="57" spans="1:8">
      <c r="A57" s="330"/>
      <c r="B57" s="274"/>
      <c r="C57" s="274"/>
      <c r="D57" s="274"/>
      <c r="E57" s="274"/>
      <c r="F57" s="274"/>
    </row>
    <row r="58" spans="1:8">
      <c r="A58" s="330"/>
      <c r="B58" s="274"/>
      <c r="C58" s="274"/>
      <c r="D58" s="274"/>
      <c r="E58" s="274"/>
      <c r="F58" s="274"/>
    </row>
    <row r="59" spans="1:8">
      <c r="A59" s="330"/>
      <c r="B59" s="274"/>
      <c r="C59" s="274"/>
      <c r="D59" s="274"/>
      <c r="E59" s="274"/>
      <c r="F59" s="274"/>
    </row>
    <row r="60" spans="1:8">
      <c r="A60" s="330"/>
      <c r="B60" s="274"/>
      <c r="C60" s="274"/>
      <c r="D60" s="274"/>
      <c r="E60" s="274"/>
      <c r="F60" s="274"/>
    </row>
    <row r="61" spans="1:8">
      <c r="A61" s="330"/>
    </row>
    <row r="62" spans="1:8">
      <c r="A62" s="330"/>
    </row>
    <row r="63" spans="1:8">
      <c r="A63" s="330"/>
    </row>
  </sheetData>
  <mergeCells count="7">
    <mergeCell ref="A52:G52"/>
    <mergeCell ref="A45:G4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10" zoomScaleNormal="100" zoomScaleSheetLayoutView="110" zoomScalePageLayoutView="160" workbookViewId="0">
      <selection activeCell="T44" sqref="T44"/>
    </sheetView>
  </sheetViews>
  <sheetFormatPr baseColWidth="10" defaultColWidth="9.28515625" defaultRowHeight="9.6"/>
  <cols>
    <col min="1" max="1" width="28.85546875" style="274" customWidth="1"/>
    <col min="2" max="2" width="27.42578125" style="274" customWidth="1"/>
    <col min="3" max="3" width="17.7109375" style="274" customWidth="1"/>
    <col min="4" max="4" width="18" style="274" customWidth="1"/>
    <col min="5" max="5" width="18.85546875" style="274" customWidth="1"/>
    <col min="6" max="6" width="15.140625" style="274" customWidth="1"/>
    <col min="7" max="7" width="9.28515625" style="274"/>
    <col min="8" max="8" width="15.7109375" style="274" customWidth="1"/>
    <col min="9" max="9" width="9.28515625" style="274"/>
    <col min="10" max="11" width="9.28515625" style="274" customWidth="1"/>
    <col min="12" max="16384" width="9.28515625" style="274"/>
  </cols>
  <sheetData>
    <row r="1" spans="1:12" ht="11.25" customHeight="1">
      <c r="A1" s="647" t="s">
        <v>353</v>
      </c>
      <c r="B1" s="648"/>
      <c r="C1" s="648"/>
      <c r="D1" s="648"/>
      <c r="E1" s="648"/>
      <c r="F1" s="648"/>
    </row>
    <row r="2" spans="1:12" s="330" customFormat="1" ht="11.25" customHeight="1">
      <c r="A2" s="991" t="s">
        <v>250</v>
      </c>
      <c r="B2" s="994" t="s">
        <v>54</v>
      </c>
      <c r="C2" s="994" t="s">
        <v>354</v>
      </c>
      <c r="D2" s="994"/>
      <c r="E2" s="994"/>
      <c r="F2" s="997"/>
      <c r="G2" s="434"/>
      <c r="H2" s="434"/>
      <c r="I2" s="434"/>
      <c r="J2" s="434"/>
      <c r="K2" s="434"/>
    </row>
    <row r="3" spans="1:12" s="330" customFormat="1" ht="11.25" customHeight="1">
      <c r="A3" s="992"/>
      <c r="B3" s="995"/>
      <c r="C3" s="495" t="str">
        <f>UPPER('1. Resumen'!Q4)&amp;" "&amp;'1. Resumen'!Q5</f>
        <v>NOVIEMBRE 2020</v>
      </c>
      <c r="D3" s="496" t="str">
        <f>UPPER('1. Resumen'!Q4)&amp;" "&amp;'1. Resumen'!Q5-1</f>
        <v>NOVIEMBRE 2019</v>
      </c>
      <c r="E3" s="496">
        <v>2020</v>
      </c>
      <c r="F3" s="639" t="s">
        <v>479</v>
      </c>
      <c r="G3" s="435"/>
      <c r="H3" s="435"/>
      <c r="I3" s="435"/>
      <c r="J3" s="435"/>
      <c r="K3" s="435"/>
      <c r="L3" s="434"/>
    </row>
    <row r="4" spans="1:12" s="330" customFormat="1" ht="11.25" customHeight="1">
      <c r="A4" s="992"/>
      <c r="B4" s="995"/>
      <c r="C4" s="498">
        <f>+'8. Max Potencia'!D8</f>
        <v>44163.854166666664</v>
      </c>
      <c r="D4" s="498">
        <f>+'8. Max Potencia'!E8</f>
        <v>43790.833333333336</v>
      </c>
      <c r="E4" s="498">
        <f>+'8. Max Potencia'!G8</f>
        <v>43886.8125</v>
      </c>
      <c r="F4" s="640" t="s">
        <v>351</v>
      </c>
      <c r="G4" s="436"/>
      <c r="H4" s="436"/>
      <c r="I4" s="437"/>
      <c r="J4" s="437"/>
      <c r="K4" s="437"/>
      <c r="L4" s="434"/>
    </row>
    <row r="5" spans="1:12" s="330" customFormat="1" ht="11.25" customHeight="1">
      <c r="A5" s="993"/>
      <c r="B5" s="996"/>
      <c r="C5" s="642">
        <f>+'8. Max Potencia'!D9</f>
        <v>44163.854166666664</v>
      </c>
      <c r="D5" s="642">
        <f>+'8. Max Potencia'!E9</f>
        <v>43790.833333333336</v>
      </c>
      <c r="E5" s="642">
        <f>+'8. Max Potencia'!G9</f>
        <v>43886.8125</v>
      </c>
      <c r="F5" s="643" t="s">
        <v>352</v>
      </c>
      <c r="G5" s="436"/>
      <c r="H5" s="436"/>
      <c r="I5" s="436"/>
      <c r="J5" s="436"/>
      <c r="K5" s="436"/>
      <c r="L5" s="438"/>
    </row>
    <row r="6" spans="1:12" s="330" customFormat="1" ht="9" customHeight="1">
      <c r="A6" s="689" t="s">
        <v>121</v>
      </c>
      <c r="B6" s="431" t="s">
        <v>86</v>
      </c>
      <c r="C6" s="439">
        <v>14.649089999999999</v>
      </c>
      <c r="D6" s="780">
        <v>0</v>
      </c>
      <c r="E6" s="783">
        <v>0</v>
      </c>
      <c r="F6" s="694" t="str">
        <f>+IF(D6=0,"",C6/D6-1)</f>
        <v/>
      </c>
      <c r="G6" s="436"/>
      <c r="H6" s="745"/>
      <c r="I6" s="745"/>
      <c r="J6" s="436"/>
      <c r="K6" s="436"/>
      <c r="L6" s="440"/>
    </row>
    <row r="7" spans="1:12" s="330" customFormat="1" ht="9" customHeight="1">
      <c r="A7" s="671" t="s">
        <v>699</v>
      </c>
      <c r="B7" s="507"/>
      <c r="C7" s="509">
        <v>14.649089999999999</v>
      </c>
      <c r="D7" s="781">
        <v>0</v>
      </c>
      <c r="E7" s="784">
        <v>0</v>
      </c>
      <c r="F7" s="672" t="str">
        <f t="shared" ref="F7:F70" si="0">+IF(D7=0,"",C7/D7-1)</f>
        <v/>
      </c>
      <c r="G7" s="436"/>
      <c r="H7" s="745"/>
      <c r="I7" s="745"/>
      <c r="J7" s="436"/>
      <c r="K7" s="436"/>
      <c r="L7" s="441"/>
    </row>
    <row r="8" spans="1:12" s="330" customFormat="1" ht="9" customHeight="1">
      <c r="A8" s="689" t="s">
        <v>120</v>
      </c>
      <c r="B8" s="431" t="s">
        <v>63</v>
      </c>
      <c r="C8" s="439">
        <v>18.783300000000001</v>
      </c>
      <c r="D8" s="780">
        <v>14.597280000000001</v>
      </c>
      <c r="E8" s="783">
        <v>12.31569</v>
      </c>
      <c r="F8" s="695">
        <f t="shared" si="0"/>
        <v>0.28676712373812108</v>
      </c>
      <c r="G8" s="436"/>
      <c r="H8" s="745"/>
      <c r="I8" s="745"/>
      <c r="J8" s="436"/>
      <c r="K8" s="436"/>
      <c r="L8" s="442"/>
    </row>
    <row r="9" spans="1:12" s="330" customFormat="1" ht="9" customHeight="1">
      <c r="A9" s="671" t="s">
        <v>700</v>
      </c>
      <c r="B9" s="507"/>
      <c r="C9" s="509">
        <v>18.783300000000001</v>
      </c>
      <c r="D9" s="781">
        <v>14.597280000000001</v>
      </c>
      <c r="E9" s="784">
        <v>12.31569</v>
      </c>
      <c r="F9" s="672">
        <f t="shared" si="0"/>
        <v>0.28676712373812108</v>
      </c>
      <c r="G9" s="436"/>
      <c r="H9" s="745"/>
      <c r="I9" s="745"/>
      <c r="J9" s="436"/>
      <c r="K9" s="436"/>
      <c r="L9" s="441"/>
    </row>
    <row r="10" spans="1:12" s="330" customFormat="1" ht="9" customHeight="1">
      <c r="A10" s="669" t="s">
        <v>106</v>
      </c>
      <c r="B10" s="621" t="s">
        <v>83</v>
      </c>
      <c r="C10" s="623">
        <v>14.028790000000001</v>
      </c>
      <c r="D10" s="782">
        <v>14.872479999999999</v>
      </c>
      <c r="E10" s="785">
        <v>0</v>
      </c>
      <c r="F10" s="670">
        <f t="shared" si="0"/>
        <v>-5.6728265897819208E-2</v>
      </c>
      <c r="G10" s="436"/>
      <c r="H10" s="745"/>
      <c r="I10" s="745"/>
      <c r="J10" s="436"/>
      <c r="K10" s="436"/>
      <c r="L10" s="441"/>
    </row>
    <row r="11" spans="1:12" s="330" customFormat="1" ht="9" customHeight="1">
      <c r="A11" s="671" t="s">
        <v>701</v>
      </c>
      <c r="B11" s="507"/>
      <c r="C11" s="509">
        <v>14.028790000000001</v>
      </c>
      <c r="D11" s="781">
        <v>14.872479999999999</v>
      </c>
      <c r="E11" s="784">
        <v>0</v>
      </c>
      <c r="F11" s="672">
        <f t="shared" si="0"/>
        <v>-5.6728265897819208E-2</v>
      </c>
      <c r="G11" s="436"/>
      <c r="H11" s="745"/>
      <c r="I11" s="745"/>
      <c r="J11" s="436"/>
      <c r="K11" s="436"/>
      <c r="L11" s="441"/>
    </row>
    <row r="12" spans="1:12" s="330" customFormat="1" ht="9" customHeight="1">
      <c r="A12" s="669" t="s">
        <v>418</v>
      </c>
      <c r="B12" s="621" t="s">
        <v>420</v>
      </c>
      <c r="C12" s="623">
        <v>20.56326</v>
      </c>
      <c r="D12" s="782">
        <v>17.055810000000001</v>
      </c>
      <c r="E12" s="785">
        <v>20.564639999999997</v>
      </c>
      <c r="F12" s="670">
        <f t="shared" si="0"/>
        <v>0.20564546626633384</v>
      </c>
      <c r="G12" s="436"/>
      <c r="H12" s="745"/>
      <c r="I12" s="745"/>
      <c r="J12" s="436"/>
      <c r="K12" s="436"/>
      <c r="L12" s="441"/>
    </row>
    <row r="13" spans="1:12" s="330" customFormat="1" ht="9" customHeight="1">
      <c r="A13" s="671" t="s">
        <v>702</v>
      </c>
      <c r="B13" s="507"/>
      <c r="C13" s="509">
        <v>20.56326</v>
      </c>
      <c r="D13" s="781">
        <v>17.055810000000001</v>
      </c>
      <c r="E13" s="784">
        <v>20.564639999999997</v>
      </c>
      <c r="F13" s="672">
        <f t="shared" si="0"/>
        <v>0.20564546626633384</v>
      </c>
      <c r="G13" s="436"/>
      <c r="H13" s="745"/>
      <c r="I13" s="745"/>
      <c r="J13" s="436"/>
      <c r="K13" s="436"/>
      <c r="L13" s="441"/>
    </row>
    <row r="14" spans="1:12" s="330" customFormat="1" ht="9" customHeight="1">
      <c r="A14" s="669" t="s">
        <v>457</v>
      </c>
      <c r="B14" s="621" t="s">
        <v>464</v>
      </c>
      <c r="C14" s="623">
        <v>9.1999999999999993</v>
      </c>
      <c r="D14" s="782">
        <v>9.9375</v>
      </c>
      <c r="E14" s="785">
        <v>9.125</v>
      </c>
      <c r="F14" s="670">
        <f t="shared" si="0"/>
        <v>-7.4213836477987516E-2</v>
      </c>
      <c r="G14" s="436"/>
      <c r="H14" s="745"/>
      <c r="I14" s="745"/>
      <c r="J14" s="436"/>
      <c r="K14" s="436"/>
      <c r="L14" s="441"/>
    </row>
    <row r="15" spans="1:12" s="330" customFormat="1" ht="9" customHeight="1">
      <c r="A15" s="671" t="s">
        <v>703</v>
      </c>
      <c r="B15" s="507"/>
      <c r="C15" s="509">
        <v>9.1999999999999993</v>
      </c>
      <c r="D15" s="781">
        <v>9.9375</v>
      </c>
      <c r="E15" s="784">
        <v>9.125</v>
      </c>
      <c r="F15" s="672">
        <f t="shared" si="0"/>
        <v>-7.4213836477987516E-2</v>
      </c>
      <c r="G15" s="436"/>
      <c r="H15" s="745"/>
      <c r="I15" s="745"/>
      <c r="J15" s="436"/>
      <c r="K15" s="436"/>
      <c r="L15" s="441"/>
    </row>
    <row r="16" spans="1:12" s="330" customFormat="1" ht="9" customHeight="1">
      <c r="A16" s="669" t="s">
        <v>94</v>
      </c>
      <c r="B16" s="621" t="s">
        <v>281</v>
      </c>
      <c r="C16" s="623">
        <v>135.08025000000001</v>
      </c>
      <c r="D16" s="782">
        <v>187.66856999999999</v>
      </c>
      <c r="E16" s="785">
        <v>209.33445999999998</v>
      </c>
      <c r="F16" s="670">
        <f t="shared" si="0"/>
        <v>-0.28021911180971848</v>
      </c>
      <c r="G16" s="436"/>
      <c r="H16" s="745"/>
      <c r="I16" s="745"/>
      <c r="J16" s="436"/>
      <c r="K16" s="436"/>
      <c r="L16" s="441"/>
    </row>
    <row r="17" spans="1:16" s="330" customFormat="1" ht="9" customHeight="1">
      <c r="A17" s="671" t="s">
        <v>704</v>
      </c>
      <c r="B17" s="507"/>
      <c r="C17" s="509">
        <v>135.08025000000001</v>
      </c>
      <c r="D17" s="781">
        <v>187.66856999999999</v>
      </c>
      <c r="E17" s="784">
        <v>209.33445999999998</v>
      </c>
      <c r="F17" s="672">
        <f t="shared" si="0"/>
        <v>-0.28021911180971848</v>
      </c>
      <c r="G17" s="436"/>
      <c r="H17" s="745"/>
      <c r="I17" s="745"/>
      <c r="J17" s="436"/>
      <c r="K17" s="436"/>
      <c r="L17" s="442"/>
    </row>
    <row r="18" spans="1:16" s="330" customFormat="1" ht="9" customHeight="1">
      <c r="A18" s="669" t="s">
        <v>236</v>
      </c>
      <c r="B18" s="621" t="s">
        <v>282</v>
      </c>
      <c r="C18" s="623">
        <v>0</v>
      </c>
      <c r="D18" s="782">
        <v>0</v>
      </c>
      <c r="E18" s="785">
        <v>0</v>
      </c>
      <c r="F18" s="670" t="str">
        <f t="shared" si="0"/>
        <v/>
      </c>
      <c r="G18" s="436"/>
      <c r="H18" s="745"/>
      <c r="I18" s="745"/>
      <c r="J18" s="436"/>
      <c r="K18" s="436"/>
      <c r="L18" s="442"/>
    </row>
    <row r="19" spans="1:16" s="330" customFormat="1" ht="9" customHeight="1">
      <c r="A19" s="671" t="s">
        <v>705</v>
      </c>
      <c r="B19" s="507"/>
      <c r="C19" s="509">
        <v>0</v>
      </c>
      <c r="D19" s="781">
        <v>0</v>
      </c>
      <c r="E19" s="784">
        <v>0</v>
      </c>
      <c r="F19" s="672" t="str">
        <f t="shared" si="0"/>
        <v/>
      </c>
      <c r="G19" s="436"/>
      <c r="H19" s="745"/>
      <c r="I19" s="745"/>
      <c r="J19" s="436"/>
      <c r="K19" s="436"/>
      <c r="L19" s="442"/>
    </row>
    <row r="20" spans="1:16" s="330" customFormat="1" ht="9" customHeight="1">
      <c r="A20" s="669" t="s">
        <v>93</v>
      </c>
      <c r="B20" s="621" t="s">
        <v>283</v>
      </c>
      <c r="C20" s="623">
        <v>68.990700000000004</v>
      </c>
      <c r="D20" s="782">
        <v>127.06084999999999</v>
      </c>
      <c r="E20" s="785">
        <v>152.27247</v>
      </c>
      <c r="F20" s="670">
        <f t="shared" si="0"/>
        <v>-0.45702629881666923</v>
      </c>
      <c r="G20" s="436"/>
      <c r="H20" s="745"/>
      <c r="I20" s="745"/>
      <c r="J20" s="436"/>
      <c r="K20" s="436"/>
      <c r="L20" s="436"/>
      <c r="M20" s="436"/>
      <c r="N20" s="436"/>
      <c r="O20" s="436"/>
      <c r="P20" s="436"/>
    </row>
    <row r="21" spans="1:16" s="330" customFormat="1" ht="9" customHeight="1">
      <c r="A21" s="669"/>
      <c r="B21" s="621" t="s">
        <v>284</v>
      </c>
      <c r="C21" s="623">
        <v>10.34548</v>
      </c>
      <c r="D21" s="782">
        <v>18.281559999999999</v>
      </c>
      <c r="E21" s="785">
        <v>42.53781</v>
      </c>
      <c r="F21" s="670">
        <f t="shared" si="0"/>
        <v>-0.43410299777480688</v>
      </c>
      <c r="G21" s="436"/>
      <c r="H21" s="745"/>
      <c r="I21" s="745"/>
      <c r="J21" s="436"/>
      <c r="K21" s="436"/>
      <c r="L21" s="436"/>
      <c r="M21" s="436"/>
      <c r="N21" s="436"/>
      <c r="O21" s="436"/>
      <c r="P21" s="436"/>
    </row>
    <row r="22" spans="1:16" s="330" customFormat="1" ht="9" customHeight="1">
      <c r="A22" s="671" t="s">
        <v>706</v>
      </c>
      <c r="B22" s="507"/>
      <c r="C22" s="509">
        <v>79.336179999999999</v>
      </c>
      <c r="D22" s="781">
        <v>145.34240999999997</v>
      </c>
      <c r="E22" s="784">
        <v>194.81028000000001</v>
      </c>
      <c r="F22" s="672">
        <f t="shared" si="0"/>
        <v>-0.45414294423767976</v>
      </c>
      <c r="G22" s="436"/>
      <c r="H22" s="745"/>
      <c r="I22" s="745"/>
      <c r="J22" s="436"/>
      <c r="K22" s="436"/>
      <c r="L22" s="441"/>
    </row>
    <row r="23" spans="1:16" s="330" customFormat="1" ht="9" customHeight="1">
      <c r="A23" s="669" t="s">
        <v>91</v>
      </c>
      <c r="B23" s="621" t="s">
        <v>285</v>
      </c>
      <c r="C23" s="623">
        <v>1.66679</v>
      </c>
      <c r="D23" s="782">
        <v>1.7027299999999999</v>
      </c>
      <c r="E23" s="785">
        <v>1.5918999999999999</v>
      </c>
      <c r="F23" s="670">
        <f t="shared" si="0"/>
        <v>-2.1107280661055938E-2</v>
      </c>
      <c r="G23" s="436"/>
      <c r="H23" s="745"/>
      <c r="I23" s="745"/>
      <c r="J23" s="436"/>
      <c r="K23" s="436"/>
      <c r="L23" s="441"/>
    </row>
    <row r="24" spans="1:16" s="330" customFormat="1" ht="9" customHeight="1">
      <c r="A24" s="669"/>
      <c r="B24" s="621" t="s">
        <v>286</v>
      </c>
      <c r="C24" s="623">
        <v>0.56997000000000009</v>
      </c>
      <c r="D24" s="782">
        <v>0.57733999999999996</v>
      </c>
      <c r="E24" s="785">
        <v>0.38527999999999996</v>
      </c>
      <c r="F24" s="670">
        <f t="shared" si="0"/>
        <v>-1.2765441507603614E-2</v>
      </c>
      <c r="G24" s="436"/>
      <c r="H24" s="745"/>
      <c r="I24" s="745"/>
      <c r="J24" s="436"/>
      <c r="K24" s="436"/>
      <c r="L24" s="441"/>
    </row>
    <row r="25" spans="1:16" s="330" customFormat="1" ht="9" customHeight="1">
      <c r="A25" s="669"/>
      <c r="B25" s="621" t="s">
        <v>287</v>
      </c>
      <c r="C25" s="623">
        <v>4.6453100000000003</v>
      </c>
      <c r="D25" s="782">
        <v>4.6589700000000001</v>
      </c>
      <c r="E25" s="785">
        <v>4.6962299999999999</v>
      </c>
      <c r="F25" s="670">
        <f t="shared" si="0"/>
        <v>-2.9319785274427579E-3</v>
      </c>
      <c r="G25" s="436"/>
      <c r="H25" s="745"/>
      <c r="I25" s="745"/>
      <c r="J25" s="436"/>
      <c r="K25" s="436"/>
      <c r="L25" s="441"/>
    </row>
    <row r="26" spans="1:16" s="330" customFormat="1" ht="9" customHeight="1">
      <c r="A26" s="669"/>
      <c r="B26" s="621" t="s">
        <v>288</v>
      </c>
      <c r="C26" s="623">
        <v>13.651199999999999</v>
      </c>
      <c r="D26" s="782">
        <v>14.156040000000001</v>
      </c>
      <c r="E26" s="785">
        <v>15.07926</v>
      </c>
      <c r="F26" s="670">
        <f t="shared" si="0"/>
        <v>-3.5662515788313809E-2</v>
      </c>
      <c r="G26" s="436"/>
      <c r="H26" s="745"/>
      <c r="I26" s="745"/>
      <c r="J26" s="436"/>
      <c r="K26" s="436"/>
      <c r="L26" s="441"/>
    </row>
    <row r="27" spans="1:16" s="330" customFormat="1" ht="9" customHeight="1">
      <c r="A27" s="669"/>
      <c r="B27" s="621" t="s">
        <v>289</v>
      </c>
      <c r="C27" s="623">
        <v>140.85512</v>
      </c>
      <c r="D27" s="782">
        <v>120.79814</v>
      </c>
      <c r="E27" s="785">
        <v>141.92739999999998</v>
      </c>
      <c r="F27" s="670">
        <f t="shared" si="0"/>
        <v>0.16603715918142448</v>
      </c>
      <c r="G27" s="436"/>
      <c r="H27" s="745"/>
      <c r="I27" s="745"/>
      <c r="J27" s="436"/>
      <c r="K27" s="436"/>
      <c r="L27" s="441"/>
    </row>
    <row r="28" spans="1:16" s="330" customFormat="1" ht="9" customHeight="1">
      <c r="A28" s="669"/>
      <c r="B28" s="621" t="s">
        <v>290</v>
      </c>
      <c r="C28" s="623">
        <v>8.1920400000000004</v>
      </c>
      <c r="D28" s="782">
        <v>8.6021400000000003</v>
      </c>
      <c r="E28" s="785">
        <v>7.5733499999999996</v>
      </c>
      <c r="F28" s="670">
        <f t="shared" si="0"/>
        <v>-4.7674183400874703E-2</v>
      </c>
      <c r="G28" s="436"/>
      <c r="H28" s="745"/>
      <c r="I28" s="745"/>
      <c r="J28" s="436"/>
      <c r="K28" s="436"/>
      <c r="L28" s="441"/>
    </row>
    <row r="29" spans="1:16" s="330" customFormat="1" ht="9" customHeight="1">
      <c r="A29" s="669"/>
      <c r="B29" s="621" t="s">
        <v>291</v>
      </c>
      <c r="C29" s="623">
        <v>0</v>
      </c>
      <c r="D29" s="782">
        <v>0</v>
      </c>
      <c r="E29" s="785">
        <v>0</v>
      </c>
      <c r="F29" s="670" t="str">
        <f t="shared" si="0"/>
        <v/>
      </c>
      <c r="G29" s="436"/>
      <c r="H29" s="745"/>
      <c r="I29" s="745"/>
      <c r="J29" s="436"/>
      <c r="K29" s="436"/>
      <c r="L29" s="443"/>
    </row>
    <row r="30" spans="1:16" s="330" customFormat="1" ht="9" customHeight="1">
      <c r="A30" s="669"/>
      <c r="B30" s="621" t="s">
        <v>292</v>
      </c>
      <c r="C30" s="623">
        <v>0</v>
      </c>
      <c r="D30" s="782">
        <v>0</v>
      </c>
      <c r="E30" s="785">
        <v>0</v>
      </c>
      <c r="F30" s="670" t="str">
        <f t="shared" si="0"/>
        <v/>
      </c>
      <c r="G30" s="436"/>
      <c r="H30" s="745"/>
      <c r="I30" s="745"/>
      <c r="J30" s="436"/>
      <c r="K30" s="436"/>
      <c r="L30" s="441"/>
    </row>
    <row r="31" spans="1:16" s="330" customFormat="1" ht="9" customHeight="1">
      <c r="A31" s="669"/>
      <c r="B31" s="621" t="s">
        <v>293</v>
      </c>
      <c r="C31" s="623">
        <v>0</v>
      </c>
      <c r="D31" s="782">
        <v>0</v>
      </c>
      <c r="E31" s="785">
        <v>0</v>
      </c>
      <c r="F31" s="670" t="str">
        <f t="shared" si="0"/>
        <v/>
      </c>
      <c r="G31" s="436"/>
      <c r="H31" s="745"/>
      <c r="I31" s="745"/>
      <c r="J31" s="436"/>
      <c r="K31" s="436"/>
      <c r="L31" s="441"/>
    </row>
    <row r="32" spans="1:16" s="330" customFormat="1" ht="9" customHeight="1">
      <c r="A32" s="671" t="s">
        <v>707</v>
      </c>
      <c r="B32" s="507"/>
      <c r="C32" s="509">
        <v>169.58043000000001</v>
      </c>
      <c r="D32" s="781">
        <v>150.49536000000001</v>
      </c>
      <c r="E32" s="784">
        <v>171.25341999999998</v>
      </c>
      <c r="F32" s="672">
        <f t="shared" si="0"/>
        <v>0.12681500612377694</v>
      </c>
      <c r="G32" s="436"/>
      <c r="H32" s="745"/>
      <c r="I32" s="745"/>
      <c r="J32" s="436"/>
      <c r="K32" s="436"/>
      <c r="L32" s="441"/>
    </row>
    <row r="33" spans="1:12" s="330" customFormat="1" ht="9" customHeight="1">
      <c r="A33" s="669" t="s">
        <v>114</v>
      </c>
      <c r="B33" s="621" t="s">
        <v>70</v>
      </c>
      <c r="C33" s="623">
        <v>1.67876</v>
      </c>
      <c r="D33" s="782">
        <v>1.7013199999999999</v>
      </c>
      <c r="E33" s="785">
        <v>5.0030000000000001</v>
      </c>
      <c r="F33" s="670">
        <f t="shared" si="0"/>
        <v>-1.326029200855805E-2</v>
      </c>
      <c r="G33" s="436"/>
      <c r="H33" s="745"/>
      <c r="I33" s="745"/>
      <c r="J33" s="436"/>
      <c r="K33" s="436"/>
      <c r="L33" s="443"/>
    </row>
    <row r="34" spans="1:12" s="330" customFormat="1" ht="9" customHeight="1">
      <c r="A34" s="671" t="s">
        <v>708</v>
      </c>
      <c r="B34" s="507"/>
      <c r="C34" s="509">
        <v>1.67876</v>
      </c>
      <c r="D34" s="781">
        <v>1.7013199999999999</v>
      </c>
      <c r="E34" s="784">
        <v>5.0030000000000001</v>
      </c>
      <c r="F34" s="672">
        <f t="shared" si="0"/>
        <v>-1.326029200855805E-2</v>
      </c>
      <c r="G34" s="436"/>
      <c r="H34" s="745"/>
      <c r="I34" s="745"/>
      <c r="J34" s="436"/>
      <c r="K34" s="436"/>
      <c r="L34" s="441"/>
    </row>
    <row r="35" spans="1:12" s="330" customFormat="1" ht="9" customHeight="1">
      <c r="A35" s="669" t="s">
        <v>92</v>
      </c>
      <c r="B35" s="621" t="s">
        <v>294</v>
      </c>
      <c r="C35" s="623">
        <v>153.53910999999999</v>
      </c>
      <c r="D35" s="782">
        <v>166.66448</v>
      </c>
      <c r="E35" s="785">
        <v>163.44429</v>
      </c>
      <c r="F35" s="670">
        <f t="shared" si="0"/>
        <v>-7.8753253242682564E-2</v>
      </c>
      <c r="G35" s="436"/>
      <c r="H35" s="745"/>
      <c r="I35" s="745"/>
      <c r="J35" s="436"/>
      <c r="K35" s="436"/>
      <c r="L35" s="441"/>
    </row>
    <row r="36" spans="1:12" s="330" customFormat="1" ht="9" customHeight="1">
      <c r="A36" s="671" t="s">
        <v>709</v>
      </c>
      <c r="B36" s="507"/>
      <c r="C36" s="509">
        <v>153.53910999999999</v>
      </c>
      <c r="D36" s="781">
        <v>166.66448</v>
      </c>
      <c r="E36" s="784">
        <v>163.44429</v>
      </c>
      <c r="F36" s="672">
        <f t="shared" si="0"/>
        <v>-7.8753253242682564E-2</v>
      </c>
      <c r="G36" s="436"/>
      <c r="H36" s="745"/>
      <c r="I36" s="745"/>
      <c r="J36" s="436"/>
      <c r="K36" s="436"/>
      <c r="L36" s="441"/>
    </row>
    <row r="37" spans="1:12" s="330" customFormat="1" ht="9" customHeight="1">
      <c r="A37" s="669" t="s">
        <v>101</v>
      </c>
      <c r="B37" s="621" t="s">
        <v>295</v>
      </c>
      <c r="C37" s="623">
        <v>16.271999999999998</v>
      </c>
      <c r="D37" s="782">
        <v>15.474</v>
      </c>
      <c r="E37" s="785">
        <v>7.4160000000000004</v>
      </c>
      <c r="F37" s="670">
        <f t="shared" si="0"/>
        <v>5.1570376114772998E-2</v>
      </c>
      <c r="G37" s="436"/>
      <c r="H37" s="745"/>
      <c r="I37" s="745"/>
      <c r="J37" s="436"/>
      <c r="K37" s="436"/>
      <c r="L37" s="441"/>
    </row>
    <row r="38" spans="1:12" s="330" customFormat="1" ht="9" customHeight="1">
      <c r="A38" s="669"/>
      <c r="B38" s="621" t="s">
        <v>296</v>
      </c>
      <c r="C38" s="623">
        <v>9.6720000000000006</v>
      </c>
      <c r="D38" s="782">
        <v>9.1440000000000001</v>
      </c>
      <c r="E38" s="785">
        <v>4.2300000000000004</v>
      </c>
      <c r="F38" s="670">
        <f t="shared" si="0"/>
        <v>5.7742782152230943E-2</v>
      </c>
      <c r="G38" s="436"/>
      <c r="H38" s="745"/>
      <c r="I38" s="745"/>
      <c r="J38" s="436"/>
      <c r="K38" s="436"/>
      <c r="L38" s="441"/>
    </row>
    <row r="39" spans="1:12" s="330" customFormat="1" ht="9" customHeight="1">
      <c r="A39" s="669"/>
      <c r="B39" s="621" t="s">
        <v>297</v>
      </c>
      <c r="C39" s="623">
        <v>22.691449999999996</v>
      </c>
      <c r="D39" s="782">
        <v>0</v>
      </c>
      <c r="E39" s="785">
        <v>0</v>
      </c>
      <c r="F39" s="670" t="str">
        <f t="shared" si="0"/>
        <v/>
      </c>
      <c r="G39" s="436"/>
      <c r="H39" s="745"/>
      <c r="I39" s="745"/>
      <c r="J39" s="436"/>
      <c r="K39" s="436"/>
      <c r="L39" s="441"/>
    </row>
    <row r="40" spans="1:12" s="330" customFormat="1" ht="9" customHeight="1">
      <c r="A40" s="671" t="s">
        <v>710</v>
      </c>
      <c r="B40" s="507"/>
      <c r="C40" s="509">
        <v>48.635449999999992</v>
      </c>
      <c r="D40" s="781">
        <v>24.618000000000002</v>
      </c>
      <c r="E40" s="784">
        <v>11.646000000000001</v>
      </c>
      <c r="F40" s="672">
        <f t="shared" si="0"/>
        <v>0.97560524819237915</v>
      </c>
      <c r="G40" s="436"/>
      <c r="H40" s="745"/>
      <c r="I40" s="745"/>
      <c r="J40" s="436"/>
      <c r="K40" s="436"/>
      <c r="L40" s="441"/>
    </row>
    <row r="41" spans="1:12" s="330" customFormat="1" ht="18" customHeight="1">
      <c r="A41" s="673" t="s">
        <v>453</v>
      </c>
      <c r="B41" s="631" t="s">
        <v>75</v>
      </c>
      <c r="C41" s="787">
        <v>0.92884999999999995</v>
      </c>
      <c r="D41" s="788">
        <v>1.1189800000000001</v>
      </c>
      <c r="E41" s="789">
        <v>0.71074000000000004</v>
      </c>
      <c r="F41" s="790">
        <f t="shared" si="0"/>
        <v>-0.16991367137929192</v>
      </c>
      <c r="G41" s="436"/>
      <c r="H41" s="745"/>
      <c r="I41" s="745"/>
      <c r="J41" s="436"/>
      <c r="K41" s="436"/>
      <c r="L41" s="441"/>
    </row>
    <row r="42" spans="1:12" s="330" customFormat="1" ht="9" customHeight="1">
      <c r="A42" s="791" t="s">
        <v>711</v>
      </c>
      <c r="B42" s="792"/>
      <c r="C42" s="793">
        <v>0.92884999999999995</v>
      </c>
      <c r="D42" s="794">
        <v>1.1189800000000001</v>
      </c>
      <c r="E42" s="795">
        <v>0.71074000000000004</v>
      </c>
      <c r="F42" s="796">
        <f t="shared" si="0"/>
        <v>-0.16991367137929192</v>
      </c>
      <c r="G42" s="436"/>
      <c r="H42" s="745"/>
      <c r="I42" s="745"/>
      <c r="J42" s="436"/>
      <c r="K42" s="436"/>
      <c r="L42" s="441"/>
    </row>
    <row r="43" spans="1:12" s="330" customFormat="1" ht="9" customHeight="1">
      <c r="A43" s="786" t="s">
        <v>115</v>
      </c>
      <c r="B43" s="631" t="s">
        <v>73</v>
      </c>
      <c r="C43" s="787">
        <v>2.51207</v>
      </c>
      <c r="D43" s="788">
        <v>2.73665</v>
      </c>
      <c r="E43" s="789">
        <v>3.7634700000000003</v>
      </c>
      <c r="F43" s="790">
        <f t="shared" si="0"/>
        <v>-8.2063837173186216E-2</v>
      </c>
      <c r="G43" s="436"/>
      <c r="H43" s="745"/>
      <c r="I43" s="745"/>
      <c r="J43" s="436"/>
      <c r="K43" s="436"/>
      <c r="L43" s="441"/>
    </row>
    <row r="44" spans="1:12" s="330" customFormat="1" ht="9" customHeight="1">
      <c r="A44" s="791" t="s">
        <v>712</v>
      </c>
      <c r="B44" s="792"/>
      <c r="C44" s="793">
        <v>2.51207</v>
      </c>
      <c r="D44" s="794">
        <v>2.73665</v>
      </c>
      <c r="E44" s="795">
        <v>3.7634700000000003</v>
      </c>
      <c r="F44" s="796">
        <f t="shared" si="0"/>
        <v>-8.2063837173186216E-2</v>
      </c>
      <c r="G44" s="436"/>
      <c r="H44" s="745"/>
      <c r="I44" s="745"/>
      <c r="J44" s="436"/>
      <c r="K44" s="436"/>
      <c r="L44" s="441"/>
    </row>
    <row r="45" spans="1:12" s="330" customFormat="1" ht="9" customHeight="1">
      <c r="A45" s="669" t="s">
        <v>421</v>
      </c>
      <c r="B45" s="621" t="s">
        <v>424</v>
      </c>
      <c r="C45" s="623">
        <v>3.4058999999999999</v>
      </c>
      <c r="D45" s="782">
        <v>6.6226699999999994</v>
      </c>
      <c r="E45" s="785">
        <v>6.8089000000000004</v>
      </c>
      <c r="F45" s="670">
        <f t="shared" si="0"/>
        <v>-0.48572101584406291</v>
      </c>
      <c r="G45" s="436"/>
      <c r="H45" s="745"/>
      <c r="I45" s="745"/>
      <c r="J45" s="436"/>
      <c r="K45" s="436"/>
      <c r="L45" s="441"/>
    </row>
    <row r="46" spans="1:12" s="330" customFormat="1" ht="9" customHeight="1">
      <c r="A46" s="671" t="s">
        <v>713</v>
      </c>
      <c r="B46" s="507"/>
      <c r="C46" s="509">
        <v>3.4058999999999999</v>
      </c>
      <c r="D46" s="781">
        <v>6.6226699999999994</v>
      </c>
      <c r="E46" s="784">
        <v>6.8089000000000004</v>
      </c>
      <c r="F46" s="672">
        <f t="shared" si="0"/>
        <v>-0.48572101584406291</v>
      </c>
      <c r="G46" s="436"/>
      <c r="H46" s="745"/>
      <c r="I46" s="745"/>
      <c r="J46" s="436"/>
      <c r="K46" s="436"/>
      <c r="L46" s="444"/>
    </row>
    <row r="47" spans="1:12" s="330" customFormat="1" ht="9" customHeight="1">
      <c r="A47" s="669" t="s">
        <v>89</v>
      </c>
      <c r="B47" s="621" t="s">
        <v>298</v>
      </c>
      <c r="C47" s="623">
        <v>562.92960000000005</v>
      </c>
      <c r="D47" s="782">
        <v>649.15199999999993</v>
      </c>
      <c r="E47" s="785">
        <v>608.46960000000001</v>
      </c>
      <c r="F47" s="670">
        <f t="shared" si="0"/>
        <v>-0.13282312925170048</v>
      </c>
      <c r="G47" s="436"/>
      <c r="H47" s="745"/>
      <c r="I47" s="745"/>
      <c r="J47" s="436"/>
      <c r="K47" s="436"/>
      <c r="L47" s="441"/>
    </row>
    <row r="48" spans="1:12" s="330" customFormat="1" ht="9" customHeight="1">
      <c r="A48" s="669"/>
      <c r="B48" s="621" t="s">
        <v>299</v>
      </c>
      <c r="C48" s="623">
        <v>176.46336000000002</v>
      </c>
      <c r="D48" s="782">
        <v>216.16320000000002</v>
      </c>
      <c r="E48" s="785">
        <v>199.33823999999998</v>
      </c>
      <c r="F48" s="670">
        <f t="shared" si="0"/>
        <v>-0.18365679264555668</v>
      </c>
      <c r="G48" s="436"/>
      <c r="H48" s="745"/>
      <c r="I48" s="745"/>
      <c r="J48" s="436"/>
      <c r="K48" s="436"/>
      <c r="L48" s="441"/>
    </row>
    <row r="49" spans="1:12" s="330" customFormat="1" ht="9" customHeight="1">
      <c r="A49" s="669"/>
      <c r="B49" s="621" t="s">
        <v>300</v>
      </c>
      <c r="C49" s="623">
        <v>0</v>
      </c>
      <c r="D49" s="782">
        <v>0</v>
      </c>
      <c r="E49" s="785">
        <v>0</v>
      </c>
      <c r="F49" s="670" t="str">
        <f t="shared" si="0"/>
        <v/>
      </c>
      <c r="G49" s="436"/>
      <c r="H49" s="745"/>
      <c r="I49" s="745"/>
      <c r="J49" s="436"/>
      <c r="K49" s="436"/>
      <c r="L49" s="441"/>
    </row>
    <row r="50" spans="1:12" s="330" customFormat="1" ht="9" customHeight="1">
      <c r="A50" s="671" t="s">
        <v>714</v>
      </c>
      <c r="B50" s="507"/>
      <c r="C50" s="509">
        <v>739.39296000000013</v>
      </c>
      <c r="D50" s="781">
        <v>865.3152</v>
      </c>
      <c r="E50" s="784">
        <v>807.80783999999994</v>
      </c>
      <c r="F50" s="672">
        <f t="shared" si="0"/>
        <v>-0.14552181678999732</v>
      </c>
      <c r="G50" s="436"/>
      <c r="H50" s="745"/>
      <c r="I50" s="745"/>
      <c r="J50" s="436"/>
      <c r="K50" s="436"/>
      <c r="L50" s="441"/>
    </row>
    <row r="51" spans="1:12" s="330" customFormat="1" ht="9" customHeight="1">
      <c r="A51" s="669" t="s">
        <v>237</v>
      </c>
      <c r="B51" s="621" t="s">
        <v>301</v>
      </c>
      <c r="C51" s="623">
        <v>0</v>
      </c>
      <c r="D51" s="782">
        <v>452.38756000000001</v>
      </c>
      <c r="E51" s="785">
        <v>456.96001999999999</v>
      </c>
      <c r="F51" s="670">
        <f t="shared" si="0"/>
        <v>-1</v>
      </c>
      <c r="G51" s="436"/>
      <c r="H51" s="745"/>
      <c r="I51" s="745"/>
      <c r="J51" s="436"/>
      <c r="K51" s="436"/>
      <c r="L51" s="441"/>
    </row>
    <row r="52" spans="1:12" s="330" customFormat="1" ht="9" customHeight="1">
      <c r="A52" s="669"/>
      <c r="B52" s="621" t="s">
        <v>302</v>
      </c>
      <c r="C52" s="623">
        <v>6.4456100000000003</v>
      </c>
      <c r="D52" s="782">
        <v>6.2433800000000002</v>
      </c>
      <c r="E52" s="785">
        <v>6.4402600000000003</v>
      </c>
      <c r="F52" s="670">
        <f t="shared" si="0"/>
        <v>3.239110866229522E-2</v>
      </c>
      <c r="G52" s="436"/>
      <c r="H52" s="745"/>
      <c r="I52" s="745"/>
      <c r="J52" s="436"/>
      <c r="K52" s="436"/>
      <c r="L52" s="441"/>
    </row>
    <row r="53" spans="1:12" s="330" customFormat="1" ht="9" customHeight="1">
      <c r="A53" s="671" t="s">
        <v>715</v>
      </c>
      <c r="B53" s="507"/>
      <c r="C53" s="509">
        <v>6.4456100000000003</v>
      </c>
      <c r="D53" s="781">
        <v>458.63094000000001</v>
      </c>
      <c r="E53" s="784">
        <v>463.40028000000001</v>
      </c>
      <c r="F53" s="672">
        <f t="shared" si="0"/>
        <v>-0.98594597651872329</v>
      </c>
      <c r="G53" s="436"/>
      <c r="H53" s="745"/>
      <c r="I53" s="745"/>
      <c r="J53" s="436"/>
      <c r="K53" s="436"/>
      <c r="L53" s="441"/>
    </row>
    <row r="54" spans="1:12" s="330" customFormat="1" ht="9" customHeight="1">
      <c r="A54" s="669" t="s">
        <v>238</v>
      </c>
      <c r="B54" s="621" t="s">
        <v>303</v>
      </c>
      <c r="C54" s="623">
        <v>91.335949999999997</v>
      </c>
      <c r="D54" s="782">
        <v>72.402080000000012</v>
      </c>
      <c r="E54" s="785">
        <v>82.054190000000006</v>
      </c>
      <c r="F54" s="670">
        <f t="shared" si="0"/>
        <v>0.26151002844117155</v>
      </c>
      <c r="G54" s="436"/>
      <c r="H54" s="745"/>
      <c r="I54" s="745"/>
      <c r="J54" s="436"/>
      <c r="K54" s="436"/>
      <c r="L54" s="441"/>
    </row>
    <row r="55" spans="1:12" s="330" customFormat="1" ht="9" customHeight="1">
      <c r="A55" s="671" t="s">
        <v>716</v>
      </c>
      <c r="B55" s="507"/>
      <c r="C55" s="509">
        <v>91.335949999999997</v>
      </c>
      <c r="D55" s="781">
        <v>72.402080000000012</v>
      </c>
      <c r="E55" s="784">
        <v>82.054190000000006</v>
      </c>
      <c r="F55" s="672">
        <f t="shared" si="0"/>
        <v>0.26151002844117155</v>
      </c>
      <c r="G55" s="436"/>
      <c r="H55" s="745"/>
      <c r="I55" s="745"/>
      <c r="J55" s="436"/>
      <c r="K55" s="436"/>
    </row>
    <row r="56" spans="1:12" s="330" customFormat="1" ht="9" customHeight="1">
      <c r="A56" s="669" t="s">
        <v>455</v>
      </c>
      <c r="B56" s="621" t="s">
        <v>65</v>
      </c>
      <c r="C56" s="623">
        <v>1.08134</v>
      </c>
      <c r="D56" s="782">
        <v>3.9388200000000002</v>
      </c>
      <c r="E56" s="785">
        <v>9.5708000000000002</v>
      </c>
      <c r="F56" s="670">
        <f t="shared" si="0"/>
        <v>-0.72546600250836546</v>
      </c>
      <c r="G56" s="436"/>
      <c r="H56" s="745"/>
      <c r="I56" s="745"/>
      <c r="J56" s="436"/>
      <c r="K56" s="436"/>
    </row>
    <row r="57" spans="1:12" s="330" customFormat="1" ht="9" customHeight="1">
      <c r="A57" s="669"/>
      <c r="B57" s="621" t="s">
        <v>64</v>
      </c>
      <c r="C57" s="623">
        <v>1.6753499999999999</v>
      </c>
      <c r="D57" s="782">
        <v>4.3992699999999996</v>
      </c>
      <c r="E57" s="785">
        <v>9.8802299999999992</v>
      </c>
      <c r="F57" s="670">
        <f t="shared" si="0"/>
        <v>-0.61917545410943176</v>
      </c>
      <c r="G57" s="436"/>
      <c r="H57" s="745"/>
      <c r="I57" s="745"/>
      <c r="J57" s="436"/>
      <c r="K57" s="436"/>
    </row>
    <row r="58" spans="1:12" s="330" customFormat="1" ht="9" customHeight="1">
      <c r="A58" s="669"/>
      <c r="B58" s="621" t="s">
        <v>60</v>
      </c>
      <c r="C58" s="623">
        <v>2.1612200000000001</v>
      </c>
      <c r="D58" s="782">
        <v>15.48954</v>
      </c>
      <c r="E58" s="785">
        <v>17.778849999999998</v>
      </c>
      <c r="F58" s="670">
        <f t="shared" si="0"/>
        <v>-0.86047229291508975</v>
      </c>
      <c r="G58" s="436"/>
      <c r="H58" s="745"/>
      <c r="I58" s="745"/>
      <c r="J58" s="436"/>
      <c r="K58" s="436"/>
    </row>
    <row r="59" spans="1:12" s="330" customFormat="1" ht="9" customHeight="1">
      <c r="A59" s="669"/>
      <c r="B59" s="621" t="s">
        <v>57</v>
      </c>
      <c r="C59" s="623">
        <v>3.1962199999999998</v>
      </c>
      <c r="D59" s="782">
        <v>20.0275</v>
      </c>
      <c r="E59" s="785">
        <v>19.972989999999999</v>
      </c>
      <c r="F59" s="670">
        <f t="shared" si="0"/>
        <v>-0.84040843839720392</v>
      </c>
      <c r="G59" s="436"/>
      <c r="H59" s="745"/>
      <c r="I59" s="745"/>
      <c r="J59" s="436"/>
      <c r="K59" s="436"/>
    </row>
    <row r="60" spans="1:12" s="330" customFormat="1" ht="9" customHeight="1">
      <c r="A60" s="669"/>
      <c r="B60" s="621" t="s">
        <v>68</v>
      </c>
      <c r="C60" s="623">
        <v>2.8976000000000002</v>
      </c>
      <c r="D60" s="782">
        <v>2.8298999999999999</v>
      </c>
      <c r="E60" s="785">
        <v>5.2609300000000001</v>
      </c>
      <c r="F60" s="670">
        <f t="shared" si="0"/>
        <v>2.3923106823562801E-2</v>
      </c>
      <c r="G60" s="436"/>
      <c r="H60" s="745"/>
      <c r="I60" s="745"/>
      <c r="J60" s="436"/>
      <c r="K60" s="436"/>
    </row>
    <row r="61" spans="1:12" s="330" customFormat="1" ht="9" customHeight="1">
      <c r="A61" s="669"/>
      <c r="B61" s="621" t="s">
        <v>67</v>
      </c>
      <c r="C61" s="623">
        <v>3.3983699999999999</v>
      </c>
      <c r="D61" s="782">
        <v>3.3822000000000001</v>
      </c>
      <c r="E61" s="785">
        <v>6.0351100000000004</v>
      </c>
      <c r="F61" s="670">
        <f t="shared" si="0"/>
        <v>4.7809118325350397E-3</v>
      </c>
      <c r="G61" s="436"/>
      <c r="H61" s="745"/>
      <c r="I61" s="745"/>
      <c r="J61" s="436"/>
      <c r="K61" s="436"/>
    </row>
    <row r="62" spans="1:12" s="330" customFormat="1" ht="9" customHeight="1">
      <c r="A62" s="671" t="s">
        <v>717</v>
      </c>
      <c r="B62" s="507"/>
      <c r="C62" s="509">
        <v>14.4101</v>
      </c>
      <c r="D62" s="781">
        <v>50.067230000000002</v>
      </c>
      <c r="E62" s="784">
        <v>68.498909999999995</v>
      </c>
      <c r="F62" s="672">
        <f t="shared" si="0"/>
        <v>-0.71218499605430541</v>
      </c>
      <c r="G62" s="436"/>
      <c r="H62" s="745"/>
      <c r="I62" s="745"/>
      <c r="J62" s="436"/>
      <c r="K62" s="436"/>
    </row>
    <row r="63" spans="1:12" s="330" customFormat="1" ht="9" customHeight="1">
      <c r="A63" s="669" t="s">
        <v>88</v>
      </c>
      <c r="B63" s="621" t="s">
        <v>465</v>
      </c>
      <c r="C63" s="623">
        <v>66.92419000000001</v>
      </c>
      <c r="D63" s="782">
        <v>71.989579999999989</v>
      </c>
      <c r="E63" s="785">
        <v>77.121329999999986</v>
      </c>
      <c r="F63" s="670">
        <f t="shared" si="0"/>
        <v>-7.0362821952843491E-2</v>
      </c>
      <c r="G63" s="436"/>
      <c r="H63" s="745"/>
      <c r="I63" s="745"/>
      <c r="J63" s="436"/>
      <c r="K63" s="436"/>
    </row>
    <row r="64" spans="1:12" s="330" customFormat="1" ht="9" customHeight="1">
      <c r="A64" s="669"/>
      <c r="B64" s="621" t="s">
        <v>304</v>
      </c>
      <c r="C64" s="623">
        <v>15.21993</v>
      </c>
      <c r="D64" s="782">
        <v>25.274190000000001</v>
      </c>
      <c r="E64" s="785">
        <v>29.280889999999999</v>
      </c>
      <c r="F64" s="670">
        <f t="shared" si="0"/>
        <v>-0.39780740747774712</v>
      </c>
      <c r="G64" s="436"/>
      <c r="H64" s="745"/>
      <c r="I64" s="745"/>
      <c r="J64" s="436"/>
      <c r="K64" s="436"/>
    </row>
    <row r="65" spans="1:11" s="330" customFormat="1" ht="9" customHeight="1">
      <c r="A65" s="669"/>
      <c r="B65" s="621" t="s">
        <v>305</v>
      </c>
      <c r="C65" s="623">
        <v>251.62547999999998</v>
      </c>
      <c r="D65" s="782">
        <v>108.53150000000001</v>
      </c>
      <c r="E65" s="785">
        <v>143.52339000000001</v>
      </c>
      <c r="F65" s="670">
        <f t="shared" si="0"/>
        <v>1.3184557478704337</v>
      </c>
      <c r="G65" s="436"/>
      <c r="H65" s="745"/>
      <c r="I65" s="745"/>
      <c r="J65" s="436"/>
      <c r="K65" s="436"/>
    </row>
    <row r="66" spans="1:11" s="330" customFormat="1" ht="9" customHeight="1">
      <c r="A66" s="669"/>
      <c r="B66" s="621" t="s">
        <v>306</v>
      </c>
      <c r="C66" s="623">
        <v>0</v>
      </c>
      <c r="D66" s="782">
        <v>95.213340000000002</v>
      </c>
      <c r="E66" s="785">
        <v>129.2527</v>
      </c>
      <c r="F66" s="670">
        <f t="shared" si="0"/>
        <v>-1</v>
      </c>
      <c r="G66" s="436"/>
      <c r="H66" s="746"/>
      <c r="I66" s="745"/>
      <c r="J66" s="436"/>
      <c r="K66" s="436"/>
    </row>
    <row r="67" spans="1:11" s="330" customFormat="1" ht="9" customHeight="1">
      <c r="A67" s="669"/>
      <c r="B67" s="621" t="s">
        <v>307</v>
      </c>
      <c r="C67" s="623">
        <v>64.065490000000011</v>
      </c>
      <c r="D67" s="782">
        <v>67.028300000000002</v>
      </c>
      <c r="E67" s="785">
        <v>65.20911000000001</v>
      </c>
      <c r="F67" s="670">
        <f t="shared" si="0"/>
        <v>-4.4202374221037788E-2</v>
      </c>
      <c r="G67" s="436"/>
      <c r="H67" s="746"/>
      <c r="I67" s="745"/>
      <c r="J67" s="436"/>
      <c r="K67" s="436"/>
    </row>
    <row r="68" spans="1:11" s="330" customFormat="1" ht="9" customHeight="1">
      <c r="A68" s="669"/>
      <c r="B68" s="621" t="s">
        <v>308</v>
      </c>
      <c r="C68" s="623">
        <v>114.31028000000001</v>
      </c>
      <c r="D68" s="782">
        <v>0</v>
      </c>
      <c r="E68" s="785">
        <v>0</v>
      </c>
      <c r="F68" s="670" t="str">
        <f t="shared" si="0"/>
        <v/>
      </c>
      <c r="G68" s="445"/>
      <c r="H68" s="746"/>
      <c r="I68" s="745"/>
      <c r="J68" s="436"/>
      <c r="K68" s="436"/>
    </row>
    <row r="69" spans="1:11" s="330" customFormat="1" ht="9" customHeight="1">
      <c r="A69" s="669"/>
      <c r="B69" s="621" t="s">
        <v>309</v>
      </c>
      <c r="C69" s="623">
        <v>183.06052</v>
      </c>
      <c r="D69" s="782">
        <v>0</v>
      </c>
      <c r="E69" s="785">
        <v>0</v>
      </c>
      <c r="F69" s="670" t="str">
        <f t="shared" si="0"/>
        <v/>
      </c>
      <c r="G69" s="445"/>
      <c r="H69" s="746"/>
      <c r="I69" s="745"/>
      <c r="J69" s="436"/>
      <c r="K69" s="436"/>
    </row>
    <row r="70" spans="1:11" s="330" customFormat="1" ht="9" customHeight="1">
      <c r="A70" s="669"/>
      <c r="B70" s="621" t="s">
        <v>310</v>
      </c>
      <c r="C70" s="623">
        <v>456.57988999999998</v>
      </c>
      <c r="D70" s="782">
        <v>442.32992000000002</v>
      </c>
      <c r="E70" s="785">
        <v>206.59643</v>
      </c>
      <c r="F70" s="670">
        <f t="shared" si="0"/>
        <v>3.2215704513047561E-2</v>
      </c>
      <c r="G70" s="445"/>
      <c r="H70" s="746"/>
      <c r="I70" s="745"/>
      <c r="J70" s="436"/>
      <c r="K70" s="436"/>
    </row>
    <row r="71" spans="1:11" s="330" customFormat="1" ht="9" customHeight="1">
      <c r="A71" s="669"/>
      <c r="B71" s="621" t="s">
        <v>416</v>
      </c>
      <c r="C71" s="623">
        <v>0.38701000000000002</v>
      </c>
      <c r="D71" s="782">
        <v>0.52749999999999997</v>
      </c>
      <c r="E71" s="785">
        <v>0.64692000000000005</v>
      </c>
      <c r="F71" s="670">
        <f t="shared" ref="F71:F79" si="1">+IF(D71=0,"",C71/D71-1)</f>
        <v>-0.26633175355450234</v>
      </c>
      <c r="G71" s="445"/>
      <c r="H71" s="745"/>
      <c r="I71" s="745"/>
      <c r="J71" s="436"/>
      <c r="K71" s="436"/>
    </row>
    <row r="72" spans="1:11" s="330" customFormat="1" ht="9" customHeight="1">
      <c r="A72" s="671" t="s">
        <v>718</v>
      </c>
      <c r="B72" s="507"/>
      <c r="C72" s="509">
        <v>1152.1727899999998</v>
      </c>
      <c r="D72" s="781">
        <v>810.89433000000008</v>
      </c>
      <c r="E72" s="784">
        <v>651.6307700000001</v>
      </c>
      <c r="F72" s="672">
        <f t="shared" si="1"/>
        <v>0.42086674844550931</v>
      </c>
      <c r="G72" s="445"/>
      <c r="H72" s="745"/>
      <c r="I72" s="745"/>
      <c r="J72" s="436"/>
      <c r="K72" s="436"/>
    </row>
    <row r="73" spans="1:11" s="330" customFormat="1" ht="9" customHeight="1">
      <c r="A73" s="669" t="s">
        <v>96</v>
      </c>
      <c r="B73" s="621" t="s">
        <v>311</v>
      </c>
      <c r="C73" s="623">
        <v>0</v>
      </c>
      <c r="D73" s="782">
        <v>0</v>
      </c>
      <c r="E73" s="785">
        <v>0</v>
      </c>
      <c r="F73" s="670" t="str">
        <f t="shared" si="1"/>
        <v/>
      </c>
      <c r="G73" s="436"/>
      <c r="H73" s="745"/>
      <c r="I73" s="745"/>
      <c r="J73" s="436"/>
      <c r="K73" s="436"/>
    </row>
    <row r="74" spans="1:11" s="330" customFormat="1" ht="9" customHeight="1">
      <c r="A74" s="669"/>
      <c r="B74" s="621" t="s">
        <v>312</v>
      </c>
      <c r="C74" s="623">
        <v>90.948629999999994</v>
      </c>
      <c r="D74" s="782">
        <v>89.428550000000001</v>
      </c>
      <c r="E74" s="785">
        <v>0</v>
      </c>
      <c r="F74" s="670">
        <f t="shared" si="1"/>
        <v>1.6997703753443227E-2</v>
      </c>
      <c r="G74" s="436"/>
      <c r="H74" s="745"/>
      <c r="I74" s="745"/>
      <c r="J74" s="436"/>
      <c r="K74" s="436"/>
    </row>
    <row r="75" spans="1:11" s="330" customFormat="1" ht="9" customHeight="1">
      <c r="A75" s="669"/>
      <c r="B75" s="621" t="s">
        <v>313</v>
      </c>
      <c r="C75" s="623">
        <v>0</v>
      </c>
      <c r="D75" s="782">
        <v>0</v>
      </c>
      <c r="E75" s="785">
        <v>85.36421</v>
      </c>
      <c r="F75" s="670" t="str">
        <f t="shared" si="1"/>
        <v/>
      </c>
      <c r="G75" s="436"/>
      <c r="H75" s="745"/>
      <c r="I75" s="745"/>
      <c r="J75" s="436"/>
      <c r="K75" s="436"/>
    </row>
    <row r="76" spans="1:11" s="330" customFormat="1" ht="9" customHeight="1">
      <c r="A76" s="671" t="s">
        <v>719</v>
      </c>
      <c r="B76" s="507"/>
      <c r="C76" s="509">
        <v>90.948629999999994</v>
      </c>
      <c r="D76" s="781">
        <v>89.428550000000001</v>
      </c>
      <c r="E76" s="784">
        <v>85.36421</v>
      </c>
      <c r="F76" s="672">
        <f t="shared" si="1"/>
        <v>1.6997703753443227E-2</v>
      </c>
      <c r="G76" s="446"/>
      <c r="H76" s="745"/>
      <c r="I76" s="745"/>
      <c r="J76" s="436"/>
      <c r="K76" s="436"/>
    </row>
    <row r="77" spans="1:11" s="330" customFormat="1" ht="9" customHeight="1">
      <c r="A77" s="669" t="s">
        <v>98</v>
      </c>
      <c r="B77" s="621" t="s">
        <v>427</v>
      </c>
      <c r="C77" s="623">
        <v>0</v>
      </c>
      <c r="D77" s="782">
        <v>0</v>
      </c>
      <c r="E77" s="785">
        <v>0</v>
      </c>
      <c r="F77" s="670" t="str">
        <f t="shared" si="1"/>
        <v/>
      </c>
      <c r="G77" s="446"/>
      <c r="H77" s="274"/>
      <c r="I77" s="745"/>
      <c r="J77" s="436"/>
      <c r="K77" s="436"/>
    </row>
    <row r="78" spans="1:11" s="330" customFormat="1" ht="9" customHeight="1">
      <c r="A78" s="669"/>
      <c r="B78" s="621" t="s">
        <v>426</v>
      </c>
      <c r="C78" s="623">
        <v>62.164230000000003</v>
      </c>
      <c r="D78" s="782">
        <v>59.293509999999998</v>
      </c>
      <c r="E78" s="785">
        <v>117.34313</v>
      </c>
      <c r="F78" s="670">
        <f t="shared" si="1"/>
        <v>4.8415416796880661E-2</v>
      </c>
      <c r="G78" s="446"/>
      <c r="H78" s="274"/>
      <c r="I78" s="745"/>
      <c r="J78" s="436"/>
      <c r="K78" s="436"/>
    </row>
    <row r="79" spans="1:11" s="330" customFormat="1" ht="9" customHeight="1">
      <c r="A79" s="671" t="s">
        <v>720</v>
      </c>
      <c r="B79" s="507"/>
      <c r="C79" s="509">
        <v>62.164230000000003</v>
      </c>
      <c r="D79" s="781">
        <v>59.293509999999998</v>
      </c>
      <c r="E79" s="784">
        <v>117.34313</v>
      </c>
      <c r="F79" s="672">
        <f t="shared" si="1"/>
        <v>4.8415416796880661E-2</v>
      </c>
      <c r="H79" s="274"/>
      <c r="I79" s="745"/>
      <c r="J79" s="436"/>
      <c r="K79" s="436"/>
    </row>
    <row r="80" spans="1:11" s="330" customFormat="1" ht="10.5" customHeight="1"/>
    <row r="81" s="330" customFormat="1" ht="10.5" customHeight="1"/>
    <row r="82" s="330" customFormat="1" ht="10.5" customHeight="1"/>
    <row r="83" s="330" customFormat="1" ht="10.5" customHeight="1"/>
    <row r="84" s="330" customFormat="1" ht="10.5" customHeight="1"/>
    <row r="85" s="330" customFormat="1" ht="10.5" customHeight="1"/>
    <row r="86" s="330" customFormat="1" ht="10.5" customHeight="1"/>
    <row r="87" s="330" customFormat="1" ht="10.5" customHeight="1"/>
    <row r="88" s="330" customFormat="1" ht="10.5" customHeight="1"/>
    <row r="89" s="330" customFormat="1" ht="10.5" customHeight="1"/>
    <row r="90" s="330" customFormat="1" ht="10.5" customHeight="1"/>
    <row r="91" s="330" customFormat="1" ht="10.5" customHeight="1"/>
    <row r="92" s="330" customFormat="1" ht="10.5" customHeight="1"/>
    <row r="93" s="330" customFormat="1" ht="10.5" customHeight="1"/>
    <row r="94" s="330" customFormat="1" ht="10.5" customHeight="1"/>
    <row r="95" s="330" customFormat="1" ht="10.5" customHeight="1"/>
    <row r="96" s="330" customFormat="1" ht="10.5" customHeight="1"/>
    <row r="97" s="330" customFormat="1" ht="10.5" customHeight="1"/>
    <row r="98" s="330" customFormat="1" ht="10.5" customHeight="1"/>
    <row r="99" s="330" customFormat="1" ht="10.5" customHeight="1"/>
    <row r="100" s="330" customFormat="1" ht="10.5" customHeight="1"/>
    <row r="101" s="330" customFormat="1" ht="10.5" customHeight="1"/>
    <row r="102" s="330" customFormat="1" ht="10.5" customHeight="1"/>
    <row r="103" s="330" customFormat="1" ht="10.5" customHeight="1"/>
    <row r="104" s="330" customFormat="1" ht="10.5" customHeight="1"/>
    <row r="105" s="330" customFormat="1" ht="10.5" customHeight="1"/>
    <row r="106" s="330" customFormat="1" ht="10.5" customHeight="1"/>
    <row r="107" s="330" customFormat="1" ht="10.5" customHeight="1"/>
    <row r="108" s="330" customFormat="1" ht="10.5" customHeight="1"/>
    <row r="109" s="330" customFormat="1" ht="10.5" customHeight="1"/>
    <row r="110" s="330" customFormat="1" ht="10.5" customHeight="1"/>
    <row r="111" s="330" customFormat="1" ht="10.5" customHeight="1"/>
    <row r="112" s="330" customFormat="1" ht="10.5" customHeight="1"/>
    <row r="113" s="330" customFormat="1" ht="10.5" customHeight="1"/>
    <row r="114" s="330" customFormat="1" ht="10.5" customHeight="1"/>
    <row r="115" s="330" customFormat="1" ht="10.5" customHeight="1"/>
    <row r="116" s="330" customFormat="1" ht="10.5" customHeight="1"/>
    <row r="117" s="330" customFormat="1" ht="10.5" customHeight="1"/>
    <row r="118" s="330" customFormat="1" ht="10.5" customHeight="1"/>
    <row r="119" s="330" customFormat="1" ht="10.5" customHeight="1"/>
    <row r="120" s="330" customFormat="1" ht="10.5" customHeight="1"/>
    <row r="121" s="330" customFormat="1" ht="10.5" customHeight="1"/>
    <row r="122" s="330" customFormat="1" ht="10.5" customHeight="1"/>
    <row r="123" s="330" customFormat="1" ht="10.5" customHeight="1"/>
    <row r="124" s="330" customFormat="1" ht="10.5" customHeight="1"/>
    <row r="125" s="330" customFormat="1" ht="10.5" customHeight="1"/>
    <row r="126" s="330" customFormat="1" ht="10.5" customHeight="1"/>
    <row r="127" s="330" customFormat="1" ht="10.5" customHeight="1"/>
    <row r="128" s="330" customFormat="1" ht="10.5" customHeight="1"/>
    <row r="129" s="330" customFormat="1" ht="10.5" customHeight="1"/>
    <row r="130" s="330" customFormat="1" ht="10.5" customHeight="1"/>
    <row r="131" s="330" customFormat="1" ht="10.5" customHeight="1"/>
    <row r="132" s="330" customFormat="1" ht="10.5" customHeight="1"/>
    <row r="133" s="330" customFormat="1" ht="10.5" customHeight="1"/>
    <row r="134" s="330" customFormat="1" ht="10.5" customHeight="1"/>
    <row r="135" s="330" customFormat="1" ht="10.5" customHeight="1"/>
    <row r="136" s="330" customFormat="1" ht="10.5" customHeight="1"/>
    <row r="137" s="330" customFormat="1" ht="10.5" customHeight="1"/>
    <row r="138" s="330" customFormat="1" ht="10.5" customHeight="1"/>
    <row r="139" s="330" customFormat="1" ht="10.5" customHeight="1"/>
    <row r="140" s="330" customFormat="1" ht="10.5" customHeight="1"/>
    <row r="141" s="330" customFormat="1" ht="10.5" customHeight="1"/>
    <row r="142" s="330" customFormat="1" ht="10.5" customHeight="1"/>
    <row r="143" s="330" customFormat="1" ht="10.5" customHeight="1"/>
    <row r="144" s="330" customFormat="1" ht="10.5" customHeight="1"/>
    <row r="145" s="330" customFormat="1" ht="10.5" customHeight="1"/>
    <row r="146" s="330" customFormat="1" ht="10.5" customHeight="1"/>
    <row r="147" s="330" customFormat="1" ht="10.5" customHeight="1"/>
    <row r="148" s="330" customFormat="1" ht="10.5" customHeight="1"/>
    <row r="149" s="330" customFormat="1" ht="10.5" customHeight="1"/>
    <row r="150" s="330" customFormat="1" ht="10.5" customHeight="1"/>
    <row r="151" s="330" customFormat="1" ht="10.5" customHeight="1"/>
    <row r="152" s="330" customFormat="1" ht="10.5" customHeight="1"/>
    <row r="153" s="330" customFormat="1" ht="10.5" customHeight="1"/>
    <row r="154" s="330" customFormat="1" ht="10.5" customHeight="1"/>
    <row r="155" s="330" customFormat="1" ht="10.5" customHeight="1"/>
    <row r="156" s="330" customFormat="1" ht="10.5" customHeight="1"/>
    <row r="157" s="330" customFormat="1" ht="10.5" customHeight="1"/>
    <row r="158" s="330" customFormat="1" ht="10.5" customHeight="1"/>
    <row r="159" s="330" customFormat="1" ht="10.5" customHeight="1"/>
    <row r="160" s="330" customFormat="1" ht="10.5" customHeight="1"/>
    <row r="161" s="330" customFormat="1" ht="10.5" customHeight="1"/>
    <row r="162" s="330" customFormat="1" ht="10.5" customHeight="1"/>
    <row r="163" s="330" customFormat="1" ht="10.5" customHeight="1"/>
    <row r="164" s="330" customFormat="1" ht="10.5" customHeight="1"/>
    <row r="165" s="330" customFormat="1" ht="10.5" customHeight="1"/>
    <row r="166" s="330" customFormat="1" ht="10.5" customHeight="1"/>
    <row r="167" s="330" customFormat="1" ht="10.5" customHeight="1"/>
    <row r="168" s="330" customFormat="1" ht="10.5" customHeight="1"/>
    <row r="169" s="330" customFormat="1" ht="7.8"/>
    <row r="170" s="330" customFormat="1" ht="7.8"/>
    <row r="171" s="330" customFormat="1" ht="7.8"/>
    <row r="172" s="330" customFormat="1" ht="7.8"/>
    <row r="173" s="330" customFormat="1" ht="7.8"/>
    <row r="174" s="330" customFormat="1" ht="7.8"/>
    <row r="175" s="330" customFormat="1" ht="7.8"/>
    <row r="176" s="330" customFormat="1" ht="7.8"/>
    <row r="177" s="330" customFormat="1" ht="7.8"/>
    <row r="178" s="330" customFormat="1" ht="7.8"/>
    <row r="179" s="330" customFormat="1" ht="7.8"/>
    <row r="180" s="330" customFormat="1" ht="7.8"/>
    <row r="181" s="330" customFormat="1" ht="7.8"/>
    <row r="182" s="330" customFormat="1" ht="7.8"/>
    <row r="183" s="330" customFormat="1" ht="7.8"/>
    <row r="184" s="330" customFormat="1" ht="7.8"/>
    <row r="185" s="330" customFormat="1" ht="7.8"/>
    <row r="186" s="330" customFormat="1" ht="7.8"/>
    <row r="187" s="330" customFormat="1" ht="7.8"/>
    <row r="188" s="330" customFormat="1" ht="7.8"/>
    <row r="189" s="330" customFormat="1" ht="7.8"/>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Mensual-Noviembre 2020
INFSGI-MES-11-2020
14/12/2020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3"/>
  <sheetViews>
    <sheetView showGridLines="0" view="pageBreakPreview" zoomScale="115" zoomScaleNormal="100" zoomScaleSheetLayoutView="115" zoomScalePageLayoutView="160" workbookViewId="0">
      <selection activeCell="T44" sqref="T44"/>
    </sheetView>
  </sheetViews>
  <sheetFormatPr baseColWidth="10" defaultColWidth="9.28515625" defaultRowHeight="9.6"/>
  <cols>
    <col min="1" max="1" width="28.7109375" style="274" customWidth="1"/>
    <col min="2" max="2" width="22.140625" style="274" customWidth="1"/>
    <col min="3" max="4" width="17.7109375" style="274" customWidth="1"/>
    <col min="5" max="5" width="15.140625" style="274" customWidth="1"/>
    <col min="6" max="6" width="13.28515625" style="274" customWidth="1"/>
    <col min="7" max="7" width="6.28515625" style="274" customWidth="1"/>
    <col min="8" max="16384" width="9.28515625" style="274"/>
  </cols>
  <sheetData>
    <row r="1" spans="1:11" s="330" customFormat="1" ht="11.25" customHeight="1">
      <c r="A1" s="998" t="s">
        <v>250</v>
      </c>
      <c r="B1" s="1000" t="s">
        <v>54</v>
      </c>
      <c r="C1" s="1000" t="s">
        <v>354</v>
      </c>
      <c r="D1" s="1000"/>
      <c r="E1" s="1000"/>
      <c r="F1" s="1002"/>
      <c r="G1" s="434"/>
    </row>
    <row r="2" spans="1:11" s="330" customFormat="1" ht="11.25" customHeight="1">
      <c r="A2" s="992"/>
      <c r="B2" s="995"/>
      <c r="C2" s="495" t="str">
        <f>UPPER('1. Resumen'!Q4)&amp;" "&amp;'1. Resumen'!Q5</f>
        <v>NOVIEMBRE 2020</v>
      </c>
      <c r="D2" s="496" t="str">
        <f>UPPER('1. Resumen'!Q4)&amp;" "&amp;'1. Resumen'!Q5-1</f>
        <v>NOVIEMBRE 2019</v>
      </c>
      <c r="E2" s="497" t="str">
        <f>UPPER('1. Resumen'!Q4)&amp;" "&amp;'1. Resumen'!Q5</f>
        <v>NOVIEMBRE 2020</v>
      </c>
      <c r="F2" s="639" t="s">
        <v>479</v>
      </c>
      <c r="G2" s="435"/>
      <c r="H2" s="434"/>
    </row>
    <row r="3" spans="1:11" s="330" customFormat="1" ht="11.25" customHeight="1">
      <c r="A3" s="992"/>
      <c r="B3" s="995"/>
      <c r="C3" s="498">
        <f>'21. ANEXOII-1'!C4</f>
        <v>44163.854166666664</v>
      </c>
      <c r="D3" s="498">
        <f>'21. ANEXOII-1'!D4</f>
        <v>43790.833333333336</v>
      </c>
      <c r="E3" s="498">
        <f>'21. ANEXOII-1'!E4</f>
        <v>43886.8125</v>
      </c>
      <c r="F3" s="640" t="s">
        <v>351</v>
      </c>
      <c r="G3" s="436"/>
      <c r="H3" s="434"/>
    </row>
    <row r="4" spans="1:11" s="330" customFormat="1" ht="9" customHeight="1">
      <c r="A4" s="999"/>
      <c r="B4" s="1001"/>
      <c r="C4" s="499">
        <f>+'8. Max Potencia'!D9</f>
        <v>44163.854166666664</v>
      </c>
      <c r="D4" s="499">
        <f>+'8. Max Potencia'!E9</f>
        <v>43790.833333333336</v>
      </c>
      <c r="E4" s="499">
        <f>+'21. ANEXOII-1'!E5</f>
        <v>43886.8125</v>
      </c>
      <c r="F4" s="641" t="s">
        <v>352</v>
      </c>
      <c r="G4" s="436"/>
      <c r="H4" s="438"/>
    </row>
    <row r="5" spans="1:11" s="330" customFormat="1" ht="9" customHeight="1">
      <c r="A5" s="669" t="s">
        <v>97</v>
      </c>
      <c r="B5" s="621" t="s">
        <v>77</v>
      </c>
      <c r="C5" s="623">
        <v>78.577200000000005</v>
      </c>
      <c r="D5" s="623">
        <v>8.94055</v>
      </c>
      <c r="E5" s="785">
        <v>55.955019999999998</v>
      </c>
      <c r="F5" s="670">
        <f t="shared" ref="F5:F72" si="0">+IF(D5=0,"",C5/D5-1)</f>
        <v>7.7888552717673978</v>
      </c>
      <c r="J5" s="525"/>
      <c r="K5" s="525"/>
    </row>
    <row r="6" spans="1:11" s="330" customFormat="1" ht="9" customHeight="1">
      <c r="A6" s="669"/>
      <c r="B6" s="621" t="s">
        <v>79</v>
      </c>
      <c r="C6" s="623">
        <v>13.274179999999999</v>
      </c>
      <c r="D6" s="623">
        <v>12.07489</v>
      </c>
      <c r="E6" s="785">
        <v>8.1275399999999998</v>
      </c>
      <c r="F6" s="670">
        <f t="shared" si="0"/>
        <v>9.932098760319974E-2</v>
      </c>
      <c r="J6" s="525"/>
      <c r="K6" s="525"/>
    </row>
    <row r="7" spans="1:11" s="330" customFormat="1" ht="9" customHeight="1">
      <c r="A7" s="671" t="s">
        <v>721</v>
      </c>
      <c r="B7" s="507"/>
      <c r="C7" s="509">
        <v>91.851380000000006</v>
      </c>
      <c r="D7" s="509">
        <v>21.015439999999998</v>
      </c>
      <c r="E7" s="784">
        <v>64.082560000000001</v>
      </c>
      <c r="F7" s="672">
        <f t="shared" si="0"/>
        <v>3.3706617610671019</v>
      </c>
      <c r="J7" s="525"/>
      <c r="K7" s="525"/>
    </row>
    <row r="8" spans="1:11" s="330" customFormat="1" ht="9" customHeight="1">
      <c r="A8" s="669" t="s">
        <v>87</v>
      </c>
      <c r="B8" s="621" t="s">
        <v>314</v>
      </c>
      <c r="C8" s="623">
        <v>56.191180000000003</v>
      </c>
      <c r="D8" s="623">
        <v>34.645470000000003</v>
      </c>
      <c r="E8" s="785">
        <v>110.29473</v>
      </c>
      <c r="F8" s="670">
        <f t="shared" si="0"/>
        <v>0.62189111592366908</v>
      </c>
      <c r="K8" s="525"/>
    </row>
    <row r="9" spans="1:11" s="330" customFormat="1" ht="9" customHeight="1">
      <c r="A9" s="669"/>
      <c r="B9" s="621" t="s">
        <v>315</v>
      </c>
      <c r="C9" s="623">
        <v>32.380650000000003</v>
      </c>
      <c r="D9" s="623">
        <v>100.02756000000001</v>
      </c>
      <c r="E9" s="785">
        <v>130.75458</v>
      </c>
      <c r="F9" s="670">
        <f t="shared" si="0"/>
        <v>-0.67628271648333715</v>
      </c>
      <c r="K9" s="525"/>
    </row>
    <row r="10" spans="1:11" s="330" customFormat="1" ht="9" customHeight="1">
      <c r="A10" s="669"/>
      <c r="B10" s="621" t="s">
        <v>316</v>
      </c>
      <c r="C10" s="623">
        <v>751.17652999999996</v>
      </c>
      <c r="D10" s="623">
        <v>721.52495999999996</v>
      </c>
      <c r="E10" s="785">
        <v>723.90604000000008</v>
      </c>
      <c r="F10" s="670">
        <f t="shared" si="0"/>
        <v>4.1095695428194245E-2</v>
      </c>
      <c r="K10" s="525"/>
    </row>
    <row r="11" spans="1:11" s="330" customFormat="1" ht="9" customHeight="1">
      <c r="A11" s="669"/>
      <c r="B11" s="621" t="s">
        <v>317</v>
      </c>
      <c r="C11" s="623">
        <v>102.95862</v>
      </c>
      <c r="D11" s="623">
        <v>102.48719</v>
      </c>
      <c r="E11" s="785">
        <v>0</v>
      </c>
      <c r="F11" s="670">
        <f t="shared" si="0"/>
        <v>4.5998919474716793E-3</v>
      </c>
      <c r="J11" s="525"/>
      <c r="K11" s="525"/>
    </row>
    <row r="12" spans="1:11" s="330" customFormat="1" ht="9" customHeight="1">
      <c r="A12" s="669"/>
      <c r="B12" s="621" t="s">
        <v>318</v>
      </c>
      <c r="C12" s="623">
        <v>0</v>
      </c>
      <c r="D12" s="623">
        <v>0</v>
      </c>
      <c r="E12" s="785">
        <v>0</v>
      </c>
      <c r="F12" s="670" t="str">
        <f t="shared" si="0"/>
        <v/>
      </c>
      <c r="J12" s="525"/>
      <c r="K12" s="525"/>
    </row>
    <row r="13" spans="1:11" s="330" customFormat="1" ht="9" customHeight="1">
      <c r="A13" s="669"/>
      <c r="B13" s="621" t="s">
        <v>319</v>
      </c>
      <c r="C13" s="623">
        <v>0</v>
      </c>
      <c r="D13" s="623">
        <v>0</v>
      </c>
      <c r="E13" s="785">
        <v>0</v>
      </c>
      <c r="F13" s="670" t="str">
        <f t="shared" si="0"/>
        <v/>
      </c>
      <c r="J13" s="525"/>
      <c r="K13" s="525"/>
    </row>
    <row r="14" spans="1:11" s="330" customFormat="1" ht="9" customHeight="1">
      <c r="A14" s="669"/>
      <c r="B14" s="621" t="s">
        <v>320</v>
      </c>
      <c r="C14" s="623">
        <v>0</v>
      </c>
      <c r="D14" s="623">
        <v>0</v>
      </c>
      <c r="E14" s="785">
        <v>0</v>
      </c>
      <c r="F14" s="670" t="str">
        <f t="shared" si="0"/>
        <v/>
      </c>
      <c r="J14" s="525"/>
      <c r="K14" s="525"/>
    </row>
    <row r="15" spans="1:11" s="330" customFormat="1" ht="9" customHeight="1">
      <c r="A15" s="669"/>
      <c r="B15" s="621" t="s">
        <v>428</v>
      </c>
      <c r="C15" s="623">
        <v>0</v>
      </c>
      <c r="D15" s="623">
        <v>0</v>
      </c>
      <c r="E15" s="785">
        <v>0</v>
      </c>
      <c r="F15" s="670" t="str">
        <f t="shared" si="0"/>
        <v/>
      </c>
      <c r="J15" s="525"/>
      <c r="K15" s="525"/>
    </row>
    <row r="16" spans="1:11" s="330" customFormat="1" ht="9" customHeight="1">
      <c r="A16" s="671" t="s">
        <v>722</v>
      </c>
      <c r="B16" s="507"/>
      <c r="C16" s="509">
        <v>942.70697999999993</v>
      </c>
      <c r="D16" s="509">
        <v>958.68517999999995</v>
      </c>
      <c r="E16" s="784">
        <v>964.95535000000007</v>
      </c>
      <c r="F16" s="672">
        <f t="shared" si="0"/>
        <v>-1.6666785231831849E-2</v>
      </c>
      <c r="J16" s="525"/>
      <c r="K16" s="525"/>
    </row>
    <row r="17" spans="1:11" s="330" customFormat="1" ht="9" customHeight="1">
      <c r="A17" s="669" t="s">
        <v>239</v>
      </c>
      <c r="B17" s="621" t="s">
        <v>321</v>
      </c>
      <c r="C17" s="623">
        <v>553.77355999999997</v>
      </c>
      <c r="D17" s="623">
        <v>271.5471</v>
      </c>
      <c r="E17" s="785">
        <v>269.12878000000001</v>
      </c>
      <c r="F17" s="670">
        <f t="shared" si="0"/>
        <v>1.0393278366810028</v>
      </c>
      <c r="J17" s="525"/>
      <c r="K17" s="525"/>
    </row>
    <row r="18" spans="1:11" s="330" customFormat="1" ht="9" customHeight="1">
      <c r="A18" s="671" t="s">
        <v>723</v>
      </c>
      <c r="B18" s="507"/>
      <c r="C18" s="509">
        <v>553.77355999999997</v>
      </c>
      <c r="D18" s="509">
        <v>271.5471</v>
      </c>
      <c r="E18" s="784">
        <v>269.12878000000001</v>
      </c>
      <c r="F18" s="672">
        <f t="shared" si="0"/>
        <v>1.0393278366810028</v>
      </c>
      <c r="J18" s="525"/>
      <c r="K18" s="525"/>
    </row>
    <row r="19" spans="1:11" s="330" customFormat="1" ht="9" customHeight="1">
      <c r="A19" s="669" t="s">
        <v>458</v>
      </c>
      <c r="B19" s="621" t="s">
        <v>463</v>
      </c>
      <c r="C19" s="623">
        <v>9.4857700000000005</v>
      </c>
      <c r="D19" s="623">
        <v>0</v>
      </c>
      <c r="E19" s="785">
        <v>8.2661899999999999</v>
      </c>
      <c r="F19" s="670" t="str">
        <f t="shared" si="0"/>
        <v/>
      </c>
      <c r="J19" s="525"/>
      <c r="K19" s="525"/>
    </row>
    <row r="20" spans="1:11" s="330" customFormat="1" ht="9" customHeight="1">
      <c r="A20" s="669"/>
      <c r="B20" s="621" t="s">
        <v>459</v>
      </c>
      <c r="C20" s="623">
        <v>3.7079399999999998</v>
      </c>
      <c r="D20" s="623">
        <v>5.4458000000000002</v>
      </c>
      <c r="E20" s="785">
        <v>0</v>
      </c>
      <c r="F20" s="670"/>
      <c r="J20" s="525"/>
      <c r="K20" s="525"/>
    </row>
    <row r="21" spans="1:11" s="330" customFormat="1" ht="9" customHeight="1">
      <c r="A21" s="671" t="s">
        <v>724</v>
      </c>
      <c r="B21" s="507"/>
      <c r="C21" s="509">
        <v>13.193709999999999</v>
      </c>
      <c r="D21" s="509">
        <v>5.4458000000000002</v>
      </c>
      <c r="E21" s="784">
        <v>8.2661899999999999</v>
      </c>
      <c r="F21" s="672"/>
      <c r="J21" s="525"/>
      <c r="K21" s="525"/>
    </row>
    <row r="22" spans="1:11" s="330" customFormat="1" ht="9" customHeight="1">
      <c r="A22" s="669" t="s">
        <v>108</v>
      </c>
      <c r="B22" s="621" t="s">
        <v>66</v>
      </c>
      <c r="C22" s="623">
        <v>6.1520899999999994</v>
      </c>
      <c r="D22" s="623">
        <v>8.5448000000000004</v>
      </c>
      <c r="E22" s="785">
        <v>0</v>
      </c>
      <c r="F22" s="670"/>
      <c r="J22" s="525"/>
      <c r="K22" s="525"/>
    </row>
    <row r="23" spans="1:11" s="330" customFormat="1" ht="9" customHeight="1">
      <c r="A23" s="669"/>
      <c r="B23" s="621" t="s">
        <v>415</v>
      </c>
      <c r="C23" s="623">
        <v>4.9925499999999996</v>
      </c>
      <c r="D23" s="623">
        <v>10.062950000000001</v>
      </c>
      <c r="E23" s="785">
        <v>20.355240000000002</v>
      </c>
      <c r="F23" s="670">
        <f t="shared" si="0"/>
        <v>-0.50386814999577667</v>
      </c>
      <c r="J23" s="525"/>
      <c r="K23" s="525"/>
    </row>
    <row r="24" spans="1:11" s="330" customFormat="1" ht="9" customHeight="1">
      <c r="A24" s="669"/>
      <c r="B24" s="621" t="s">
        <v>413</v>
      </c>
      <c r="C24" s="623">
        <v>6.3924700000000003</v>
      </c>
      <c r="D24" s="623">
        <v>20.16958</v>
      </c>
      <c r="E24" s="785">
        <v>20.30152</v>
      </c>
      <c r="F24" s="670">
        <f t="shared" si="0"/>
        <v>-0.68306380202264994</v>
      </c>
      <c r="J24" s="525"/>
      <c r="K24" s="525"/>
    </row>
    <row r="25" spans="1:11" s="330" customFormat="1" ht="9" customHeight="1">
      <c r="A25" s="669"/>
      <c r="B25" s="621" t="s">
        <v>414</v>
      </c>
      <c r="C25" s="623">
        <v>6.6547099999999997</v>
      </c>
      <c r="D25" s="623">
        <v>20.168059999999997</v>
      </c>
      <c r="E25" s="785">
        <v>19.837339999999998</v>
      </c>
      <c r="F25" s="670">
        <f t="shared" si="0"/>
        <v>-0.67003717759665526</v>
      </c>
      <c r="J25" s="525"/>
      <c r="K25" s="525"/>
    </row>
    <row r="26" spans="1:11" s="330" customFormat="1" ht="9" customHeight="1">
      <c r="A26" s="671" t="s">
        <v>725</v>
      </c>
      <c r="B26" s="507"/>
      <c r="C26" s="509">
        <v>24.19182</v>
      </c>
      <c r="D26" s="509">
        <v>58.945390000000003</v>
      </c>
      <c r="E26" s="784">
        <v>60.494100000000003</v>
      </c>
      <c r="F26" s="672">
        <f t="shared" si="0"/>
        <v>-0.58958927916161041</v>
      </c>
      <c r="J26" s="525"/>
      <c r="K26" s="525"/>
    </row>
    <row r="27" spans="1:11" s="330" customFormat="1" ht="9" customHeight="1">
      <c r="A27" s="669" t="s">
        <v>111</v>
      </c>
      <c r="B27" s="621" t="s">
        <v>233</v>
      </c>
      <c r="C27" s="623">
        <v>0</v>
      </c>
      <c r="D27" s="623">
        <v>0</v>
      </c>
      <c r="E27" s="785">
        <v>0</v>
      </c>
      <c r="F27" s="670" t="str">
        <f t="shared" si="0"/>
        <v/>
      </c>
      <c r="J27" s="525"/>
      <c r="K27" s="525"/>
    </row>
    <row r="28" spans="1:11" s="330" customFormat="1" ht="9" customHeight="1">
      <c r="A28" s="671" t="s">
        <v>726</v>
      </c>
      <c r="B28" s="507"/>
      <c r="C28" s="509">
        <v>0</v>
      </c>
      <c r="D28" s="509">
        <v>0</v>
      </c>
      <c r="E28" s="784">
        <v>0</v>
      </c>
      <c r="F28" s="672" t="str">
        <f t="shared" si="0"/>
        <v/>
      </c>
      <c r="J28" s="525"/>
      <c r="K28" s="525"/>
    </row>
    <row r="29" spans="1:11" s="330" customFormat="1" ht="9" customHeight="1">
      <c r="A29" s="669" t="s">
        <v>112</v>
      </c>
      <c r="B29" s="621" t="s">
        <v>82</v>
      </c>
      <c r="C29" s="623">
        <v>0</v>
      </c>
      <c r="D29" s="623">
        <v>0</v>
      </c>
      <c r="E29" s="785">
        <v>0</v>
      </c>
      <c r="F29" s="670" t="str">
        <f t="shared" si="0"/>
        <v/>
      </c>
      <c r="J29" s="525"/>
      <c r="K29" s="525"/>
    </row>
    <row r="30" spans="1:11" s="330" customFormat="1" ht="9" customHeight="1">
      <c r="A30" s="671" t="s">
        <v>727</v>
      </c>
      <c r="B30" s="507"/>
      <c r="C30" s="509">
        <v>0</v>
      </c>
      <c r="D30" s="509">
        <v>0</v>
      </c>
      <c r="E30" s="784">
        <v>0</v>
      </c>
      <c r="F30" s="672" t="str">
        <f t="shared" si="0"/>
        <v/>
      </c>
      <c r="J30" s="525"/>
      <c r="K30" s="525"/>
    </row>
    <row r="31" spans="1:11" s="330" customFormat="1" ht="9" customHeight="1">
      <c r="A31" s="669" t="s">
        <v>116</v>
      </c>
      <c r="B31" s="621" t="s">
        <v>74</v>
      </c>
      <c r="C31" s="623">
        <v>3.2</v>
      </c>
      <c r="D31" s="623">
        <v>0</v>
      </c>
      <c r="E31" s="785">
        <v>2</v>
      </c>
      <c r="F31" s="670" t="str">
        <f t="shared" si="0"/>
        <v/>
      </c>
      <c r="J31" s="525"/>
      <c r="K31" s="525"/>
    </row>
    <row r="32" spans="1:11" s="330" customFormat="1" ht="9" customHeight="1">
      <c r="A32" s="671" t="s">
        <v>728</v>
      </c>
      <c r="B32" s="507"/>
      <c r="C32" s="509">
        <v>3.2</v>
      </c>
      <c r="D32" s="509">
        <v>0</v>
      </c>
      <c r="E32" s="784">
        <v>2</v>
      </c>
      <c r="F32" s="672" t="str">
        <f t="shared" si="0"/>
        <v/>
      </c>
      <c r="J32" s="525"/>
      <c r="K32" s="525"/>
    </row>
    <row r="33" spans="1:11" s="330" customFormat="1" ht="9" customHeight="1">
      <c r="A33" s="669" t="s">
        <v>103</v>
      </c>
      <c r="B33" s="621" t="s">
        <v>322</v>
      </c>
      <c r="C33" s="623">
        <v>15.13064</v>
      </c>
      <c r="D33" s="623">
        <v>19.254950000000001</v>
      </c>
      <c r="E33" s="785">
        <v>19.528590000000001</v>
      </c>
      <c r="F33" s="670">
        <f t="shared" si="0"/>
        <v>-0.21419479146920672</v>
      </c>
      <c r="J33" s="525"/>
      <c r="K33" s="525"/>
    </row>
    <row r="34" spans="1:11" s="330" customFormat="1" ht="9" customHeight="1">
      <c r="A34" s="671" t="s">
        <v>729</v>
      </c>
      <c r="B34" s="507"/>
      <c r="C34" s="509">
        <v>15.13064</v>
      </c>
      <c r="D34" s="509">
        <v>19.254950000000001</v>
      </c>
      <c r="E34" s="784">
        <v>19.528590000000001</v>
      </c>
      <c r="F34" s="672">
        <f t="shared" si="0"/>
        <v>-0.21419479146920672</v>
      </c>
      <c r="J34" s="525"/>
      <c r="K34" s="525"/>
    </row>
    <row r="35" spans="1:11" s="330" customFormat="1" ht="18.75" customHeight="1">
      <c r="A35" s="673" t="s">
        <v>425</v>
      </c>
      <c r="B35" s="631" t="s">
        <v>323</v>
      </c>
      <c r="C35" s="787">
        <v>15.652560000000001</v>
      </c>
      <c r="D35" s="787">
        <v>19.05706</v>
      </c>
      <c r="E35" s="789">
        <v>19.038879999999999</v>
      </c>
      <c r="F35" s="790">
        <f t="shared" si="0"/>
        <v>-0.1786477032658762</v>
      </c>
      <c r="J35" s="525"/>
      <c r="K35" s="525"/>
    </row>
    <row r="36" spans="1:11" s="330" customFormat="1" ht="9" customHeight="1">
      <c r="A36" s="671" t="s">
        <v>730</v>
      </c>
      <c r="B36" s="507"/>
      <c r="C36" s="509">
        <v>15.652560000000001</v>
      </c>
      <c r="D36" s="509">
        <v>19.05706</v>
      </c>
      <c r="E36" s="784">
        <v>19.038879999999999</v>
      </c>
      <c r="F36" s="672">
        <f t="shared" si="0"/>
        <v>-0.1786477032658762</v>
      </c>
      <c r="J36" s="525"/>
      <c r="K36" s="525"/>
    </row>
    <row r="37" spans="1:11" s="330" customFormat="1" ht="9" customHeight="1">
      <c r="A37" s="669" t="s">
        <v>240</v>
      </c>
      <c r="B37" s="621" t="s">
        <v>59</v>
      </c>
      <c r="C37" s="623">
        <v>14.41319</v>
      </c>
      <c r="D37" s="623">
        <v>9.3701100000000004</v>
      </c>
      <c r="E37" s="785">
        <v>19.104150000000001</v>
      </c>
      <c r="F37" s="670">
        <f t="shared" si="0"/>
        <v>0.5382092632850628</v>
      </c>
      <c r="J37" s="525"/>
      <c r="K37" s="525"/>
    </row>
    <row r="38" spans="1:11" s="330" customFormat="1" ht="9" customHeight="1">
      <c r="A38" s="671" t="s">
        <v>731</v>
      </c>
      <c r="B38" s="507"/>
      <c r="C38" s="509">
        <v>14.41319</v>
      </c>
      <c r="D38" s="509">
        <v>9.3701100000000004</v>
      </c>
      <c r="E38" s="784">
        <v>19.104150000000001</v>
      </c>
      <c r="F38" s="672">
        <f t="shared" si="0"/>
        <v>0.5382092632850628</v>
      </c>
      <c r="J38" s="525"/>
      <c r="K38" s="525"/>
    </row>
    <row r="39" spans="1:11" s="330" customFormat="1" ht="9" customHeight="1">
      <c r="A39" s="669" t="s">
        <v>412</v>
      </c>
      <c r="B39" s="621" t="s">
        <v>466</v>
      </c>
      <c r="C39" s="623">
        <v>0</v>
      </c>
      <c r="D39" s="623">
        <v>0.56000000000000005</v>
      </c>
      <c r="E39" s="785">
        <v>0.72899999999999998</v>
      </c>
      <c r="F39" s="670">
        <f t="shared" si="0"/>
        <v>-1</v>
      </c>
      <c r="J39" s="525"/>
      <c r="K39" s="525"/>
    </row>
    <row r="40" spans="1:11" s="330" customFormat="1" ht="9" customHeight="1">
      <c r="A40" s="671" t="s">
        <v>732</v>
      </c>
      <c r="B40" s="507"/>
      <c r="C40" s="509">
        <v>0</v>
      </c>
      <c r="D40" s="509">
        <v>0.56000000000000005</v>
      </c>
      <c r="E40" s="784">
        <v>0.72899999999999998</v>
      </c>
      <c r="F40" s="672">
        <f t="shared" si="0"/>
        <v>-1</v>
      </c>
      <c r="J40" s="525"/>
      <c r="K40" s="525"/>
    </row>
    <row r="41" spans="1:11" s="330" customFormat="1" ht="9" customHeight="1">
      <c r="A41" s="669" t="s">
        <v>430</v>
      </c>
      <c r="B41" s="621" t="s">
        <v>434</v>
      </c>
      <c r="C41" s="623">
        <v>81.578920000000011</v>
      </c>
      <c r="D41" s="623">
        <v>90.351039999999998</v>
      </c>
      <c r="E41" s="785">
        <v>90.813810000000004</v>
      </c>
      <c r="F41" s="670">
        <f t="shared" si="0"/>
        <v>-9.708930854586717E-2</v>
      </c>
      <c r="J41" s="525"/>
      <c r="K41" s="525"/>
    </row>
    <row r="42" spans="1:11" s="330" customFormat="1" ht="9" customHeight="1">
      <c r="A42" s="671" t="s">
        <v>733</v>
      </c>
      <c r="B42" s="507"/>
      <c r="C42" s="509">
        <v>81.578920000000011</v>
      </c>
      <c r="D42" s="509">
        <v>90.351039999999998</v>
      </c>
      <c r="E42" s="784">
        <v>90.813810000000004</v>
      </c>
      <c r="F42" s="672">
        <f t="shared" si="0"/>
        <v>-9.708930854586717E-2</v>
      </c>
      <c r="J42" s="525"/>
      <c r="K42" s="525"/>
    </row>
    <row r="43" spans="1:11" s="330" customFormat="1" ht="12.6" customHeight="1">
      <c r="A43" s="673" t="s">
        <v>486</v>
      </c>
      <c r="B43" s="631" t="s">
        <v>758</v>
      </c>
      <c r="C43" s="623">
        <v>6.9636399999999998</v>
      </c>
      <c r="D43" s="623"/>
      <c r="E43" s="785"/>
      <c r="F43" s="670" t="str">
        <f t="shared" si="0"/>
        <v/>
      </c>
      <c r="J43" s="525"/>
      <c r="K43" s="525"/>
    </row>
    <row r="44" spans="1:11" s="330" customFormat="1" ht="9" customHeight="1">
      <c r="A44" s="671" t="s">
        <v>734</v>
      </c>
      <c r="B44" s="507"/>
      <c r="C44" s="509">
        <v>6.9636399999999998</v>
      </c>
      <c r="D44" s="509"/>
      <c r="E44" s="784"/>
      <c r="F44" s="672" t="str">
        <f t="shared" si="0"/>
        <v/>
      </c>
      <c r="J44" s="525"/>
      <c r="K44" s="525"/>
    </row>
    <row r="45" spans="1:11" s="330" customFormat="1" ht="9" customHeight="1">
      <c r="A45" s="669" t="s">
        <v>118</v>
      </c>
      <c r="B45" s="621" t="s">
        <v>324</v>
      </c>
      <c r="C45" s="623">
        <v>0</v>
      </c>
      <c r="D45" s="623">
        <v>0</v>
      </c>
      <c r="E45" s="785">
        <v>0</v>
      </c>
      <c r="F45" s="670" t="str">
        <f t="shared" si="0"/>
        <v/>
      </c>
      <c r="J45" s="525"/>
      <c r="K45" s="525"/>
    </row>
    <row r="46" spans="1:11" s="330" customFormat="1" ht="9" customHeight="1">
      <c r="A46" s="669"/>
      <c r="B46" s="621" t="s">
        <v>325</v>
      </c>
      <c r="C46" s="623">
        <v>0</v>
      </c>
      <c r="D46" s="623">
        <v>0</v>
      </c>
      <c r="E46" s="785">
        <v>0</v>
      </c>
      <c r="F46" s="670" t="str">
        <f t="shared" si="0"/>
        <v/>
      </c>
      <c r="J46" s="525"/>
      <c r="K46" s="525"/>
    </row>
    <row r="47" spans="1:11" s="330" customFormat="1" ht="9" customHeight="1">
      <c r="A47" s="671" t="s">
        <v>735</v>
      </c>
      <c r="B47" s="507"/>
      <c r="C47" s="509">
        <v>0</v>
      </c>
      <c r="D47" s="509">
        <v>0</v>
      </c>
      <c r="E47" s="784">
        <v>0</v>
      </c>
      <c r="F47" s="672" t="str">
        <f t="shared" si="0"/>
        <v/>
      </c>
      <c r="J47" s="525"/>
      <c r="K47" s="525"/>
    </row>
    <row r="48" spans="1:11" s="330" customFormat="1" ht="9" customHeight="1">
      <c r="A48" s="669" t="s">
        <v>410</v>
      </c>
      <c r="B48" s="621" t="s">
        <v>326</v>
      </c>
      <c r="C48" s="623">
        <v>826.40680999999995</v>
      </c>
      <c r="D48" s="623">
        <v>805.7328</v>
      </c>
      <c r="E48" s="785">
        <v>490.61233999999996</v>
      </c>
      <c r="F48" s="670">
        <f t="shared" si="0"/>
        <v>2.5658642666650744E-2</v>
      </c>
      <c r="J48" s="525"/>
      <c r="K48" s="525"/>
    </row>
    <row r="49" spans="1:11" s="330" customFormat="1" ht="9" customHeight="1">
      <c r="A49" s="669"/>
      <c r="B49" s="621" t="s">
        <v>327</v>
      </c>
      <c r="C49" s="623">
        <v>178.27716000000001</v>
      </c>
      <c r="D49" s="623">
        <v>172.42927</v>
      </c>
      <c r="E49" s="785">
        <v>154.80788000000001</v>
      </c>
      <c r="F49" s="670">
        <f t="shared" si="0"/>
        <v>3.3914717611458922E-2</v>
      </c>
      <c r="J49" s="525"/>
      <c r="K49" s="525"/>
    </row>
    <row r="50" spans="1:11" s="330" customFormat="1" ht="9" customHeight="1">
      <c r="A50" s="669"/>
      <c r="B50" s="621" t="s">
        <v>432</v>
      </c>
      <c r="C50" s="623">
        <v>80.026629999999997</v>
      </c>
      <c r="D50" s="623">
        <v>343.72524999999996</v>
      </c>
      <c r="E50" s="785">
        <v>539.21326999999997</v>
      </c>
      <c r="F50" s="670">
        <f t="shared" si="0"/>
        <v>-0.76717849503346058</v>
      </c>
      <c r="J50" s="525"/>
      <c r="K50" s="525"/>
    </row>
    <row r="51" spans="1:11" s="330" customFormat="1" ht="9" customHeight="1">
      <c r="A51" s="669"/>
      <c r="B51" s="621" t="s">
        <v>328</v>
      </c>
      <c r="C51" s="623">
        <v>0</v>
      </c>
      <c r="D51" s="623">
        <v>5.9528800000000004</v>
      </c>
      <c r="E51" s="785">
        <v>10.12462</v>
      </c>
      <c r="F51" s="670">
        <f t="shared" si="0"/>
        <v>-1</v>
      </c>
      <c r="J51" s="525"/>
      <c r="K51" s="525"/>
    </row>
    <row r="52" spans="1:11" s="330" customFormat="1" ht="9" customHeight="1">
      <c r="A52" s="671" t="s">
        <v>736</v>
      </c>
      <c r="B52" s="507"/>
      <c r="C52" s="509">
        <v>1084.7105999999999</v>
      </c>
      <c r="D52" s="509">
        <v>1327.8401999999999</v>
      </c>
      <c r="E52" s="784">
        <v>1194.75811</v>
      </c>
      <c r="F52" s="672">
        <f t="shared" si="0"/>
        <v>-0.18310155092457658</v>
      </c>
      <c r="J52" s="525"/>
      <c r="K52" s="525"/>
    </row>
    <row r="53" spans="1:11" s="330" customFormat="1" ht="9" customHeight="1">
      <c r="A53" s="669" t="s">
        <v>117</v>
      </c>
      <c r="B53" s="621" t="s">
        <v>72</v>
      </c>
      <c r="C53" s="623">
        <v>1.2976700000000001</v>
      </c>
      <c r="D53" s="623">
        <v>2.6952499999999997</v>
      </c>
      <c r="E53" s="785">
        <v>3.3192300000000001</v>
      </c>
      <c r="F53" s="670">
        <f t="shared" si="0"/>
        <v>-0.51853445877005833</v>
      </c>
      <c r="J53" s="525"/>
      <c r="K53" s="525"/>
    </row>
    <row r="54" spans="1:11" s="330" customFormat="1" ht="9" customHeight="1">
      <c r="A54" s="671" t="s">
        <v>737</v>
      </c>
      <c r="B54" s="507"/>
      <c r="C54" s="509">
        <v>1.2976700000000001</v>
      </c>
      <c r="D54" s="509">
        <v>2.6952499999999997</v>
      </c>
      <c r="E54" s="784">
        <v>3.3192300000000001</v>
      </c>
      <c r="F54" s="672">
        <f t="shared" si="0"/>
        <v>-0.51853445877005833</v>
      </c>
      <c r="J54" s="525"/>
      <c r="K54" s="525"/>
    </row>
    <row r="55" spans="1:11" s="330" customFormat="1" ht="9" customHeight="1">
      <c r="A55" s="669" t="s">
        <v>110</v>
      </c>
      <c r="B55" s="621" t="s">
        <v>81</v>
      </c>
      <c r="C55" s="623">
        <v>0</v>
      </c>
      <c r="D55" s="623">
        <v>0</v>
      </c>
      <c r="E55" s="785">
        <v>0</v>
      </c>
      <c r="F55" s="670" t="str">
        <f t="shared" si="0"/>
        <v/>
      </c>
      <c r="J55" s="525"/>
      <c r="K55" s="525"/>
    </row>
    <row r="56" spans="1:11" s="330" customFormat="1" ht="9" customHeight="1">
      <c r="A56" s="671" t="s">
        <v>738</v>
      </c>
      <c r="B56" s="507"/>
      <c r="C56" s="509">
        <v>0</v>
      </c>
      <c r="D56" s="509">
        <v>0</v>
      </c>
      <c r="E56" s="784">
        <v>0</v>
      </c>
      <c r="F56" s="672" t="str">
        <f t="shared" si="0"/>
        <v/>
      </c>
      <c r="J56" s="525"/>
      <c r="K56" s="525"/>
    </row>
    <row r="57" spans="1:11" s="330" customFormat="1" ht="9" customHeight="1">
      <c r="A57" s="669" t="s">
        <v>241</v>
      </c>
      <c r="B57" s="621" t="s">
        <v>71</v>
      </c>
      <c r="C57" s="623">
        <v>3.79</v>
      </c>
      <c r="D57" s="623">
        <v>5.4658100000000003</v>
      </c>
      <c r="E57" s="785">
        <v>4.2940100000000001</v>
      </c>
      <c r="F57" s="670">
        <f t="shared" si="0"/>
        <v>-0.30659865600889902</v>
      </c>
      <c r="J57" s="525"/>
      <c r="K57" s="525"/>
    </row>
    <row r="58" spans="1:11" s="330" customFormat="1" ht="9" customHeight="1">
      <c r="A58" s="669"/>
      <c r="B58" s="621" t="s">
        <v>329</v>
      </c>
      <c r="C58" s="623">
        <v>160.41000000000003</v>
      </c>
      <c r="D58" s="623">
        <v>228.17600000000002</v>
      </c>
      <c r="E58" s="785">
        <v>250.73476000000002</v>
      </c>
      <c r="F58" s="670">
        <f t="shared" si="0"/>
        <v>-0.29699004277399899</v>
      </c>
      <c r="J58" s="525"/>
      <c r="K58" s="525"/>
    </row>
    <row r="59" spans="1:11" s="330" customFormat="1" ht="9" customHeight="1">
      <c r="A59" s="669"/>
      <c r="B59" s="621" t="s">
        <v>330</v>
      </c>
      <c r="C59" s="623">
        <v>87.918000000000006</v>
      </c>
      <c r="D59" s="623">
        <v>89.952390000000008</v>
      </c>
      <c r="E59" s="785">
        <v>76.953440000000001</v>
      </c>
      <c r="F59" s="670">
        <f t="shared" si="0"/>
        <v>-2.2616297354633996E-2</v>
      </c>
      <c r="J59" s="525"/>
      <c r="K59" s="525"/>
    </row>
    <row r="60" spans="1:11" s="330" customFormat="1" ht="9" customHeight="1">
      <c r="A60" s="669"/>
      <c r="B60" s="621" t="s">
        <v>62</v>
      </c>
      <c r="C60" s="623">
        <v>9.9489999999999998</v>
      </c>
      <c r="D60" s="623">
        <v>9.9157399999999996</v>
      </c>
      <c r="E60" s="785">
        <v>9.9297299999999993</v>
      </c>
      <c r="F60" s="670">
        <f t="shared" si="0"/>
        <v>3.354263020208359E-3</v>
      </c>
      <c r="J60" s="525"/>
      <c r="K60" s="525"/>
    </row>
    <row r="61" spans="1:11" s="330" customFormat="1" ht="9" customHeight="1">
      <c r="A61" s="671" t="s">
        <v>739</v>
      </c>
      <c r="B61" s="507"/>
      <c r="C61" s="509">
        <v>262.06700000000001</v>
      </c>
      <c r="D61" s="509">
        <v>333.50994000000003</v>
      </c>
      <c r="E61" s="784">
        <v>341.91194000000002</v>
      </c>
      <c r="F61" s="672">
        <f t="shared" si="0"/>
        <v>-0.21421532443680691</v>
      </c>
      <c r="J61" s="525"/>
      <c r="K61" s="525"/>
    </row>
    <row r="62" spans="1:11" s="330" customFormat="1" ht="9" customHeight="1">
      <c r="A62" s="669" t="s">
        <v>242</v>
      </c>
      <c r="B62" s="621" t="s">
        <v>78</v>
      </c>
      <c r="C62" s="623">
        <v>21.27542</v>
      </c>
      <c r="D62" s="623">
        <v>1.74197</v>
      </c>
      <c r="E62" s="785">
        <v>18.001149999999999</v>
      </c>
      <c r="F62" s="670">
        <f t="shared" si="0"/>
        <v>11.213425030281808</v>
      </c>
      <c r="J62" s="525"/>
      <c r="K62" s="525"/>
    </row>
    <row r="63" spans="1:11" s="330" customFormat="1" ht="9" customHeight="1">
      <c r="A63" s="671" t="s">
        <v>740</v>
      </c>
      <c r="B63" s="507"/>
      <c r="C63" s="509">
        <v>21.27542</v>
      </c>
      <c r="D63" s="509">
        <v>1.74197</v>
      </c>
      <c r="E63" s="784">
        <v>18.001149999999999</v>
      </c>
      <c r="F63" s="672">
        <f t="shared" si="0"/>
        <v>11.213425030281808</v>
      </c>
      <c r="J63" s="525"/>
      <c r="K63" s="525"/>
    </row>
    <row r="64" spans="1:11" s="330" customFormat="1" ht="9" customHeight="1">
      <c r="A64" s="669" t="s">
        <v>99</v>
      </c>
      <c r="B64" s="621" t="s">
        <v>76</v>
      </c>
      <c r="C64" s="623">
        <v>66.276679999999999</v>
      </c>
      <c r="D64" s="623">
        <v>8.7609200000000005</v>
      </c>
      <c r="E64" s="785">
        <v>55.79851</v>
      </c>
      <c r="F64" s="670">
        <f t="shared" si="0"/>
        <v>6.5650365486729703</v>
      </c>
      <c r="J64" s="525"/>
      <c r="K64" s="525"/>
    </row>
    <row r="65" spans="1:11" s="330" customFormat="1" ht="9" customHeight="1">
      <c r="A65" s="671" t="s">
        <v>741</v>
      </c>
      <c r="B65" s="507"/>
      <c r="C65" s="509">
        <v>66.276679999999999</v>
      </c>
      <c r="D65" s="509">
        <v>8.7609200000000005</v>
      </c>
      <c r="E65" s="784">
        <v>55.79851</v>
      </c>
      <c r="F65" s="672">
        <f t="shared" si="0"/>
        <v>6.5650365486729703</v>
      </c>
      <c r="J65" s="525"/>
      <c r="K65" s="525"/>
    </row>
    <row r="66" spans="1:11" s="330" customFormat="1" ht="9" customHeight="1">
      <c r="A66" s="669" t="s">
        <v>107</v>
      </c>
      <c r="B66" s="621" t="s">
        <v>232</v>
      </c>
      <c r="C66" s="623">
        <v>0</v>
      </c>
      <c r="D66" s="623">
        <v>0</v>
      </c>
      <c r="E66" s="785">
        <v>0</v>
      </c>
      <c r="F66" s="670" t="str">
        <f t="shared" si="0"/>
        <v/>
      </c>
      <c r="J66" s="525"/>
      <c r="K66" s="525"/>
    </row>
    <row r="67" spans="1:11" s="330" customFormat="1" ht="9" customHeight="1">
      <c r="A67" s="671" t="s">
        <v>742</v>
      </c>
      <c r="B67" s="507"/>
      <c r="C67" s="509">
        <v>0</v>
      </c>
      <c r="D67" s="509">
        <v>0</v>
      </c>
      <c r="E67" s="784">
        <v>0</v>
      </c>
      <c r="F67" s="672" t="str">
        <f t="shared" si="0"/>
        <v/>
      </c>
      <c r="J67" s="525"/>
      <c r="K67" s="525"/>
    </row>
    <row r="68" spans="1:11" s="330" customFormat="1" ht="9" customHeight="1">
      <c r="A68" s="669" t="s">
        <v>411</v>
      </c>
      <c r="B68" s="621" t="s">
        <v>85</v>
      </c>
      <c r="C68" s="623">
        <v>1.4100299999999999</v>
      </c>
      <c r="D68" s="623">
        <v>2.5014399999999997</v>
      </c>
      <c r="E68" s="785">
        <v>2.5987999999999998</v>
      </c>
      <c r="F68" s="670">
        <f t="shared" si="0"/>
        <v>-0.43631268389407696</v>
      </c>
      <c r="J68" s="525"/>
      <c r="K68" s="525"/>
    </row>
    <row r="69" spans="1:11" s="330" customFormat="1" ht="9" customHeight="1">
      <c r="A69" s="669"/>
      <c r="B69" s="621" t="s">
        <v>84</v>
      </c>
      <c r="C69" s="623">
        <v>4.5566300000000002</v>
      </c>
      <c r="D69" s="623">
        <v>3.8694699999999997</v>
      </c>
      <c r="E69" s="785">
        <v>3.3125</v>
      </c>
      <c r="F69" s="670">
        <f t="shared" si="0"/>
        <v>0.17758504394658714</v>
      </c>
      <c r="J69" s="525"/>
      <c r="K69" s="525"/>
    </row>
    <row r="70" spans="1:11" s="330" customFormat="1" ht="9" customHeight="1">
      <c r="A70" s="669"/>
      <c r="B70" s="621" t="s">
        <v>429</v>
      </c>
      <c r="C70" s="623">
        <v>2.3986200000000002</v>
      </c>
      <c r="D70" s="623">
        <v>2.17814</v>
      </c>
      <c r="E70" s="785">
        <v>2.403</v>
      </c>
      <c r="F70" s="670">
        <f t="shared" si="0"/>
        <v>0.10122398009310718</v>
      </c>
      <c r="J70" s="525"/>
      <c r="K70" s="525"/>
    </row>
    <row r="71" spans="1:11" s="330" customFormat="1" ht="9" customHeight="1">
      <c r="A71" s="669"/>
      <c r="B71" s="621" t="s">
        <v>515</v>
      </c>
      <c r="C71" s="623">
        <v>2.4025100000000004</v>
      </c>
      <c r="D71" s="623"/>
      <c r="E71" s="785"/>
      <c r="F71" s="670" t="str">
        <f t="shared" si="0"/>
        <v/>
      </c>
      <c r="J71" s="525"/>
      <c r="K71" s="525"/>
    </row>
    <row r="72" spans="1:11" s="330" customFormat="1" ht="10.5" customHeight="1">
      <c r="A72" s="671" t="s">
        <v>743</v>
      </c>
      <c r="B72" s="507"/>
      <c r="C72" s="509">
        <v>10.767790000000002</v>
      </c>
      <c r="D72" s="509">
        <v>8.5490499999999994</v>
      </c>
      <c r="E72" s="784">
        <v>8.3142999999999994</v>
      </c>
      <c r="F72" s="672">
        <f t="shared" si="0"/>
        <v>0.25953059111831167</v>
      </c>
    </row>
    <row r="73" spans="1:11" s="330" customFormat="1" ht="10.5" customHeight="1"/>
    <row r="74" spans="1:11" s="330" customFormat="1" ht="10.5" customHeight="1"/>
    <row r="75" spans="1:11" s="330" customFormat="1" ht="10.5" customHeight="1"/>
    <row r="76" spans="1:11" s="330" customFormat="1" ht="10.5" customHeight="1"/>
    <row r="77" spans="1:11" s="330" customFormat="1" ht="10.5" customHeight="1"/>
    <row r="78" spans="1:11" s="330" customFormat="1" ht="10.5" customHeight="1"/>
    <row r="79" spans="1:11" s="330" customFormat="1" ht="10.5" customHeight="1"/>
    <row r="80" spans="1:11" s="330" customFormat="1" ht="10.5" customHeight="1"/>
    <row r="81" s="330" customFormat="1" ht="7.8"/>
    <row r="82" s="330" customFormat="1" ht="7.8"/>
    <row r="83" s="330" customFormat="1" ht="7.8"/>
    <row r="84" s="330" customFormat="1" ht="7.8"/>
    <row r="85" s="330" customFormat="1" ht="7.8"/>
    <row r="86" s="330" customFormat="1" ht="7.8"/>
    <row r="87" s="330" customFormat="1" ht="7.8"/>
    <row r="88" s="330" customFormat="1" ht="7.8"/>
    <row r="89" s="330" customFormat="1" ht="7.8"/>
    <row r="90" s="330" customFormat="1" ht="7.8"/>
    <row r="91" s="330" customFormat="1" ht="7.8"/>
    <row r="92" s="330" customFormat="1" ht="7.8"/>
    <row r="93" s="330" customFormat="1" ht="7.8"/>
    <row r="94" s="330" customFormat="1" ht="7.8"/>
    <row r="95" s="330" customFormat="1" ht="7.8"/>
    <row r="96" s="330" customFormat="1" ht="7.8"/>
    <row r="97" s="330" customFormat="1" ht="7.8"/>
    <row r="98" s="330" customFormat="1" ht="7.8"/>
    <row r="99" s="330" customFormat="1" ht="7.8"/>
    <row r="100" s="330" customFormat="1" ht="7.8"/>
    <row r="101" s="330" customFormat="1" ht="7.8"/>
    <row r="102" s="330" customFormat="1" ht="7.8"/>
    <row r="103" s="330" customFormat="1" ht="7.8"/>
    <row r="104" s="330" customFormat="1" ht="7.8"/>
    <row r="105" s="330" customFormat="1" ht="7.8"/>
    <row r="106" s="330" customFormat="1" ht="7.8"/>
    <row r="107" s="330" customFormat="1" ht="7.8"/>
    <row r="108" s="330" customFormat="1" ht="7.8"/>
    <row r="109" s="330" customFormat="1" ht="7.8"/>
    <row r="110" s="330" customFormat="1" ht="7.8"/>
    <row r="111" s="330" customFormat="1" ht="7.8"/>
    <row r="112" s="330" customFormat="1" ht="7.8"/>
    <row r="113" s="330" customFormat="1" ht="7.8"/>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Mensual-Noviembre 2020
INFSGI-MES-11-2020
14/12/2020
Versión: 01</oddHeader>
    <oddFooter>&amp;L&amp;7COES, 2020&amp;C22&amp;R&amp;7Dirección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4"/>
  <sheetViews>
    <sheetView showGridLines="0" view="pageBreakPreview" zoomScale="115" zoomScaleNormal="100" zoomScaleSheetLayoutView="115" zoomScalePageLayoutView="140" workbookViewId="0">
      <selection activeCell="T44" sqref="T44"/>
    </sheetView>
  </sheetViews>
  <sheetFormatPr baseColWidth="10" defaultColWidth="9.28515625" defaultRowHeight="9.6"/>
  <cols>
    <col min="1" max="1" width="27" style="274" customWidth="1"/>
    <col min="2" max="2" width="19.42578125" style="274" customWidth="1"/>
    <col min="3" max="3" width="16.42578125" style="274" customWidth="1"/>
    <col min="4" max="4" width="17.7109375" style="274" customWidth="1"/>
    <col min="5" max="5" width="15.140625" style="274" customWidth="1"/>
    <col min="6" max="6" width="12.85546875" style="274" customWidth="1"/>
    <col min="7" max="16384" width="9.28515625" style="274"/>
  </cols>
  <sheetData>
    <row r="1" spans="1:6" s="330" customFormat="1" ht="11.25" customHeight="1">
      <c r="A1" s="998" t="s">
        <v>250</v>
      </c>
      <c r="B1" s="1000" t="s">
        <v>54</v>
      </c>
      <c r="C1" s="1000" t="s">
        <v>354</v>
      </c>
      <c r="D1" s="1000"/>
      <c r="E1" s="1000"/>
      <c r="F1" s="1002"/>
    </row>
    <row r="2" spans="1:6" s="330" customFormat="1" ht="11.25" customHeight="1">
      <c r="A2" s="992"/>
      <c r="B2" s="995"/>
      <c r="C2" s="495" t="str">
        <f>UPPER('1. Resumen'!Q4)&amp;" "&amp;'1. Resumen'!Q5</f>
        <v>NOVIEMBRE 2020</v>
      </c>
      <c r="D2" s="496" t="str">
        <f>UPPER('1. Resumen'!Q4)&amp;" "&amp;'1. Resumen'!Q5-1</f>
        <v>NOVIEMBRE 2019</v>
      </c>
      <c r="E2" s="497" t="str">
        <f>UPPER('1. Resumen'!Q4)&amp;" "&amp;'1. Resumen'!Q5</f>
        <v>NOVIEMBRE 2020</v>
      </c>
      <c r="F2" s="639" t="s">
        <v>436</v>
      </c>
    </row>
    <row r="3" spans="1:6" s="330" customFormat="1" ht="11.25" customHeight="1">
      <c r="A3" s="992"/>
      <c r="B3" s="995"/>
      <c r="C3" s="498">
        <f>'21. ANEXOII-1'!C4</f>
        <v>44163.854166666664</v>
      </c>
      <c r="D3" s="498">
        <f>'21. ANEXOII-1'!D4</f>
        <v>43790.833333333336</v>
      </c>
      <c r="E3" s="498">
        <f>'21. ANEXOII-1'!E4</f>
        <v>43886.8125</v>
      </c>
      <c r="F3" s="640" t="s">
        <v>351</v>
      </c>
    </row>
    <row r="4" spans="1:6" s="330" customFormat="1" ht="11.25" customHeight="1">
      <c r="A4" s="999"/>
      <c r="B4" s="1001"/>
      <c r="C4" s="499">
        <f>+'8. Max Potencia'!D9</f>
        <v>44163.854166666664</v>
      </c>
      <c r="D4" s="499">
        <f>+'8. Max Potencia'!E9</f>
        <v>43790.833333333336</v>
      </c>
      <c r="E4" s="499">
        <f>+'22. ANEXOII-2'!E4</f>
        <v>43886.8125</v>
      </c>
      <c r="F4" s="641" t="s">
        <v>352</v>
      </c>
    </row>
    <row r="5" spans="1:6" s="330" customFormat="1" ht="10.5" customHeight="1">
      <c r="A5" s="669" t="s">
        <v>243</v>
      </c>
      <c r="B5" s="621" t="s">
        <v>331</v>
      </c>
      <c r="C5" s="623">
        <v>0</v>
      </c>
      <c r="D5" s="623">
        <v>0</v>
      </c>
      <c r="E5" s="785">
        <v>0</v>
      </c>
      <c r="F5" s="670" t="str">
        <f t="shared" ref="F5:F44" si="0">+IF(D5=0,"",C5/D5-1)</f>
        <v/>
      </c>
    </row>
    <row r="6" spans="1:6" s="330" customFormat="1" ht="10.5" customHeight="1">
      <c r="A6" s="671" t="s">
        <v>744</v>
      </c>
      <c r="B6" s="507"/>
      <c r="C6" s="509">
        <v>0</v>
      </c>
      <c r="D6" s="509">
        <v>0</v>
      </c>
      <c r="E6" s="784">
        <v>0</v>
      </c>
      <c r="F6" s="672" t="str">
        <f t="shared" si="0"/>
        <v/>
      </c>
    </row>
    <row r="7" spans="1:6" s="330" customFormat="1" ht="10.5" customHeight="1">
      <c r="A7" s="669" t="s">
        <v>446</v>
      </c>
      <c r="B7" s="621" t="s">
        <v>460</v>
      </c>
      <c r="C7" s="623">
        <v>10.04608</v>
      </c>
      <c r="D7" s="623">
        <v>10.07461</v>
      </c>
      <c r="E7" s="785">
        <v>19.940269999999998</v>
      </c>
      <c r="F7" s="670">
        <f t="shared" si="0"/>
        <v>-2.8318714074291318E-3</v>
      </c>
    </row>
    <row r="8" spans="1:6" s="330" customFormat="1" ht="10.5" customHeight="1">
      <c r="A8" s="671" t="s">
        <v>745</v>
      </c>
      <c r="B8" s="507"/>
      <c r="C8" s="509">
        <v>10.04608</v>
      </c>
      <c r="D8" s="509">
        <v>10.07461</v>
      </c>
      <c r="E8" s="784">
        <v>19.940269999999998</v>
      </c>
      <c r="F8" s="672">
        <f t="shared" si="0"/>
        <v>-2.8318714074291318E-3</v>
      </c>
    </row>
    <row r="9" spans="1:6" s="330" customFormat="1" ht="10.5" customHeight="1">
      <c r="A9" s="669" t="s">
        <v>104</v>
      </c>
      <c r="B9" s="621" t="s">
        <v>61</v>
      </c>
      <c r="C9" s="623">
        <v>0</v>
      </c>
      <c r="D9" s="623">
        <v>10.399929999999999</v>
      </c>
      <c r="E9" s="785">
        <v>8.8928200000000004</v>
      </c>
      <c r="F9" s="670">
        <f t="shared" si="0"/>
        <v>-1</v>
      </c>
    </row>
    <row r="10" spans="1:6" s="330" customFormat="1" ht="10.5" customHeight="1">
      <c r="A10" s="671" t="s">
        <v>746</v>
      </c>
      <c r="B10" s="507"/>
      <c r="C10" s="509">
        <v>0</v>
      </c>
      <c r="D10" s="509">
        <v>10.399929999999999</v>
      </c>
      <c r="E10" s="784">
        <v>8.8928200000000004</v>
      </c>
      <c r="F10" s="672">
        <f t="shared" si="0"/>
        <v>-1</v>
      </c>
    </row>
    <row r="11" spans="1:6" s="330" customFormat="1" ht="10.5" customHeight="1">
      <c r="A11" s="669" t="s">
        <v>244</v>
      </c>
      <c r="B11" s="621" t="s">
        <v>332</v>
      </c>
      <c r="C11" s="623">
        <v>0</v>
      </c>
      <c r="D11" s="623">
        <v>0</v>
      </c>
      <c r="E11" s="785">
        <v>0</v>
      </c>
      <c r="F11" s="670" t="str">
        <f t="shared" si="0"/>
        <v/>
      </c>
    </row>
    <row r="12" spans="1:6" s="330" customFormat="1" ht="10.5" customHeight="1">
      <c r="A12" s="671" t="s">
        <v>747</v>
      </c>
      <c r="B12" s="507"/>
      <c r="C12" s="509">
        <v>0</v>
      </c>
      <c r="D12" s="509">
        <v>0</v>
      </c>
      <c r="E12" s="784">
        <v>0</v>
      </c>
      <c r="F12" s="672" t="str">
        <f t="shared" si="0"/>
        <v/>
      </c>
    </row>
    <row r="13" spans="1:6" s="330" customFormat="1" ht="10.5" customHeight="1">
      <c r="A13" s="669" t="s">
        <v>95</v>
      </c>
      <c r="B13" s="621" t="s">
        <v>333</v>
      </c>
      <c r="C13" s="623">
        <v>89.7654</v>
      </c>
      <c r="D13" s="623">
        <v>108.25024999999999</v>
      </c>
      <c r="E13" s="785">
        <v>110.13262</v>
      </c>
      <c r="F13" s="670">
        <f t="shared" si="0"/>
        <v>-0.17076034466433099</v>
      </c>
    </row>
    <row r="14" spans="1:6" s="330" customFormat="1" ht="10.5" customHeight="1">
      <c r="A14" s="671" t="s">
        <v>748</v>
      </c>
      <c r="B14" s="507"/>
      <c r="C14" s="509">
        <v>89.7654</v>
      </c>
      <c r="D14" s="509">
        <v>108.25024999999999</v>
      </c>
      <c r="E14" s="784">
        <v>110.13262</v>
      </c>
      <c r="F14" s="672">
        <f t="shared" si="0"/>
        <v>-0.17076034466433099</v>
      </c>
    </row>
    <row r="15" spans="1:6" s="330" customFormat="1" ht="10.5" customHeight="1">
      <c r="A15" s="669" t="s">
        <v>431</v>
      </c>
      <c r="B15" s="621" t="s">
        <v>467</v>
      </c>
      <c r="C15" s="623">
        <v>7.7519999999999998</v>
      </c>
      <c r="D15" s="623">
        <v>8.3360000000000003</v>
      </c>
      <c r="E15" s="785">
        <v>8.3719999999999999</v>
      </c>
      <c r="F15" s="670">
        <f t="shared" si="0"/>
        <v>-7.005758157389641E-2</v>
      </c>
    </row>
    <row r="16" spans="1:6" s="330" customFormat="1" ht="10.5" customHeight="1">
      <c r="A16" s="671" t="s">
        <v>749</v>
      </c>
      <c r="B16" s="507"/>
      <c r="C16" s="509">
        <v>7.7519999999999998</v>
      </c>
      <c r="D16" s="509">
        <v>8.3360000000000003</v>
      </c>
      <c r="E16" s="784">
        <v>8.3719999999999999</v>
      </c>
      <c r="F16" s="672">
        <f t="shared" si="0"/>
        <v>-7.005758157389641E-2</v>
      </c>
    </row>
    <row r="17" spans="1:6" s="330" customFormat="1" ht="10.5" customHeight="1">
      <c r="A17" s="669" t="s">
        <v>402</v>
      </c>
      <c r="B17" s="621" t="s">
        <v>406</v>
      </c>
      <c r="C17" s="623">
        <v>18.126380000000001</v>
      </c>
      <c r="D17" s="623">
        <v>20.041840000000001</v>
      </c>
      <c r="E17" s="785">
        <v>20.120570000000001</v>
      </c>
      <c r="F17" s="670">
        <f t="shared" si="0"/>
        <v>-9.5573061156061456E-2</v>
      </c>
    </row>
    <row r="18" spans="1:6" s="330" customFormat="1" ht="10.5" customHeight="1">
      <c r="A18" s="671" t="s">
        <v>750</v>
      </c>
      <c r="B18" s="507"/>
      <c r="C18" s="509">
        <v>18.126380000000001</v>
      </c>
      <c r="D18" s="509">
        <v>20.041840000000001</v>
      </c>
      <c r="E18" s="784">
        <v>20.120570000000001</v>
      </c>
      <c r="F18" s="672">
        <f t="shared" si="0"/>
        <v>-9.5573061156061456E-2</v>
      </c>
    </row>
    <row r="19" spans="1:6" s="330" customFormat="1" ht="10.5" customHeight="1">
      <c r="A19" s="669" t="s">
        <v>102</v>
      </c>
      <c r="B19" s="621" t="s">
        <v>334</v>
      </c>
      <c r="C19" s="623">
        <v>0</v>
      </c>
      <c r="D19" s="623">
        <v>27.40108</v>
      </c>
      <c r="E19" s="785">
        <v>26.558800000000002</v>
      </c>
      <c r="F19" s="670">
        <f t="shared" si="0"/>
        <v>-1</v>
      </c>
    </row>
    <row r="20" spans="1:6" s="330" customFormat="1" ht="10.5" customHeight="1">
      <c r="A20" s="671" t="s">
        <v>751</v>
      </c>
      <c r="B20" s="507"/>
      <c r="C20" s="509">
        <v>0</v>
      </c>
      <c r="D20" s="509">
        <v>27.40108</v>
      </c>
      <c r="E20" s="784">
        <v>26.558800000000002</v>
      </c>
      <c r="F20" s="672">
        <f t="shared" si="0"/>
        <v>-1</v>
      </c>
    </row>
    <row r="21" spans="1:6" s="330" customFormat="1" ht="10.5" customHeight="1">
      <c r="A21" s="669" t="s">
        <v>119</v>
      </c>
      <c r="B21" s="621" t="s">
        <v>335</v>
      </c>
      <c r="C21" s="623">
        <v>9.4737799999999996</v>
      </c>
      <c r="D21" s="623">
        <v>0</v>
      </c>
      <c r="E21" s="785">
        <v>0</v>
      </c>
      <c r="F21" s="670" t="str">
        <f t="shared" si="0"/>
        <v/>
      </c>
    </row>
    <row r="22" spans="1:6" s="330" customFormat="1" ht="10.5" customHeight="1">
      <c r="A22" s="671" t="s">
        <v>752</v>
      </c>
      <c r="B22" s="507"/>
      <c r="C22" s="509">
        <v>9.4737799999999996</v>
      </c>
      <c r="D22" s="509">
        <v>0</v>
      </c>
      <c r="E22" s="784">
        <v>0</v>
      </c>
      <c r="F22" s="672" t="str">
        <f t="shared" si="0"/>
        <v/>
      </c>
    </row>
    <row r="23" spans="1:6" s="330" customFormat="1" ht="10.5" customHeight="1">
      <c r="A23" s="669" t="s">
        <v>113</v>
      </c>
      <c r="B23" s="621" t="s">
        <v>461</v>
      </c>
      <c r="C23" s="623">
        <v>15.10117</v>
      </c>
      <c r="D23" s="623">
        <v>15.145309999999998</v>
      </c>
      <c r="E23" s="785">
        <v>19.958759999999998</v>
      </c>
      <c r="F23" s="670">
        <f t="shared" si="0"/>
        <v>-2.9144335771270624E-3</v>
      </c>
    </row>
    <row r="24" spans="1:6" s="330" customFormat="1" ht="10.5" customHeight="1">
      <c r="A24" s="669"/>
      <c r="B24" s="621" t="s">
        <v>69</v>
      </c>
      <c r="C24" s="623">
        <v>3.7612199999999998</v>
      </c>
      <c r="D24" s="623">
        <v>4.9984700000000002</v>
      </c>
      <c r="E24" s="785">
        <v>8.2235600000000009</v>
      </c>
      <c r="F24" s="670">
        <f t="shared" si="0"/>
        <v>-0.24752574287732054</v>
      </c>
    </row>
    <row r="25" spans="1:6" s="330" customFormat="1" ht="10.5" customHeight="1">
      <c r="A25" s="671" t="s">
        <v>753</v>
      </c>
      <c r="B25" s="507"/>
      <c r="C25" s="509">
        <v>18.862389999999998</v>
      </c>
      <c r="D25" s="509">
        <v>20.14378</v>
      </c>
      <c r="E25" s="784">
        <v>28.182319999999997</v>
      </c>
      <c r="F25" s="672">
        <f t="shared" si="0"/>
        <v>-6.3612191952056807E-2</v>
      </c>
    </row>
    <row r="26" spans="1:6" s="330" customFormat="1" ht="10.5" customHeight="1">
      <c r="A26" s="669" t="s">
        <v>90</v>
      </c>
      <c r="B26" s="621" t="s">
        <v>336</v>
      </c>
      <c r="C26" s="623">
        <v>30.127099999999999</v>
      </c>
      <c r="D26" s="623">
        <v>30.09657</v>
      </c>
      <c r="E26" s="785">
        <v>42.757599999999996</v>
      </c>
      <c r="F26" s="670">
        <f t="shared" si="0"/>
        <v>1.0144013088533299E-3</v>
      </c>
    </row>
    <row r="27" spans="1:6" s="330" customFormat="1" ht="10.5" customHeight="1">
      <c r="A27" s="669"/>
      <c r="B27" s="621" t="s">
        <v>337</v>
      </c>
      <c r="C27" s="623">
        <v>152.34417999999999</v>
      </c>
      <c r="D27" s="623">
        <v>117.62879</v>
      </c>
      <c r="E27" s="785">
        <v>163.52692999999999</v>
      </c>
      <c r="F27" s="670"/>
    </row>
    <row r="28" spans="1:6" s="330" customFormat="1" ht="10.5" customHeight="1">
      <c r="A28" s="669"/>
      <c r="B28" s="621" t="s">
        <v>338</v>
      </c>
      <c r="C28" s="623">
        <v>11.88945</v>
      </c>
      <c r="D28" s="623">
        <v>23.888590000000001</v>
      </c>
      <c r="E28" s="785">
        <v>23.855930000000001</v>
      </c>
      <c r="F28" s="670"/>
    </row>
    <row r="29" spans="1:6" s="330" customFormat="1" ht="10.5" customHeight="1">
      <c r="A29" s="669"/>
      <c r="B29" s="621" t="s">
        <v>339</v>
      </c>
      <c r="C29" s="623">
        <v>0</v>
      </c>
      <c r="D29" s="623">
        <v>0</v>
      </c>
      <c r="E29" s="785">
        <v>0.22234999999999999</v>
      </c>
      <c r="F29" s="670"/>
    </row>
    <row r="30" spans="1:6" s="330" customFormat="1" ht="10.5" customHeight="1">
      <c r="A30" s="669"/>
      <c r="B30" s="621" t="s">
        <v>340</v>
      </c>
      <c r="C30" s="623">
        <v>17.981459999999998</v>
      </c>
      <c r="D30" s="623">
        <v>26.848219999999998</v>
      </c>
      <c r="E30" s="785">
        <v>45.267490000000002</v>
      </c>
      <c r="F30" s="670"/>
    </row>
    <row r="31" spans="1:6" s="330" customFormat="1" ht="10.5" customHeight="1">
      <c r="A31" s="669"/>
      <c r="B31" s="621" t="s">
        <v>341</v>
      </c>
      <c r="C31" s="623">
        <v>1.0140100000000001</v>
      </c>
      <c r="D31" s="623">
        <v>2.6920899999999999</v>
      </c>
      <c r="E31" s="785">
        <v>3.8410700000000002</v>
      </c>
      <c r="F31" s="670"/>
    </row>
    <row r="32" spans="1:6" s="330" customFormat="1" ht="10.5" customHeight="1">
      <c r="A32" s="669"/>
      <c r="B32" s="621" t="s">
        <v>342</v>
      </c>
      <c r="C32" s="623">
        <v>2.4152399999999998</v>
      </c>
      <c r="D32" s="623">
        <v>8.3725199999999997</v>
      </c>
      <c r="E32" s="785">
        <v>8.3933999999999997</v>
      </c>
      <c r="F32" s="670">
        <f t="shared" si="0"/>
        <v>-0.71152771208668364</v>
      </c>
    </row>
    <row r="33" spans="1:6" s="330" customFormat="1" ht="10.5" customHeight="1">
      <c r="A33" s="669"/>
      <c r="B33" s="621" t="s">
        <v>343</v>
      </c>
      <c r="C33" s="623">
        <v>0</v>
      </c>
      <c r="D33" s="623">
        <v>6.4103000000000003</v>
      </c>
      <c r="E33" s="785">
        <v>0</v>
      </c>
      <c r="F33" s="670">
        <f t="shared" si="0"/>
        <v>-1</v>
      </c>
    </row>
    <row r="34" spans="1:6" s="330" customFormat="1" ht="10.5" customHeight="1">
      <c r="A34" s="669"/>
      <c r="B34" s="621" t="s">
        <v>344</v>
      </c>
      <c r="C34" s="623">
        <v>0.69667999999999997</v>
      </c>
      <c r="D34" s="623">
        <v>2.16649</v>
      </c>
      <c r="E34" s="785">
        <v>0.86190999999999995</v>
      </c>
      <c r="F34" s="670">
        <f t="shared" si="0"/>
        <v>-0.67842916422415978</v>
      </c>
    </row>
    <row r="35" spans="1:6" s="330" customFormat="1" ht="10.5" customHeight="1">
      <c r="A35" s="669"/>
      <c r="B35" s="621" t="s">
        <v>345</v>
      </c>
      <c r="C35" s="623">
        <v>0</v>
      </c>
      <c r="D35" s="623">
        <v>0</v>
      </c>
      <c r="E35" s="785">
        <v>0.28194000000000002</v>
      </c>
      <c r="F35" s="670" t="str">
        <f t="shared" si="0"/>
        <v/>
      </c>
    </row>
    <row r="36" spans="1:6" s="330" customFormat="1" ht="10.5" customHeight="1">
      <c r="A36" s="669"/>
      <c r="B36" s="621" t="s">
        <v>346</v>
      </c>
      <c r="C36" s="623">
        <v>0</v>
      </c>
      <c r="D36" s="623">
        <v>0</v>
      </c>
      <c r="E36" s="785">
        <v>0.23855999999999999</v>
      </c>
      <c r="F36" s="670" t="str">
        <f t="shared" si="0"/>
        <v/>
      </c>
    </row>
    <row r="37" spans="1:6" s="330" customFormat="1" ht="10.5" customHeight="1">
      <c r="A37" s="669"/>
      <c r="B37" s="621" t="s">
        <v>347</v>
      </c>
      <c r="C37" s="623">
        <v>12.2309</v>
      </c>
      <c r="D37" s="623">
        <v>102.65597</v>
      </c>
      <c r="E37" s="785">
        <v>105.60454</v>
      </c>
      <c r="F37" s="670">
        <f t="shared" si="0"/>
        <v>-0.88085544367268653</v>
      </c>
    </row>
    <row r="38" spans="1:6" s="330" customFormat="1" ht="10.5" customHeight="1">
      <c r="A38" s="671" t="s">
        <v>754</v>
      </c>
      <c r="B38" s="507"/>
      <c r="C38" s="509">
        <v>228.69901999999999</v>
      </c>
      <c r="D38" s="509">
        <v>320.75954000000002</v>
      </c>
      <c r="E38" s="784">
        <v>394.85172</v>
      </c>
      <c r="F38" s="672">
        <f t="shared" si="0"/>
        <v>-0.28700789382601066</v>
      </c>
    </row>
    <row r="39" spans="1:6" s="330" customFormat="1" ht="10.5" customHeight="1">
      <c r="A39" s="669" t="s">
        <v>109</v>
      </c>
      <c r="B39" s="621" t="s">
        <v>231</v>
      </c>
      <c r="C39" s="623">
        <v>0</v>
      </c>
      <c r="D39" s="623">
        <v>0</v>
      </c>
      <c r="E39" s="785">
        <v>0</v>
      </c>
      <c r="F39" s="670" t="str">
        <f t="shared" si="0"/>
        <v/>
      </c>
    </row>
    <row r="40" spans="1:6" s="330" customFormat="1" ht="10.5" customHeight="1">
      <c r="A40" s="671" t="s">
        <v>755</v>
      </c>
      <c r="B40" s="507"/>
      <c r="C40" s="509">
        <v>0</v>
      </c>
      <c r="D40" s="509">
        <v>0</v>
      </c>
      <c r="E40" s="784">
        <v>0</v>
      </c>
      <c r="F40" s="672" t="str">
        <f t="shared" si="0"/>
        <v/>
      </c>
    </row>
    <row r="41" spans="1:6" s="330" customFormat="1" ht="10.5" customHeight="1">
      <c r="A41" s="669" t="s">
        <v>100</v>
      </c>
      <c r="B41" s="621" t="s">
        <v>433</v>
      </c>
      <c r="C41" s="623">
        <v>293.69004000000001</v>
      </c>
      <c r="D41" s="623">
        <v>0</v>
      </c>
      <c r="E41" s="785">
        <v>283.12439000000001</v>
      </c>
      <c r="F41" s="670" t="str">
        <f t="shared" si="0"/>
        <v/>
      </c>
    </row>
    <row r="42" spans="1:6" s="330" customFormat="1" ht="10.5" customHeight="1">
      <c r="A42" s="671" t="s">
        <v>756</v>
      </c>
      <c r="B42" s="507"/>
      <c r="C42" s="509">
        <v>293.69004000000001</v>
      </c>
      <c r="D42" s="509">
        <v>0</v>
      </c>
      <c r="E42" s="784">
        <v>283.12439000000001</v>
      </c>
      <c r="F42" s="672" t="str">
        <f t="shared" si="0"/>
        <v/>
      </c>
    </row>
    <row r="43" spans="1:6" s="330" customFormat="1" ht="10.5" customHeight="1">
      <c r="A43" s="669" t="s">
        <v>105</v>
      </c>
      <c r="B43" s="621" t="s">
        <v>348</v>
      </c>
      <c r="C43" s="623">
        <v>122.34397</v>
      </c>
      <c r="D43" s="623">
        <v>75.367959999999997</v>
      </c>
      <c r="E43" s="785">
        <v>0</v>
      </c>
      <c r="F43" s="670">
        <f t="shared" si="0"/>
        <v>0.62328886173912634</v>
      </c>
    </row>
    <row r="44" spans="1:6" s="330" customFormat="1" ht="10.5" customHeight="1">
      <c r="A44" s="671" t="s">
        <v>757</v>
      </c>
      <c r="B44" s="507"/>
      <c r="C44" s="509">
        <v>122.34397</v>
      </c>
      <c r="D44" s="509">
        <v>75.367959999999997</v>
      </c>
      <c r="E44" s="784">
        <v>0</v>
      </c>
      <c r="F44" s="672">
        <f t="shared" si="0"/>
        <v>0.62328886173912634</v>
      </c>
    </row>
    <row r="45" spans="1:6" s="330" customFormat="1" ht="10.5" customHeight="1">
      <c r="A45" s="669"/>
      <c r="B45" s="621"/>
      <c r="C45" s="623"/>
      <c r="D45" s="797"/>
      <c r="E45" s="797"/>
      <c r="F45" s="798"/>
    </row>
    <row r="46" spans="1:6" s="406" customFormat="1" ht="12" customHeight="1">
      <c r="A46" s="492" t="s">
        <v>404</v>
      </c>
      <c r="B46" s="502"/>
      <c r="C46" s="615">
        <v>6836.6023299999988</v>
      </c>
      <c r="D46" s="491">
        <v>6887.567739999994</v>
      </c>
      <c r="E46" s="491">
        <v>7125.2993800000013</v>
      </c>
      <c r="F46" s="644">
        <f>+IF(D46=0,"",C46/D46-1)</f>
        <v>-7.3996237748792382E-3</v>
      </c>
    </row>
    <row r="47" spans="1:6" s="406" customFormat="1" ht="12" customHeight="1">
      <c r="A47" s="502" t="s">
        <v>349</v>
      </c>
      <c r="B47" s="492"/>
      <c r="C47" s="491">
        <f>+'8. Max Potencia'!D16</f>
        <v>0</v>
      </c>
      <c r="D47" s="491">
        <f>+'8. Max Potencia'!E16</f>
        <v>40.659999999999997</v>
      </c>
      <c r="E47" s="494">
        <v>0</v>
      </c>
      <c r="F47" s="645">
        <v>0</v>
      </c>
    </row>
    <row r="48" spans="1:6" s="406" customFormat="1" ht="12" customHeight="1">
      <c r="A48" s="646" t="s">
        <v>350</v>
      </c>
      <c r="B48" s="646"/>
      <c r="C48" s="491">
        <v>0</v>
      </c>
      <c r="D48" s="491">
        <v>0</v>
      </c>
      <c r="E48" s="494">
        <v>0</v>
      </c>
      <c r="F48" s="645">
        <v>0</v>
      </c>
    </row>
    <row r="49" spans="1:7" ht="12" customHeight="1">
      <c r="A49" s="747" t="s">
        <v>454</v>
      </c>
      <c r="B49" s="646"/>
      <c r="C49" s="491">
        <f>+C46+C47</f>
        <v>6836.6023299999988</v>
      </c>
      <c r="D49" s="491">
        <f t="shared" ref="D49:E49" si="1">+D46+D47</f>
        <v>6928.2277399999939</v>
      </c>
      <c r="E49" s="491">
        <f t="shared" si="1"/>
        <v>7125.2993800000013</v>
      </c>
      <c r="F49" s="644">
        <f>+IF(D49=0,"",C49/D49-1)</f>
        <v>-1.3224941996493156E-2</v>
      </c>
    </row>
    <row r="50" spans="1:7" ht="12" customHeight="1">
      <c r="A50" s="621"/>
      <c r="B50" s="624"/>
      <c r="C50" s="624"/>
      <c r="D50" s="624"/>
      <c r="E50" s="624"/>
      <c r="F50" s="624"/>
    </row>
    <row r="51" spans="1:7" ht="27.75" customHeight="1">
      <c r="A51" s="990" t="s">
        <v>480</v>
      </c>
      <c r="B51" s="990"/>
      <c r="C51" s="990"/>
      <c r="D51" s="990"/>
      <c r="E51" s="990"/>
      <c r="F51" s="990"/>
    </row>
    <row r="52" spans="1:7" ht="15" customHeight="1">
      <c r="A52" s="1003"/>
      <c r="B52" s="1003"/>
      <c r="C52" s="1003"/>
      <c r="D52" s="1003"/>
      <c r="E52" s="1003"/>
      <c r="F52" s="1003"/>
      <c r="G52" s="701"/>
    </row>
    <row r="53" spans="1:7" ht="15" customHeight="1">
      <c r="A53" s="701" t="s">
        <v>514</v>
      </c>
      <c r="B53" s="701"/>
      <c r="C53" s="701"/>
      <c r="D53" s="701"/>
      <c r="E53" s="701"/>
      <c r="F53" s="701"/>
      <c r="G53" s="701"/>
    </row>
    <row r="54" spans="1:7" ht="15" customHeight="1">
      <c r="A54" s="701" t="s">
        <v>554</v>
      </c>
      <c r="B54" s="701"/>
      <c r="C54" s="701"/>
      <c r="D54" s="701"/>
      <c r="E54" s="701"/>
      <c r="F54" s="701"/>
      <c r="G54" s="701"/>
    </row>
    <row r="55" spans="1:7" ht="15" customHeight="1">
      <c r="A55" s="1003"/>
      <c r="B55" s="1003"/>
      <c r="C55" s="1003"/>
      <c r="D55" s="1003"/>
      <c r="E55" s="1003"/>
      <c r="F55" s="1003"/>
      <c r="G55" s="701"/>
    </row>
    <row r="56" spans="1:7" ht="15" customHeight="1">
      <c r="A56" s="1003"/>
      <c r="B56" s="1003"/>
      <c r="C56" s="1003"/>
      <c r="D56" s="1003"/>
      <c r="E56" s="1003"/>
      <c r="F56" s="1003"/>
      <c r="G56" s="46"/>
    </row>
    <row r="57" spans="1:7" ht="15" customHeight="1">
      <c r="A57" s="1003"/>
      <c r="B57" s="1003"/>
      <c r="C57" s="1003"/>
      <c r="D57" s="1003"/>
      <c r="E57" s="1003"/>
      <c r="F57" s="1003"/>
      <c r="G57" s="46"/>
    </row>
    <row r="58" spans="1:7" ht="22.5" customHeight="1">
      <c r="A58" s="989"/>
      <c r="B58" s="989"/>
      <c r="C58" s="989"/>
      <c r="D58" s="989"/>
      <c r="E58" s="989"/>
      <c r="F58" s="989"/>
      <c r="G58" s="757"/>
    </row>
    <row r="59" spans="1:7" ht="15.75" customHeight="1">
      <c r="A59" s="1003"/>
      <c r="B59" s="1003"/>
      <c r="C59" s="1003"/>
      <c r="D59" s="1003"/>
      <c r="E59" s="1003"/>
      <c r="F59" s="1003"/>
      <c r="G59" s="725"/>
    </row>
    <row r="60" spans="1:7" ht="12" customHeight="1">
      <c r="A60" s="1003"/>
      <c r="B60" s="1003"/>
      <c r="C60" s="1003"/>
      <c r="D60" s="1003"/>
      <c r="E60" s="1003"/>
      <c r="F60" s="1003"/>
      <c r="G60" s="725"/>
    </row>
    <row r="61" spans="1:7" ht="12" customHeight="1">
      <c r="A61" s="1003"/>
      <c r="B61" s="1003"/>
      <c r="C61" s="1003"/>
      <c r="D61" s="1003"/>
      <c r="E61" s="1003"/>
      <c r="F61" s="1003"/>
      <c r="G61" s="725"/>
    </row>
    <row r="62" spans="1:7" ht="12" customHeight="1">
      <c r="A62" s="330"/>
      <c r="G62" s="725"/>
    </row>
    <row r="63" spans="1:7" ht="12" customHeight="1">
      <c r="A63" s="330"/>
    </row>
    <row r="64" spans="1:7" ht="12" customHeight="1">
      <c r="A64" s="330"/>
    </row>
  </sheetData>
  <mergeCells count="12">
    <mergeCell ref="A59:F59"/>
    <mergeCell ref="A60:F60"/>
    <mergeCell ref="A61:F61"/>
    <mergeCell ref="A1:A4"/>
    <mergeCell ref="B1:B4"/>
    <mergeCell ref="C1:F1"/>
    <mergeCell ref="A51:F51"/>
    <mergeCell ref="A58:F58"/>
    <mergeCell ref="A52:F52"/>
    <mergeCell ref="A55:F55"/>
    <mergeCell ref="A56:F56"/>
    <mergeCell ref="A57:F5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15" zoomScaleNormal="100" zoomScaleSheetLayoutView="115" zoomScalePageLayoutView="145" workbookViewId="0">
      <selection activeCell="T44" sqref="T44"/>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0"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7" t="s">
        <v>362</v>
      </c>
      <c r="B3" s="275"/>
    </row>
    <row r="4" spans="1:13" ht="11.25" customHeight="1">
      <c r="B4" s="275"/>
    </row>
    <row r="5" spans="1:13" ht="11.25" customHeight="1">
      <c r="A5" s="276" t="s">
        <v>409</v>
      </c>
      <c r="C5" s="275">
        <v>6836.6023299999997</v>
      </c>
    </row>
    <row r="6" spans="1:13" ht="11.25" customHeight="1">
      <c r="A6" s="276" t="s">
        <v>363</v>
      </c>
      <c r="C6" s="275" t="s">
        <v>676</v>
      </c>
    </row>
    <row r="7" spans="1:13" ht="11.25" customHeight="1">
      <c r="A7" s="276" t="s">
        <v>364</v>
      </c>
      <c r="C7" s="275" t="s">
        <v>545</v>
      </c>
    </row>
    <row r="8" spans="1:13" ht="11.25" customHeight="1"/>
    <row r="9" spans="1:13" ht="14.25" customHeight="1">
      <c r="A9" s="1004" t="s">
        <v>355</v>
      </c>
      <c r="B9" s="1005" t="s">
        <v>356</v>
      </c>
      <c r="C9" s="1005"/>
      <c r="D9" s="1005"/>
      <c r="E9" s="1005"/>
      <c r="F9" s="1005"/>
      <c r="G9" s="1005" t="s">
        <v>357</v>
      </c>
      <c r="H9" s="1005"/>
      <c r="I9" s="1005"/>
      <c r="J9" s="1005"/>
      <c r="K9" s="1005"/>
    </row>
    <row r="10" spans="1:13" ht="26.25" customHeight="1">
      <c r="A10" s="1004"/>
      <c r="B10" s="500" t="s">
        <v>358</v>
      </c>
      <c r="C10" s="500" t="s">
        <v>199</v>
      </c>
      <c r="D10" s="500" t="s">
        <v>349</v>
      </c>
      <c r="E10" s="500" t="s">
        <v>350</v>
      </c>
      <c r="F10" s="501" t="s">
        <v>361</v>
      </c>
      <c r="G10" s="500" t="s">
        <v>358</v>
      </c>
      <c r="H10" s="500" t="s">
        <v>199</v>
      </c>
      <c r="I10" s="500" t="s">
        <v>349</v>
      </c>
      <c r="J10" s="500" t="s">
        <v>350</v>
      </c>
      <c r="K10" s="501" t="s">
        <v>361</v>
      </c>
      <c r="L10" s="36"/>
      <c r="M10" s="46"/>
    </row>
    <row r="11" spans="1:13" ht="11.25" customHeight="1">
      <c r="A11" s="1004"/>
      <c r="B11" s="500" t="s">
        <v>359</v>
      </c>
      <c r="C11" s="500" t="s">
        <v>360</v>
      </c>
      <c r="D11" s="500" t="s">
        <v>360</v>
      </c>
      <c r="E11" s="500" t="s">
        <v>360</v>
      </c>
      <c r="F11" s="500" t="s">
        <v>360</v>
      </c>
      <c r="G11" s="500" t="s">
        <v>359</v>
      </c>
      <c r="H11" s="500" t="s">
        <v>360</v>
      </c>
      <c r="I11" s="500" t="s">
        <v>360</v>
      </c>
      <c r="J11" s="500" t="s">
        <v>360</v>
      </c>
      <c r="K11" s="500" t="s">
        <v>360</v>
      </c>
      <c r="L11" s="36"/>
      <c r="M11" s="46"/>
    </row>
    <row r="12" spans="1:13" ht="11.25" customHeight="1">
      <c r="A12" s="871" t="s">
        <v>646</v>
      </c>
      <c r="B12" s="868" t="s">
        <v>490</v>
      </c>
      <c r="C12" s="868">
        <v>5762.43462</v>
      </c>
      <c r="D12" s="868">
        <v>0</v>
      </c>
      <c r="E12" s="868">
        <v>0</v>
      </c>
      <c r="F12" s="868">
        <v>5762.43462</v>
      </c>
      <c r="G12" s="868" t="s">
        <v>550</v>
      </c>
      <c r="H12" s="868">
        <v>6374.0677500000002</v>
      </c>
      <c r="I12" s="868">
        <v>0</v>
      </c>
      <c r="J12" s="868">
        <v>0</v>
      </c>
      <c r="K12" s="868">
        <v>6374.0677500000002</v>
      </c>
      <c r="L12" s="205"/>
      <c r="M12" s="46"/>
    </row>
    <row r="13" spans="1:13" ht="11.25" customHeight="1">
      <c r="A13" s="871" t="s">
        <v>647</v>
      </c>
      <c r="B13" s="868" t="s">
        <v>549</v>
      </c>
      <c r="C13" s="868">
        <v>6389.7828799999997</v>
      </c>
      <c r="D13" s="868">
        <v>0</v>
      </c>
      <c r="E13" s="868">
        <v>0</v>
      </c>
      <c r="F13" s="868">
        <v>6389.7828799999997</v>
      </c>
      <c r="G13" s="868" t="s">
        <v>483</v>
      </c>
      <c r="H13" s="868">
        <v>6571.4170599999998</v>
      </c>
      <c r="I13" s="868">
        <v>0</v>
      </c>
      <c r="J13" s="868">
        <v>0</v>
      </c>
      <c r="K13" s="868">
        <v>6571.4170599999998</v>
      </c>
      <c r="L13" s="5"/>
    </row>
    <row r="14" spans="1:13" ht="11.25" customHeight="1">
      <c r="A14" s="871" t="s">
        <v>648</v>
      </c>
      <c r="B14" s="868" t="s">
        <v>487</v>
      </c>
      <c r="C14" s="868">
        <v>6557.9380899999996</v>
      </c>
      <c r="D14" s="868">
        <v>0</v>
      </c>
      <c r="E14" s="868">
        <v>0</v>
      </c>
      <c r="F14" s="868">
        <v>6557.9380899999996</v>
      </c>
      <c r="G14" s="868" t="s">
        <v>484</v>
      </c>
      <c r="H14" s="868">
        <v>6535.2763699999996</v>
      </c>
      <c r="I14" s="868">
        <v>0</v>
      </c>
      <c r="J14" s="868">
        <v>0</v>
      </c>
      <c r="K14" s="868">
        <v>6535.2763699999996</v>
      </c>
      <c r="L14" s="15"/>
    </row>
    <row r="15" spans="1:13" ht="11.25" customHeight="1">
      <c r="A15" s="871" t="s">
        <v>649</v>
      </c>
      <c r="B15" s="868" t="s">
        <v>513</v>
      </c>
      <c r="C15" s="868">
        <v>6552.88123</v>
      </c>
      <c r="D15" s="868">
        <v>0</v>
      </c>
      <c r="E15" s="868">
        <v>0</v>
      </c>
      <c r="F15" s="868">
        <v>6552.88123</v>
      </c>
      <c r="G15" s="868" t="s">
        <v>512</v>
      </c>
      <c r="H15" s="868">
        <v>6562.0421699999997</v>
      </c>
      <c r="I15" s="868">
        <v>0</v>
      </c>
      <c r="J15" s="868">
        <v>0</v>
      </c>
      <c r="K15" s="868">
        <v>6562.0421699999997</v>
      </c>
      <c r="L15" s="12"/>
    </row>
    <row r="16" spans="1:13" ht="11.25" customHeight="1">
      <c r="A16" s="871" t="s">
        <v>650</v>
      </c>
      <c r="B16" s="868" t="s">
        <v>487</v>
      </c>
      <c r="C16" s="868">
        <v>6701.5090200000004</v>
      </c>
      <c r="D16" s="868">
        <v>0</v>
      </c>
      <c r="E16" s="868">
        <v>0</v>
      </c>
      <c r="F16" s="868">
        <v>6701.5090200000004</v>
      </c>
      <c r="G16" s="868" t="s">
        <v>450</v>
      </c>
      <c r="H16" s="868">
        <v>6718.9941399999998</v>
      </c>
      <c r="I16" s="868">
        <v>0</v>
      </c>
      <c r="J16" s="868">
        <v>0</v>
      </c>
      <c r="K16" s="868">
        <v>6718.9941399999998</v>
      </c>
      <c r="L16" s="22"/>
    </row>
    <row r="17" spans="1:12" ht="11.25" customHeight="1">
      <c r="A17" s="871" t="s">
        <v>651</v>
      </c>
      <c r="B17" s="868" t="s">
        <v>513</v>
      </c>
      <c r="C17" s="868">
        <v>6757.7332100000003</v>
      </c>
      <c r="D17" s="868">
        <v>0</v>
      </c>
      <c r="E17" s="868">
        <v>0</v>
      </c>
      <c r="F17" s="868">
        <v>6757.7332100000003</v>
      </c>
      <c r="G17" s="868" t="s">
        <v>484</v>
      </c>
      <c r="H17" s="868">
        <v>6660.4551300000003</v>
      </c>
      <c r="I17" s="868">
        <v>0</v>
      </c>
      <c r="J17" s="868">
        <v>0</v>
      </c>
      <c r="K17" s="868">
        <v>6660.4551300000003</v>
      </c>
      <c r="L17" s="22"/>
    </row>
    <row r="18" spans="1:12" ht="11.25" customHeight="1">
      <c r="A18" s="871" t="s">
        <v>652</v>
      </c>
      <c r="B18" s="868" t="s">
        <v>487</v>
      </c>
      <c r="C18" s="868">
        <v>6545.8023700000003</v>
      </c>
      <c r="D18" s="868">
        <v>0</v>
      </c>
      <c r="E18" s="868">
        <v>0</v>
      </c>
      <c r="F18" s="868">
        <v>6545.8023700000003</v>
      </c>
      <c r="G18" s="868" t="s">
        <v>547</v>
      </c>
      <c r="H18" s="868">
        <v>6587.2570599999999</v>
      </c>
      <c r="I18" s="868">
        <v>0</v>
      </c>
      <c r="J18" s="868">
        <v>0</v>
      </c>
      <c r="K18" s="868">
        <v>6587.2570599999999</v>
      </c>
      <c r="L18" s="22"/>
    </row>
    <row r="19" spans="1:12" ht="11.25" customHeight="1">
      <c r="A19" s="871" t="s">
        <v>653</v>
      </c>
      <c r="B19" s="868" t="s">
        <v>546</v>
      </c>
      <c r="C19" s="868">
        <v>5817.4501700000001</v>
      </c>
      <c r="D19" s="868">
        <v>0</v>
      </c>
      <c r="E19" s="868">
        <v>0</v>
      </c>
      <c r="F19" s="868">
        <v>5817.4501700000001</v>
      </c>
      <c r="G19" s="868" t="s">
        <v>450</v>
      </c>
      <c r="H19" s="868">
        <v>6521.5240100000001</v>
      </c>
      <c r="I19" s="868">
        <v>0</v>
      </c>
      <c r="J19" s="868">
        <v>0</v>
      </c>
      <c r="K19" s="868">
        <v>6521.5240100000001</v>
      </c>
      <c r="L19" s="22"/>
    </row>
    <row r="20" spans="1:12" ht="11.25" customHeight="1">
      <c r="A20" s="871" t="s">
        <v>654</v>
      </c>
      <c r="B20" s="868" t="s">
        <v>513</v>
      </c>
      <c r="C20" s="868">
        <v>6628.0550999999996</v>
      </c>
      <c r="D20" s="868">
        <v>0</v>
      </c>
      <c r="E20" s="868">
        <v>0</v>
      </c>
      <c r="F20" s="868">
        <v>6628.0550999999996</v>
      </c>
      <c r="G20" s="868" t="s">
        <v>547</v>
      </c>
      <c r="H20" s="868">
        <v>6679.8102500000005</v>
      </c>
      <c r="I20" s="868">
        <v>0</v>
      </c>
      <c r="J20" s="868">
        <v>0</v>
      </c>
      <c r="K20" s="868">
        <v>6679.8102500000005</v>
      </c>
      <c r="L20" s="24"/>
    </row>
    <row r="21" spans="1:12" ht="11.25" customHeight="1">
      <c r="A21" s="871" t="s">
        <v>655</v>
      </c>
      <c r="B21" s="868" t="s">
        <v>513</v>
      </c>
      <c r="C21" s="868">
        <v>6776.1458499999999</v>
      </c>
      <c r="D21" s="868">
        <v>0</v>
      </c>
      <c r="E21" s="868">
        <v>0</v>
      </c>
      <c r="F21" s="868">
        <v>6776.1458499999999</v>
      </c>
      <c r="G21" s="868" t="s">
        <v>450</v>
      </c>
      <c r="H21" s="868">
        <v>6679.0888699999996</v>
      </c>
      <c r="I21" s="868">
        <v>0</v>
      </c>
      <c r="J21" s="868">
        <v>0</v>
      </c>
      <c r="K21" s="868">
        <v>6679.0888699999996</v>
      </c>
      <c r="L21" s="22"/>
    </row>
    <row r="22" spans="1:12" ht="11.25" customHeight="1">
      <c r="A22" s="871" t="s">
        <v>656</v>
      </c>
      <c r="B22" s="868" t="s">
        <v>488</v>
      </c>
      <c r="C22" s="868">
        <v>6658.6769700000004</v>
      </c>
      <c r="D22" s="868">
        <v>0</v>
      </c>
      <c r="E22" s="868">
        <v>0</v>
      </c>
      <c r="F22" s="868">
        <v>6658.6769700000004</v>
      </c>
      <c r="G22" s="868" t="s">
        <v>489</v>
      </c>
      <c r="H22" s="868">
        <v>6639.1655600000004</v>
      </c>
      <c r="I22" s="868">
        <v>0</v>
      </c>
      <c r="J22" s="868">
        <v>0</v>
      </c>
      <c r="K22" s="868">
        <v>6639.1655600000004</v>
      </c>
      <c r="L22" s="22"/>
    </row>
    <row r="23" spans="1:12" ht="11.25" customHeight="1">
      <c r="A23" s="871" t="s">
        <v>657</v>
      </c>
      <c r="B23" s="868" t="s">
        <v>511</v>
      </c>
      <c r="C23" s="868">
        <v>6718.8169099999996</v>
      </c>
      <c r="D23" s="868">
        <v>0</v>
      </c>
      <c r="E23" s="868">
        <v>0</v>
      </c>
      <c r="F23" s="868">
        <v>6718.8169099999996</v>
      </c>
      <c r="G23" s="868" t="s">
        <v>451</v>
      </c>
      <c r="H23" s="868">
        <v>6684.5189899999996</v>
      </c>
      <c r="I23" s="868">
        <v>0</v>
      </c>
      <c r="J23" s="868">
        <v>0</v>
      </c>
      <c r="K23" s="868">
        <v>6684.5189899999996</v>
      </c>
      <c r="L23" s="22"/>
    </row>
    <row r="24" spans="1:12" ht="11.25" customHeight="1">
      <c r="A24" s="871" t="s">
        <v>658</v>
      </c>
      <c r="B24" s="868" t="s">
        <v>488</v>
      </c>
      <c r="C24" s="868">
        <v>6746.7603399999998</v>
      </c>
      <c r="D24" s="868">
        <v>0</v>
      </c>
      <c r="E24" s="868">
        <v>0</v>
      </c>
      <c r="F24" s="868">
        <v>6746.7603399999998</v>
      </c>
      <c r="G24" s="868" t="s">
        <v>548</v>
      </c>
      <c r="H24" s="868">
        <v>6727.5653499999999</v>
      </c>
      <c r="I24" s="868">
        <v>0</v>
      </c>
      <c r="J24" s="868">
        <v>0</v>
      </c>
      <c r="K24" s="868">
        <v>6727.5653499999999</v>
      </c>
      <c r="L24" s="22"/>
    </row>
    <row r="25" spans="1:12" ht="11.25" customHeight="1">
      <c r="A25" s="871" t="s">
        <v>659</v>
      </c>
      <c r="B25" s="868" t="s">
        <v>511</v>
      </c>
      <c r="C25" s="868">
        <v>6675.3770299999996</v>
      </c>
      <c r="D25" s="868">
        <v>0</v>
      </c>
      <c r="E25" s="868">
        <v>0</v>
      </c>
      <c r="F25" s="868">
        <v>6675.3770299999996</v>
      </c>
      <c r="G25" s="868" t="s">
        <v>545</v>
      </c>
      <c r="H25" s="868">
        <v>6807.5566399999998</v>
      </c>
      <c r="I25" s="868">
        <v>0</v>
      </c>
      <c r="J25" s="868">
        <v>0</v>
      </c>
      <c r="K25" s="868">
        <v>6807.5566399999998</v>
      </c>
      <c r="L25" s="22"/>
    </row>
    <row r="26" spans="1:12" ht="11.25" customHeight="1">
      <c r="A26" s="871" t="s">
        <v>660</v>
      </c>
      <c r="B26" s="868" t="s">
        <v>661</v>
      </c>
      <c r="C26" s="868">
        <v>6045.6134199999997</v>
      </c>
      <c r="D26" s="868">
        <v>0</v>
      </c>
      <c r="E26" s="868">
        <v>0</v>
      </c>
      <c r="F26" s="868">
        <v>6045.6134199999997</v>
      </c>
      <c r="G26" s="868" t="s">
        <v>550</v>
      </c>
      <c r="H26" s="868">
        <v>6703.8817799999997</v>
      </c>
      <c r="I26" s="868">
        <v>0</v>
      </c>
      <c r="J26" s="868">
        <v>0</v>
      </c>
      <c r="K26" s="868">
        <v>6703.8817799999997</v>
      </c>
      <c r="L26" s="22"/>
    </row>
    <row r="27" spans="1:12" ht="11.25" customHeight="1">
      <c r="A27" s="871" t="s">
        <v>662</v>
      </c>
      <c r="B27" s="868" t="s">
        <v>488</v>
      </c>
      <c r="C27" s="868">
        <v>6870.6034399999999</v>
      </c>
      <c r="D27" s="868">
        <v>0</v>
      </c>
      <c r="E27" s="868">
        <v>0</v>
      </c>
      <c r="F27" s="868">
        <v>6870.6034399999999</v>
      </c>
      <c r="G27" s="868" t="s">
        <v>451</v>
      </c>
      <c r="H27" s="868">
        <v>6786.3852900000002</v>
      </c>
      <c r="I27" s="868">
        <v>0</v>
      </c>
      <c r="J27" s="868">
        <v>0</v>
      </c>
      <c r="K27" s="868">
        <v>6786.3852900000002</v>
      </c>
      <c r="L27" s="22"/>
    </row>
    <row r="28" spans="1:12" ht="11.25" customHeight="1">
      <c r="A28" s="871" t="s">
        <v>663</v>
      </c>
      <c r="B28" s="868" t="s">
        <v>522</v>
      </c>
      <c r="C28" s="868">
        <v>6910.1170899999997</v>
      </c>
      <c r="D28" s="868">
        <v>0</v>
      </c>
      <c r="E28" s="868">
        <v>0</v>
      </c>
      <c r="F28" s="868">
        <v>6910.1170899999997</v>
      </c>
      <c r="G28" s="868" t="s">
        <v>664</v>
      </c>
      <c r="H28" s="868">
        <v>6808.2870400000002</v>
      </c>
      <c r="I28" s="868">
        <v>0</v>
      </c>
      <c r="J28" s="868">
        <v>0</v>
      </c>
      <c r="K28" s="868">
        <v>6808.2870400000002</v>
      </c>
      <c r="L28" s="30"/>
    </row>
    <row r="29" spans="1:12" ht="11.25" customHeight="1">
      <c r="A29" s="871" t="s">
        <v>665</v>
      </c>
      <c r="B29" s="869" t="s">
        <v>513</v>
      </c>
      <c r="C29" s="869">
        <v>6919.0243399999999</v>
      </c>
      <c r="D29" s="869">
        <v>0</v>
      </c>
      <c r="E29" s="869">
        <v>0</v>
      </c>
      <c r="F29" s="869">
        <v>6919.0243399999999</v>
      </c>
      <c r="G29" s="868" t="s">
        <v>664</v>
      </c>
      <c r="H29" s="868">
        <v>6799.5830500000002</v>
      </c>
      <c r="I29" s="868">
        <v>0</v>
      </c>
      <c r="J29" s="868">
        <v>0</v>
      </c>
      <c r="K29" s="868">
        <v>6799.5830500000002</v>
      </c>
      <c r="L29" s="22"/>
    </row>
    <row r="30" spans="1:12" ht="11.25" customHeight="1">
      <c r="A30" s="871" t="s">
        <v>666</v>
      </c>
      <c r="B30" s="868" t="s">
        <v>513</v>
      </c>
      <c r="C30" s="868">
        <v>6855.9557999999997</v>
      </c>
      <c r="D30" s="868">
        <v>0</v>
      </c>
      <c r="E30" s="868">
        <v>0</v>
      </c>
      <c r="F30" s="868">
        <v>6855.9557999999997</v>
      </c>
      <c r="G30" s="868" t="s">
        <v>664</v>
      </c>
      <c r="H30" s="868">
        <v>6819.9402700000001</v>
      </c>
      <c r="I30" s="868">
        <v>0</v>
      </c>
      <c r="J30" s="868">
        <v>0</v>
      </c>
      <c r="K30" s="868">
        <v>6819.9402700000001</v>
      </c>
      <c r="L30" s="22"/>
    </row>
    <row r="31" spans="1:12" ht="11.25" customHeight="1">
      <c r="A31" s="871" t="s">
        <v>667</v>
      </c>
      <c r="B31" s="868" t="s">
        <v>513</v>
      </c>
      <c r="C31" s="868">
        <v>6798.7481200000002</v>
      </c>
      <c r="D31" s="868">
        <v>0</v>
      </c>
      <c r="E31" s="868">
        <v>0</v>
      </c>
      <c r="F31" s="868">
        <v>6798.7481200000002</v>
      </c>
      <c r="G31" s="868" t="s">
        <v>664</v>
      </c>
      <c r="H31" s="868">
        <v>6689.6253800000004</v>
      </c>
      <c r="I31" s="868">
        <v>0</v>
      </c>
      <c r="J31" s="868">
        <v>0</v>
      </c>
      <c r="K31" s="868">
        <v>6689.6253800000004</v>
      </c>
      <c r="L31" s="15"/>
    </row>
    <row r="32" spans="1:12" ht="11.25" customHeight="1">
      <c r="A32" s="871" t="s">
        <v>668</v>
      </c>
      <c r="B32" s="868" t="s">
        <v>669</v>
      </c>
      <c r="C32" s="868">
        <v>6401.0381900000002</v>
      </c>
      <c r="D32" s="868">
        <v>0</v>
      </c>
      <c r="E32" s="868">
        <v>0</v>
      </c>
      <c r="F32" s="868">
        <v>6401.0381900000002</v>
      </c>
      <c r="G32" s="868" t="s">
        <v>521</v>
      </c>
      <c r="H32" s="868">
        <v>6472.1294900000003</v>
      </c>
      <c r="I32" s="868">
        <v>0</v>
      </c>
      <c r="J32" s="868">
        <v>0</v>
      </c>
      <c r="K32" s="868">
        <v>6472.1294900000003</v>
      </c>
      <c r="L32" s="16"/>
    </row>
    <row r="33" spans="1:12" ht="11.25" customHeight="1">
      <c r="A33" s="871" t="s">
        <v>670</v>
      </c>
      <c r="B33" s="868" t="s">
        <v>485</v>
      </c>
      <c r="C33" s="868">
        <v>5635.4760999999999</v>
      </c>
      <c r="D33" s="868">
        <v>0</v>
      </c>
      <c r="E33" s="868">
        <v>0</v>
      </c>
      <c r="F33" s="868">
        <v>5635.4760999999999</v>
      </c>
      <c r="G33" s="868" t="s">
        <v>550</v>
      </c>
      <c r="H33" s="868">
        <v>6203.6765299999997</v>
      </c>
      <c r="I33" s="868">
        <v>0</v>
      </c>
      <c r="J33" s="868">
        <v>0</v>
      </c>
      <c r="K33" s="868">
        <v>6203.6765299999997</v>
      </c>
      <c r="L33" s="15"/>
    </row>
    <row r="34" spans="1:12" s="725" customFormat="1" ht="11.25" customHeight="1">
      <c r="A34" s="871" t="s">
        <v>671</v>
      </c>
      <c r="B34" s="868" t="s">
        <v>513</v>
      </c>
      <c r="C34" s="868">
        <v>6397.57024</v>
      </c>
      <c r="D34" s="868">
        <v>0</v>
      </c>
      <c r="E34" s="868">
        <v>0</v>
      </c>
      <c r="F34" s="868">
        <v>6397.57024</v>
      </c>
      <c r="G34" s="868" t="s">
        <v>451</v>
      </c>
      <c r="H34" s="868">
        <v>6571.2192500000001</v>
      </c>
      <c r="I34" s="868">
        <v>0</v>
      </c>
      <c r="J34" s="868">
        <v>0</v>
      </c>
      <c r="K34" s="868">
        <v>6571.2192500000001</v>
      </c>
      <c r="L34" s="15"/>
    </row>
    <row r="35" spans="1:12" ht="11.25" customHeight="1">
      <c r="A35" s="871" t="s">
        <v>672</v>
      </c>
      <c r="B35" s="868" t="s">
        <v>487</v>
      </c>
      <c r="C35" s="868">
        <v>6587.70442</v>
      </c>
      <c r="D35" s="868">
        <v>0</v>
      </c>
      <c r="E35" s="868">
        <v>0</v>
      </c>
      <c r="F35" s="868">
        <v>6587.70442</v>
      </c>
      <c r="G35" s="868" t="s">
        <v>450</v>
      </c>
      <c r="H35" s="868">
        <v>6733.0694899999999</v>
      </c>
      <c r="I35" s="868">
        <v>0</v>
      </c>
      <c r="J35" s="868">
        <v>0</v>
      </c>
      <c r="K35" s="868">
        <v>6733.0694899999999</v>
      </c>
      <c r="L35" s="15"/>
    </row>
    <row r="36" spans="1:12" ht="11.25" customHeight="1">
      <c r="A36" s="871" t="s">
        <v>673</v>
      </c>
      <c r="B36" s="868" t="s">
        <v>513</v>
      </c>
      <c r="C36" s="868">
        <v>6578.1752500000002</v>
      </c>
      <c r="D36" s="868">
        <v>0</v>
      </c>
      <c r="E36" s="868">
        <v>0</v>
      </c>
      <c r="F36" s="868">
        <v>6578.1752500000002</v>
      </c>
      <c r="G36" s="868" t="s">
        <v>521</v>
      </c>
      <c r="H36" s="868">
        <v>6708.5978800000003</v>
      </c>
      <c r="I36" s="868">
        <v>0</v>
      </c>
      <c r="J36" s="868">
        <v>0</v>
      </c>
      <c r="K36" s="868">
        <v>6708.5978800000003</v>
      </c>
      <c r="L36" s="22"/>
    </row>
    <row r="37" spans="1:12" ht="11.25" customHeight="1">
      <c r="A37" s="871" t="s">
        <v>674</v>
      </c>
      <c r="B37" s="868" t="s">
        <v>522</v>
      </c>
      <c r="C37" s="868">
        <v>6754.99982</v>
      </c>
      <c r="D37" s="868">
        <v>0</v>
      </c>
      <c r="E37" s="868">
        <v>0</v>
      </c>
      <c r="F37" s="868">
        <v>6754.99982</v>
      </c>
      <c r="G37" s="868" t="s">
        <v>547</v>
      </c>
      <c r="H37" s="868">
        <v>6738.5884100000003</v>
      </c>
      <c r="I37" s="868">
        <v>0</v>
      </c>
      <c r="J37" s="868">
        <v>0</v>
      </c>
      <c r="K37" s="868">
        <v>6738.5884100000003</v>
      </c>
      <c r="L37" s="22"/>
    </row>
    <row r="38" spans="1:12" ht="11.25" customHeight="1">
      <c r="A38" s="871" t="s">
        <v>675</v>
      </c>
      <c r="B38" s="868" t="s">
        <v>487</v>
      </c>
      <c r="C38" s="868">
        <v>6880.6408300000003</v>
      </c>
      <c r="D38" s="868">
        <v>0</v>
      </c>
      <c r="E38" s="868">
        <v>0</v>
      </c>
      <c r="F38" s="868">
        <v>6880.6408300000003</v>
      </c>
      <c r="G38" s="868" t="s">
        <v>450</v>
      </c>
      <c r="H38" s="868">
        <v>6687.2362499999999</v>
      </c>
      <c r="I38" s="868">
        <v>0</v>
      </c>
      <c r="J38" s="868">
        <v>0</v>
      </c>
      <c r="K38" s="868">
        <v>6687.2362499999999</v>
      </c>
      <c r="L38" s="22"/>
    </row>
    <row r="39" spans="1:12" ht="11.25" customHeight="1">
      <c r="A39" s="871" t="s">
        <v>676</v>
      </c>
      <c r="B39" s="868" t="s">
        <v>487</v>
      </c>
      <c r="C39" s="868">
        <v>6759.2327699999996</v>
      </c>
      <c r="D39" s="868">
        <v>0</v>
      </c>
      <c r="E39" s="868">
        <v>0</v>
      </c>
      <c r="F39" s="868">
        <v>6759.2327699999996</v>
      </c>
      <c r="G39" s="869" t="s">
        <v>545</v>
      </c>
      <c r="H39" s="869">
        <v>6836.6023299999997</v>
      </c>
      <c r="I39" s="869">
        <v>0</v>
      </c>
      <c r="J39" s="869">
        <v>0</v>
      </c>
      <c r="K39" s="869">
        <v>6836.6023299999997</v>
      </c>
      <c r="L39" s="22"/>
    </row>
    <row r="40" spans="1:12" ht="11.25" customHeight="1">
      <c r="A40" s="871" t="s">
        <v>677</v>
      </c>
      <c r="B40" s="868" t="s">
        <v>490</v>
      </c>
      <c r="C40" s="868">
        <v>6026.165</v>
      </c>
      <c r="D40" s="868">
        <v>0</v>
      </c>
      <c r="E40" s="868">
        <v>0</v>
      </c>
      <c r="F40" s="868">
        <v>6026.165</v>
      </c>
      <c r="G40" s="868" t="s">
        <v>545</v>
      </c>
      <c r="H40" s="868">
        <v>6557.2466700000004</v>
      </c>
      <c r="I40" s="868">
        <v>0</v>
      </c>
      <c r="J40" s="868">
        <v>0</v>
      </c>
      <c r="K40" s="868">
        <v>6557.2466700000004</v>
      </c>
      <c r="L40" s="22"/>
    </row>
    <row r="41" spans="1:12" ht="11.25" customHeight="1">
      <c r="A41" s="871" t="s">
        <v>678</v>
      </c>
      <c r="B41" s="868" t="s">
        <v>513</v>
      </c>
      <c r="C41" s="868">
        <v>6741.8059700000003</v>
      </c>
      <c r="D41" s="868">
        <v>0</v>
      </c>
      <c r="E41" s="868">
        <v>0</v>
      </c>
      <c r="F41" s="868">
        <v>6741.8059700000003</v>
      </c>
      <c r="G41" s="868" t="s">
        <v>451</v>
      </c>
      <c r="H41" s="868">
        <v>6793.0249400000002</v>
      </c>
      <c r="I41" s="868">
        <v>0</v>
      </c>
      <c r="J41" s="868">
        <v>0</v>
      </c>
      <c r="K41" s="868">
        <v>6793.0249400000002</v>
      </c>
      <c r="L41" s="22"/>
    </row>
    <row r="42" spans="1:12" s="725" customFormat="1" ht="11.25" customHeight="1">
      <c r="A42" s="625"/>
      <c r="B42" s="872"/>
      <c r="C42" s="872"/>
      <c r="D42" s="872"/>
      <c r="E42" s="872"/>
      <c r="F42" s="872"/>
      <c r="G42" s="872"/>
      <c r="H42" s="872"/>
      <c r="I42" s="872"/>
      <c r="J42" s="872"/>
      <c r="K42" s="872"/>
      <c r="L42" s="22"/>
    </row>
    <row r="43" spans="1:12" ht="11.25" customHeight="1">
      <c r="A43" s="870"/>
      <c r="B43" s="870"/>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96"/>
      <c r="C52" s="196"/>
      <c r="D52" s="196"/>
      <c r="E52" s="196"/>
      <c r="F52" s="196"/>
      <c r="G52" s="196"/>
      <c r="H52" s="196"/>
      <c r="I52" s="196"/>
      <c r="J52" s="196"/>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11"/>
      <c r="C57" s="111"/>
      <c r="D57" s="111"/>
      <c r="E57" s="111"/>
      <c r="F57" s="111"/>
      <c r="G57" s="111"/>
      <c r="H57" s="111"/>
      <c r="I57" s="111"/>
      <c r="J57" s="111"/>
      <c r="K57" s="198"/>
    </row>
    <row r="58" spans="1:11" ht="13.2">
      <c r="A58" s="196"/>
      <c r="B58" s="197"/>
      <c r="C58" s="197"/>
      <c r="D58" s="197"/>
      <c r="E58" s="197"/>
      <c r="F58" s="197"/>
      <c r="G58" s="197"/>
      <c r="H58" s="197"/>
      <c r="I58" s="197"/>
      <c r="J58" s="197"/>
      <c r="K58" s="198"/>
    </row>
    <row r="59" spans="1:11" ht="13.2">
      <c r="A59" s="196"/>
      <c r="B59" s="197"/>
      <c r="C59" s="197"/>
      <c r="D59" s="197"/>
      <c r="E59" s="197"/>
      <c r="F59" s="197"/>
      <c r="G59" s="197"/>
      <c r="H59" s="197"/>
      <c r="I59" s="197"/>
      <c r="J59" s="197"/>
      <c r="K59" s="198"/>
    </row>
    <row r="60" spans="1:11" ht="13.2">
      <c r="A60" s="196"/>
      <c r="B60" s="200"/>
      <c r="C60" s="198"/>
      <c r="D60" s="198"/>
      <c r="E60" s="198"/>
      <c r="F60" s="198"/>
      <c r="G60" s="197"/>
      <c r="H60" s="197"/>
      <c r="I60" s="197"/>
      <c r="J60" s="197"/>
      <c r="K60" s="198"/>
    </row>
    <row r="61" spans="1:11" ht="13.2">
      <c r="A61" s="201"/>
      <c r="B61" s="202"/>
      <c r="C61" s="202"/>
      <c r="D61" s="202"/>
      <c r="E61" s="202"/>
      <c r="F61" s="202"/>
      <c r="G61" s="202"/>
      <c r="H61" s="197"/>
      <c r="I61" s="197"/>
      <c r="J61" s="197"/>
      <c r="K61" s="198"/>
    </row>
    <row r="62" spans="1:11" ht="13.2">
      <c r="A62" s="201"/>
      <c r="B62" s="202"/>
      <c r="C62" s="202"/>
      <c r="D62" s="202"/>
      <c r="E62" s="202"/>
      <c r="F62" s="202"/>
      <c r="G62" s="202"/>
      <c r="H62" s="197"/>
      <c r="I62" s="197"/>
      <c r="J62" s="197"/>
      <c r="K62" s="197"/>
    </row>
    <row r="63" spans="1:11" ht="13.2">
      <c r="A63" s="201"/>
      <c r="B63" s="202"/>
      <c r="C63" s="202"/>
      <c r="D63" s="202"/>
      <c r="E63" s="202"/>
      <c r="F63" s="202"/>
      <c r="G63" s="202"/>
      <c r="H63" s="197"/>
      <c r="I63" s="197"/>
      <c r="J63" s="197"/>
      <c r="K63"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3"/>
  <sheetViews>
    <sheetView showGridLines="0" view="pageBreakPreview" zoomScale="130" zoomScaleNormal="100" zoomScaleSheetLayoutView="130" workbookViewId="0">
      <selection activeCell="T44" sqref="T44"/>
    </sheetView>
  </sheetViews>
  <sheetFormatPr baseColWidth="10" defaultColWidth="9.28515625" defaultRowHeight="9.6"/>
  <cols>
    <col min="1" max="1" width="16.140625" style="802" customWidth="1"/>
    <col min="2" max="2" width="19.7109375" style="802" customWidth="1"/>
    <col min="3" max="3" width="12.85546875" style="802" bestFit="1" customWidth="1"/>
    <col min="4" max="4" width="57.42578125" style="802" customWidth="1"/>
    <col min="5" max="5" width="12.42578125" style="802" customWidth="1"/>
    <col min="6" max="6" width="10.42578125" style="802" customWidth="1"/>
    <col min="7" max="8" width="9.28515625" style="802" customWidth="1"/>
    <col min="9" max="16384" width="9.28515625" style="802"/>
  </cols>
  <sheetData>
    <row r="1" spans="1:9" ht="11.25" customHeight="1">
      <c r="A1" s="800" t="s">
        <v>365</v>
      </c>
      <c r="B1" s="801"/>
      <c r="C1" s="801"/>
      <c r="D1" s="801"/>
      <c r="E1" s="801"/>
      <c r="F1" s="801"/>
    </row>
    <row r="2" spans="1:9" ht="30" customHeight="1">
      <c r="A2" s="803" t="s">
        <v>250</v>
      </c>
      <c r="B2" s="804" t="s">
        <v>366</v>
      </c>
      <c r="C2" s="803" t="s">
        <v>355</v>
      </c>
      <c r="D2" s="805" t="s">
        <v>367</v>
      </c>
      <c r="E2" s="806" t="s">
        <v>368</v>
      </c>
      <c r="F2" s="806" t="s">
        <v>369</v>
      </c>
      <c r="G2" s="807"/>
      <c r="H2" s="808"/>
      <c r="I2" s="809"/>
    </row>
    <row r="3" spans="1:9" ht="55.8" customHeight="1">
      <c r="A3" s="812" t="s">
        <v>557</v>
      </c>
      <c r="B3" s="812" t="s">
        <v>558</v>
      </c>
      <c r="C3" s="810">
        <v>44136.012499999997</v>
      </c>
      <c r="D3" s="811" t="s">
        <v>559</v>
      </c>
      <c r="E3" s="812">
        <v>19.29</v>
      </c>
      <c r="F3" s="812"/>
      <c r="H3" s="807"/>
      <c r="I3" s="809"/>
    </row>
    <row r="4" spans="1:9" ht="62.4" customHeight="1">
      <c r="A4" s="812" t="s">
        <v>560</v>
      </c>
      <c r="B4" s="812" t="s">
        <v>561</v>
      </c>
      <c r="C4" s="810">
        <v>44136.271527777775</v>
      </c>
      <c r="D4" s="811" t="s">
        <v>562</v>
      </c>
      <c r="E4" s="812">
        <v>3.27</v>
      </c>
      <c r="F4" s="812"/>
      <c r="G4" s="813"/>
      <c r="H4" s="813"/>
      <c r="I4" s="814"/>
    </row>
    <row r="5" spans="1:9" ht="71.400000000000006" customHeight="1">
      <c r="A5" s="812" t="s">
        <v>529</v>
      </c>
      <c r="B5" s="812" t="s">
        <v>563</v>
      </c>
      <c r="C5" s="810">
        <v>44136.597222222219</v>
      </c>
      <c r="D5" s="811" t="s">
        <v>564</v>
      </c>
      <c r="E5" s="812">
        <v>0.96</v>
      </c>
      <c r="F5" s="812"/>
      <c r="G5" s="813"/>
      <c r="H5" s="813"/>
      <c r="I5" s="815"/>
    </row>
    <row r="6" spans="1:9" ht="61.5" customHeight="1">
      <c r="A6" s="812" t="s">
        <v>530</v>
      </c>
      <c r="B6" s="812" t="s">
        <v>538</v>
      </c>
      <c r="C6" s="810">
        <v>44136.611111111109</v>
      </c>
      <c r="D6" s="811" t="s">
        <v>565</v>
      </c>
      <c r="E6" s="812">
        <v>1.5</v>
      </c>
      <c r="F6" s="812"/>
      <c r="G6" s="813"/>
      <c r="H6" s="813"/>
      <c r="I6" s="816"/>
    </row>
    <row r="7" spans="1:9" ht="67.5" customHeight="1">
      <c r="A7" s="812" t="s">
        <v>537</v>
      </c>
      <c r="B7" s="812" t="s">
        <v>566</v>
      </c>
      <c r="C7" s="810">
        <v>44136.664583333331</v>
      </c>
      <c r="D7" s="811" t="s">
        <v>567</v>
      </c>
      <c r="E7" s="812"/>
      <c r="F7" s="812">
        <v>17.47</v>
      </c>
      <c r="G7" s="813"/>
      <c r="H7" s="813"/>
      <c r="I7" s="817"/>
    </row>
    <row r="8" spans="1:9" ht="61.5" customHeight="1">
      <c r="A8" s="812" t="s">
        <v>529</v>
      </c>
      <c r="B8" s="812" t="s">
        <v>568</v>
      </c>
      <c r="C8" s="810">
        <v>44137.466666666667</v>
      </c>
      <c r="D8" s="811" t="s">
        <v>569</v>
      </c>
      <c r="E8" s="812">
        <v>0.72</v>
      </c>
      <c r="F8" s="812"/>
      <c r="G8" s="813"/>
      <c r="H8" s="813"/>
      <c r="I8" s="816"/>
    </row>
    <row r="9" spans="1:9" ht="49.8" customHeight="1">
      <c r="A9" s="812" t="s">
        <v>560</v>
      </c>
      <c r="B9" s="812" t="s">
        <v>535</v>
      </c>
      <c r="C9" s="810">
        <v>44137.624305555553</v>
      </c>
      <c r="D9" s="811" t="s">
        <v>570</v>
      </c>
      <c r="E9" s="818">
        <v>10.33</v>
      </c>
      <c r="F9" s="818"/>
      <c r="G9" s="813"/>
      <c r="H9" s="813"/>
      <c r="I9" s="816"/>
    </row>
    <row r="10" spans="1:9" ht="46.8" customHeight="1">
      <c r="A10" s="812" t="s">
        <v>536</v>
      </c>
      <c r="B10" s="812" t="s">
        <v>571</v>
      </c>
      <c r="C10" s="810">
        <v>44138.040277777778</v>
      </c>
      <c r="D10" s="811" t="s">
        <v>572</v>
      </c>
      <c r="E10" s="818"/>
      <c r="F10" s="818">
        <v>10.54</v>
      </c>
    </row>
    <row r="11" spans="1:9" ht="73.5" customHeight="1">
      <c r="A11" s="812" t="s">
        <v>529</v>
      </c>
      <c r="B11" s="812" t="s">
        <v>573</v>
      </c>
      <c r="C11" s="810">
        <v>44138.106249999997</v>
      </c>
      <c r="D11" s="811" t="s">
        <v>574</v>
      </c>
      <c r="E11" s="812">
        <v>8.7100000000000009</v>
      </c>
      <c r="F11" s="812"/>
    </row>
    <row r="12" spans="1:9" ht="48" customHeight="1">
      <c r="A12" s="812" t="s">
        <v>575</v>
      </c>
      <c r="B12" s="812" t="s">
        <v>576</v>
      </c>
      <c r="C12" s="810">
        <v>44138.428472222222</v>
      </c>
      <c r="D12" s="811" t="s">
        <v>577</v>
      </c>
      <c r="E12" s="812">
        <v>0.04</v>
      </c>
      <c r="F12" s="812"/>
    </row>
    <row r="13" spans="1:9" ht="63" customHeight="1">
      <c r="A13" s="812" t="s">
        <v>536</v>
      </c>
      <c r="B13" s="812" t="s">
        <v>571</v>
      </c>
      <c r="C13" s="810">
        <v>44138.48333333333</v>
      </c>
      <c r="D13" s="811" t="s">
        <v>578</v>
      </c>
      <c r="E13" s="812"/>
      <c r="F13" s="812">
        <v>15.55</v>
      </c>
    </row>
    <row r="14" spans="1:9" ht="67.2" customHeight="1">
      <c r="A14" s="812" t="s">
        <v>529</v>
      </c>
      <c r="B14" s="812" t="s">
        <v>573</v>
      </c>
      <c r="C14" s="810">
        <v>44138.728472222225</v>
      </c>
      <c r="D14" s="811" t="s">
        <v>579</v>
      </c>
      <c r="E14" s="812">
        <v>10.4</v>
      </c>
      <c r="F14" s="812"/>
    </row>
    <row r="15" spans="1:9" ht="66" customHeight="1">
      <c r="A15" s="812" t="s">
        <v>580</v>
      </c>
      <c r="B15" s="812" t="s">
        <v>581</v>
      </c>
      <c r="C15" s="810">
        <v>44140.176388888889</v>
      </c>
      <c r="D15" s="811" t="s">
        <v>582</v>
      </c>
      <c r="E15" s="812">
        <v>5</v>
      </c>
      <c r="F15" s="812"/>
    </row>
    <row r="16" spans="1:9">
      <c r="C16" s="819"/>
      <c r="E16" s="820"/>
      <c r="F16" s="820"/>
    </row>
    <row r="17" spans="3:6">
      <c r="C17" s="819"/>
      <c r="E17" s="820"/>
      <c r="F17" s="820"/>
    </row>
    <row r="18" spans="3:6">
      <c r="C18" s="819"/>
      <c r="E18" s="820"/>
      <c r="F18" s="820"/>
    </row>
    <row r="19" spans="3:6">
      <c r="C19" s="819"/>
      <c r="E19" s="820"/>
      <c r="F19" s="820"/>
    </row>
    <row r="20" spans="3:6">
      <c r="C20" s="819"/>
      <c r="E20" s="820"/>
      <c r="F20" s="820"/>
    </row>
    <row r="21" spans="3:6">
      <c r="C21" s="819"/>
      <c r="E21" s="820"/>
      <c r="F21" s="820"/>
    </row>
    <row r="22" spans="3:6">
      <c r="C22" s="819"/>
      <c r="E22" s="820"/>
      <c r="F22" s="820"/>
    </row>
    <row r="23" spans="3:6">
      <c r="C23" s="819"/>
      <c r="E23" s="820"/>
      <c r="F23" s="820"/>
    </row>
    <row r="24" spans="3:6">
      <c r="C24" s="819"/>
      <c r="E24" s="820"/>
      <c r="F24" s="820"/>
    </row>
    <row r="25" spans="3:6">
      <c r="C25" s="819"/>
      <c r="E25" s="820"/>
      <c r="F25" s="820"/>
    </row>
    <row r="26" spans="3:6">
      <c r="C26" s="819"/>
      <c r="E26" s="820"/>
      <c r="F26" s="820"/>
    </row>
    <row r="27" spans="3:6">
      <c r="C27" s="819"/>
      <c r="E27" s="820"/>
      <c r="F27" s="820"/>
    </row>
    <row r="28" spans="3:6">
      <c r="C28" s="819"/>
      <c r="E28" s="820"/>
      <c r="F28" s="820"/>
    </row>
    <row r="29" spans="3:6">
      <c r="C29" s="819"/>
      <c r="E29" s="820"/>
      <c r="F29" s="820"/>
    </row>
    <row r="30" spans="3:6">
      <c r="C30" s="819"/>
      <c r="E30" s="820"/>
      <c r="F30" s="820"/>
    </row>
    <row r="31" spans="3:6">
      <c r="C31" s="819"/>
      <c r="E31" s="820"/>
      <c r="F31" s="820"/>
    </row>
    <row r="32" spans="3:6">
      <c r="C32" s="819"/>
      <c r="E32" s="820"/>
      <c r="F32" s="820"/>
    </row>
    <row r="33" spans="3:6">
      <c r="C33" s="819"/>
      <c r="E33" s="820"/>
      <c r="F33" s="820"/>
    </row>
    <row r="34" spans="3:6">
      <c r="C34" s="819"/>
      <c r="E34" s="820"/>
      <c r="F34" s="820"/>
    </row>
    <row r="35" spans="3:6">
      <c r="C35" s="819"/>
      <c r="E35" s="820"/>
      <c r="F35" s="820"/>
    </row>
    <row r="36" spans="3:6">
      <c r="C36" s="819"/>
      <c r="E36" s="820"/>
      <c r="F36" s="820"/>
    </row>
    <row r="37" spans="3:6">
      <c r="C37" s="819"/>
      <c r="E37" s="820"/>
      <c r="F37" s="820"/>
    </row>
    <row r="38" spans="3:6">
      <c r="C38" s="819"/>
      <c r="E38" s="820"/>
      <c r="F38" s="820"/>
    </row>
    <row r="39" spans="3:6">
      <c r="C39" s="819"/>
      <c r="E39" s="820"/>
      <c r="F39" s="820"/>
    </row>
    <row r="40" spans="3:6">
      <c r="C40" s="819"/>
      <c r="E40" s="820"/>
      <c r="F40" s="820"/>
    </row>
    <row r="41" spans="3:6">
      <c r="E41" s="820"/>
      <c r="F41" s="820"/>
    </row>
    <row r="42" spans="3:6">
      <c r="E42" s="820"/>
      <c r="F42" s="820"/>
    </row>
    <row r="43" spans="3:6">
      <c r="E43" s="820"/>
      <c r="F43" s="820"/>
    </row>
    <row r="44" spans="3:6">
      <c r="E44" s="820"/>
      <c r="F44" s="820"/>
    </row>
    <row r="45" spans="3:6">
      <c r="E45" s="820"/>
      <c r="F45" s="820"/>
    </row>
    <row r="46" spans="3:6">
      <c r="E46" s="820"/>
      <c r="F46" s="820"/>
    </row>
    <row r="47" spans="3:6">
      <c r="E47" s="820"/>
      <c r="F47" s="820"/>
    </row>
    <row r="48" spans="3:6">
      <c r="E48" s="820"/>
      <c r="F48" s="820"/>
    </row>
    <row r="49" spans="5:6">
      <c r="E49" s="820"/>
      <c r="F49" s="820"/>
    </row>
    <row r="50" spans="5:6">
      <c r="E50" s="820"/>
      <c r="F50" s="820"/>
    </row>
    <row r="51" spans="5:6">
      <c r="E51" s="820"/>
      <c r="F51" s="820"/>
    </row>
    <row r="52" spans="5:6">
      <c r="E52" s="820"/>
      <c r="F52" s="820"/>
    </row>
    <row r="53" spans="5:6">
      <c r="E53" s="820"/>
      <c r="F53" s="820"/>
    </row>
    <row r="54" spans="5:6">
      <c r="E54" s="820"/>
      <c r="F54" s="820"/>
    </row>
    <row r="55" spans="5:6">
      <c r="E55" s="820"/>
      <c r="F55" s="820"/>
    </row>
    <row r="56" spans="5:6">
      <c r="E56" s="820"/>
      <c r="F56" s="820"/>
    </row>
    <row r="57" spans="5:6">
      <c r="E57" s="820"/>
      <c r="F57" s="820"/>
    </row>
    <row r="58" spans="5:6">
      <c r="E58" s="820"/>
      <c r="F58" s="820"/>
    </row>
    <row r="59" spans="5:6">
      <c r="E59" s="820"/>
      <c r="F59" s="820"/>
    </row>
    <row r="60" spans="5:6">
      <c r="E60" s="820"/>
      <c r="F60" s="820"/>
    </row>
    <row r="61" spans="5:6">
      <c r="E61" s="820"/>
      <c r="F61" s="820"/>
    </row>
    <row r="62" spans="5:6">
      <c r="E62" s="820"/>
      <c r="F62" s="820"/>
    </row>
    <row r="63" spans="5:6">
      <c r="E63" s="820"/>
      <c r="F63" s="820"/>
    </row>
    <row r="64" spans="5:6">
      <c r="E64" s="820"/>
      <c r="F64" s="820"/>
    </row>
    <row r="65" spans="5:6">
      <c r="E65" s="820"/>
      <c r="F65" s="820"/>
    </row>
    <row r="66" spans="5:6">
      <c r="E66" s="820"/>
      <c r="F66" s="820"/>
    </row>
    <row r="67" spans="5:6">
      <c r="E67" s="820"/>
      <c r="F67" s="820"/>
    </row>
    <row r="68" spans="5:6">
      <c r="E68" s="820"/>
      <c r="F68" s="820"/>
    </row>
    <row r="69" spans="5:6">
      <c r="E69" s="820"/>
      <c r="F69" s="820"/>
    </row>
    <row r="70" spans="5:6">
      <c r="E70" s="820"/>
      <c r="F70" s="820"/>
    </row>
    <row r="71" spans="5:6">
      <c r="E71" s="820"/>
      <c r="F71" s="820"/>
    </row>
    <row r="72" spans="5:6">
      <c r="E72" s="820"/>
      <c r="F72" s="820"/>
    </row>
    <row r="73" spans="5:6">
      <c r="E73" s="820"/>
      <c r="F73" s="820"/>
    </row>
    <row r="74" spans="5:6">
      <c r="E74" s="820"/>
      <c r="F74" s="820"/>
    </row>
    <row r="75" spans="5:6">
      <c r="E75" s="820"/>
      <c r="F75" s="820"/>
    </row>
    <row r="76" spans="5:6">
      <c r="E76" s="820"/>
      <c r="F76" s="820"/>
    </row>
    <row r="77" spans="5:6">
      <c r="E77" s="820"/>
      <c r="F77" s="820"/>
    </row>
    <row r="78" spans="5:6">
      <c r="E78" s="820"/>
      <c r="F78" s="820"/>
    </row>
    <row r="79" spans="5:6">
      <c r="E79" s="820"/>
      <c r="F79" s="820"/>
    </row>
    <row r="80" spans="5:6">
      <c r="E80" s="820"/>
      <c r="F80" s="820"/>
    </row>
    <row r="81" spans="5:6">
      <c r="E81" s="820"/>
      <c r="F81" s="820"/>
    </row>
    <row r="82" spans="5:6">
      <c r="E82" s="820"/>
      <c r="F82" s="820"/>
    </row>
    <row r="83" spans="5:6">
      <c r="E83" s="820"/>
      <c r="F83" s="820"/>
    </row>
    <row r="84" spans="5:6">
      <c r="E84" s="820"/>
      <c r="F84" s="820"/>
    </row>
    <row r="85" spans="5:6">
      <c r="E85" s="820"/>
      <c r="F85" s="820"/>
    </row>
    <row r="86" spans="5:6">
      <c r="E86" s="820"/>
      <c r="F86" s="820"/>
    </row>
    <row r="87" spans="5:6">
      <c r="E87" s="820"/>
      <c r="F87" s="820"/>
    </row>
    <row r="88" spans="5:6">
      <c r="E88" s="820"/>
      <c r="F88" s="820"/>
    </row>
    <row r="89" spans="5:6">
      <c r="E89" s="820"/>
      <c r="F89" s="820"/>
    </row>
    <row r="90" spans="5:6">
      <c r="E90" s="820"/>
      <c r="F90" s="820"/>
    </row>
    <row r="91" spans="5:6">
      <c r="E91" s="820"/>
      <c r="F91" s="820"/>
    </row>
    <row r="92" spans="5:6">
      <c r="E92" s="820"/>
      <c r="F92" s="820"/>
    </row>
    <row r="93" spans="5:6">
      <c r="E93" s="820"/>
      <c r="F93" s="820"/>
    </row>
    <row r="94" spans="5:6">
      <c r="E94" s="820"/>
      <c r="F94" s="820"/>
    </row>
    <row r="95" spans="5:6">
      <c r="E95" s="820"/>
      <c r="F95" s="820"/>
    </row>
    <row r="96" spans="5:6">
      <c r="E96" s="820"/>
      <c r="F96" s="820"/>
    </row>
    <row r="97" spans="5:6">
      <c r="E97" s="820"/>
      <c r="F97" s="820"/>
    </row>
    <row r="98" spans="5:6">
      <c r="E98" s="820"/>
      <c r="F98" s="820"/>
    </row>
    <row r="99" spans="5:6">
      <c r="E99" s="820"/>
      <c r="F99" s="820"/>
    </row>
    <row r="100" spans="5:6">
      <c r="E100" s="820"/>
      <c r="F100" s="820"/>
    </row>
    <row r="101" spans="5:6">
      <c r="E101" s="820"/>
      <c r="F101" s="820"/>
    </row>
    <row r="102" spans="5:6">
      <c r="E102" s="820"/>
      <c r="F102" s="820"/>
    </row>
    <row r="103" spans="5:6">
      <c r="E103" s="820"/>
      <c r="F103" s="820"/>
    </row>
    <row r="104" spans="5:6">
      <c r="E104" s="820"/>
      <c r="F104" s="820"/>
    </row>
    <row r="105" spans="5:6">
      <c r="E105" s="820"/>
      <c r="F105" s="820"/>
    </row>
    <row r="106" spans="5:6">
      <c r="E106" s="820"/>
      <c r="F106" s="820"/>
    </row>
    <row r="107" spans="5:6">
      <c r="E107" s="820"/>
      <c r="F107" s="820"/>
    </row>
    <row r="108" spans="5:6">
      <c r="E108" s="820"/>
      <c r="F108" s="820"/>
    </row>
    <row r="109" spans="5:6">
      <c r="E109" s="820"/>
      <c r="F109" s="820"/>
    </row>
    <row r="110" spans="5:6">
      <c r="E110" s="820"/>
      <c r="F110" s="820"/>
    </row>
    <row r="111" spans="5:6">
      <c r="E111" s="820"/>
      <c r="F111" s="820"/>
    </row>
    <row r="112" spans="5:6">
      <c r="E112" s="820"/>
      <c r="F112" s="820"/>
    </row>
    <row r="113" spans="5:6">
      <c r="E113" s="820"/>
      <c r="F113" s="820"/>
    </row>
    <row r="114" spans="5:6">
      <c r="E114" s="820"/>
      <c r="F114" s="820"/>
    </row>
    <row r="115" spans="5:6">
      <c r="E115" s="820"/>
      <c r="F115" s="820"/>
    </row>
    <row r="116" spans="5:6">
      <c r="E116" s="820"/>
      <c r="F116" s="820"/>
    </row>
    <row r="117" spans="5:6">
      <c r="E117" s="820"/>
      <c r="F117" s="820"/>
    </row>
    <row r="118" spans="5:6">
      <c r="E118" s="820"/>
      <c r="F118" s="820"/>
    </row>
    <row r="119" spans="5:6">
      <c r="E119" s="820"/>
      <c r="F119" s="820"/>
    </row>
    <row r="120" spans="5:6">
      <c r="E120" s="820"/>
      <c r="F120" s="820"/>
    </row>
    <row r="121" spans="5:6">
      <c r="E121" s="820"/>
      <c r="F121" s="820"/>
    </row>
    <row r="122" spans="5:6">
      <c r="E122" s="820"/>
      <c r="F122" s="820"/>
    </row>
    <row r="123" spans="5:6">
      <c r="E123" s="820"/>
      <c r="F123" s="820"/>
    </row>
    <row r="124" spans="5:6">
      <c r="E124" s="820"/>
      <c r="F124" s="820"/>
    </row>
    <row r="125" spans="5:6">
      <c r="E125" s="820"/>
      <c r="F125" s="820"/>
    </row>
    <row r="126" spans="5:6">
      <c r="E126" s="820"/>
      <c r="F126" s="820"/>
    </row>
    <row r="127" spans="5:6">
      <c r="E127" s="820"/>
      <c r="F127" s="820"/>
    </row>
    <row r="128" spans="5:6">
      <c r="E128" s="820"/>
      <c r="F128" s="820"/>
    </row>
    <row r="129" spans="5:6">
      <c r="E129" s="820"/>
      <c r="F129" s="820"/>
    </row>
    <row r="130" spans="5:6">
      <c r="E130" s="820"/>
      <c r="F130" s="820"/>
    </row>
    <row r="131" spans="5:6">
      <c r="E131" s="820"/>
      <c r="F131" s="820"/>
    </row>
    <row r="132" spans="5:6">
      <c r="E132" s="820"/>
      <c r="F132" s="820"/>
    </row>
    <row r="133" spans="5:6">
      <c r="E133" s="820"/>
      <c r="F133" s="82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Mensual-Noviembre 2020
INFSGI-MES-11-2020
14/12/2020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4"/>
  <sheetViews>
    <sheetView showGridLines="0" view="pageBreakPreview" zoomScale="130" zoomScaleNormal="100" zoomScaleSheetLayoutView="130" workbookViewId="0">
      <selection activeCell="T44" sqref="T44"/>
    </sheetView>
  </sheetViews>
  <sheetFormatPr baseColWidth="10" defaultColWidth="9.28515625" defaultRowHeight="9.6"/>
  <cols>
    <col min="1" max="1" width="16.140625" style="802" customWidth="1"/>
    <col min="2" max="2" width="19.7109375" style="802" customWidth="1"/>
    <col min="3" max="3" width="12.85546875" style="802" bestFit="1" customWidth="1"/>
    <col min="4" max="4" width="59.85546875" style="802" customWidth="1"/>
    <col min="5" max="5" width="11.7109375" style="802" customWidth="1"/>
    <col min="6" max="6" width="10.42578125" style="802" customWidth="1"/>
    <col min="7" max="8" width="9.28515625" style="802" customWidth="1"/>
    <col min="9" max="16384" width="9.28515625" style="802"/>
  </cols>
  <sheetData>
    <row r="1" spans="1:9" ht="11.25" customHeight="1">
      <c r="A1" s="800" t="s">
        <v>365</v>
      </c>
      <c r="B1" s="801"/>
      <c r="C1" s="801"/>
      <c r="D1" s="801"/>
      <c r="E1" s="801"/>
      <c r="F1" s="801"/>
    </row>
    <row r="2" spans="1:9" ht="30" customHeight="1">
      <c r="A2" s="803" t="s">
        <v>250</v>
      </c>
      <c r="B2" s="804" t="s">
        <v>366</v>
      </c>
      <c r="C2" s="803" t="s">
        <v>355</v>
      </c>
      <c r="D2" s="805" t="s">
        <v>367</v>
      </c>
      <c r="E2" s="806" t="s">
        <v>368</v>
      </c>
      <c r="F2" s="806" t="s">
        <v>369</v>
      </c>
      <c r="G2" s="807"/>
      <c r="H2" s="808"/>
      <c r="I2" s="809"/>
    </row>
    <row r="3" spans="1:9" ht="79.8" customHeight="1">
      <c r="A3" s="812" t="s">
        <v>519</v>
      </c>
      <c r="B3" s="812" t="s">
        <v>583</v>
      </c>
      <c r="C3" s="810">
        <v>44141.73541666667</v>
      </c>
      <c r="D3" s="811" t="s">
        <v>584</v>
      </c>
      <c r="E3" s="812">
        <v>26.71</v>
      </c>
      <c r="F3" s="812"/>
      <c r="G3" s="813"/>
      <c r="H3" s="813"/>
      <c r="I3" s="815"/>
    </row>
    <row r="4" spans="1:9" ht="52.8" customHeight="1">
      <c r="A4" s="812" t="s">
        <v>585</v>
      </c>
      <c r="B4" s="812" t="s">
        <v>586</v>
      </c>
      <c r="C4" s="810">
        <v>44144.065972222219</v>
      </c>
      <c r="D4" s="811" t="s">
        <v>587</v>
      </c>
      <c r="E4" s="812">
        <v>8.58</v>
      </c>
      <c r="F4" s="812"/>
      <c r="G4" s="813"/>
      <c r="H4" s="813"/>
      <c r="I4" s="816"/>
    </row>
    <row r="5" spans="1:9" ht="65.400000000000006" customHeight="1">
      <c r="A5" s="812" t="s">
        <v>92</v>
      </c>
      <c r="B5" s="812" t="s">
        <v>588</v>
      </c>
      <c r="C5" s="810">
        <v>44144.131944444445</v>
      </c>
      <c r="D5" s="811" t="s">
        <v>589</v>
      </c>
      <c r="E5" s="812"/>
      <c r="F5" s="812">
        <v>10</v>
      </c>
      <c r="G5" s="813"/>
      <c r="H5" s="813"/>
      <c r="I5" s="817"/>
    </row>
    <row r="6" spans="1:9" ht="72" customHeight="1">
      <c r="A6" s="812" t="s">
        <v>92</v>
      </c>
      <c r="B6" s="812" t="s">
        <v>588</v>
      </c>
      <c r="C6" s="810">
        <v>44144.567361111112</v>
      </c>
      <c r="D6" s="811" t="s">
        <v>590</v>
      </c>
      <c r="E6" s="812">
        <v>10.83</v>
      </c>
      <c r="F6" s="812"/>
      <c r="G6" s="813"/>
      <c r="H6" s="813"/>
      <c r="I6" s="816"/>
    </row>
    <row r="7" spans="1:9" ht="51.6" customHeight="1">
      <c r="A7" s="812" t="s">
        <v>530</v>
      </c>
      <c r="B7" s="812" t="s">
        <v>531</v>
      </c>
      <c r="C7" s="810">
        <v>44144.664583333331</v>
      </c>
      <c r="D7" s="811" t="s">
        <v>591</v>
      </c>
      <c r="E7" s="812">
        <v>8.65</v>
      </c>
      <c r="F7" s="812"/>
      <c r="G7" s="813"/>
      <c r="H7" s="813"/>
      <c r="I7" s="816"/>
    </row>
    <row r="8" spans="1:9" ht="54.75" customHeight="1">
      <c r="A8" s="812" t="s">
        <v>536</v>
      </c>
      <c r="B8" s="812" t="s">
        <v>592</v>
      </c>
      <c r="C8" s="810">
        <v>44145.643055555556</v>
      </c>
      <c r="D8" s="811" t="s">
        <v>593</v>
      </c>
      <c r="E8" s="812">
        <v>22.36</v>
      </c>
      <c r="F8" s="812"/>
      <c r="G8" s="813"/>
      <c r="H8" s="813"/>
      <c r="I8" s="816"/>
    </row>
    <row r="9" spans="1:9" ht="58.8" customHeight="1">
      <c r="A9" s="812" t="s">
        <v>529</v>
      </c>
      <c r="B9" s="812" t="s">
        <v>573</v>
      </c>
      <c r="C9" s="810">
        <v>44147.548611111109</v>
      </c>
      <c r="D9" s="811" t="s">
        <v>594</v>
      </c>
      <c r="E9" s="812">
        <v>11.97</v>
      </c>
      <c r="F9" s="812"/>
      <c r="G9" s="813"/>
      <c r="H9" s="813"/>
      <c r="I9" s="816"/>
    </row>
    <row r="10" spans="1:9" ht="79.8" customHeight="1">
      <c r="A10" s="812" t="s">
        <v>527</v>
      </c>
      <c r="B10" s="812" t="s">
        <v>595</v>
      </c>
      <c r="C10" s="810">
        <v>44148.043055555558</v>
      </c>
      <c r="D10" s="811" t="s">
        <v>596</v>
      </c>
      <c r="E10" s="812">
        <v>8.39</v>
      </c>
      <c r="F10" s="812"/>
      <c r="G10" s="813"/>
      <c r="H10" s="813"/>
      <c r="I10" s="816"/>
    </row>
    <row r="11" spans="1:9" ht="54" customHeight="1">
      <c r="A11" s="812" t="s">
        <v>529</v>
      </c>
      <c r="B11" s="812" t="s">
        <v>597</v>
      </c>
      <c r="C11" s="810">
        <v>44148.668749999997</v>
      </c>
      <c r="D11" s="811" t="s">
        <v>598</v>
      </c>
      <c r="E11" s="812">
        <v>5.07</v>
      </c>
      <c r="F11" s="812"/>
      <c r="G11" s="813"/>
      <c r="H11" s="813"/>
      <c r="I11" s="816"/>
    </row>
    <row r="12" spans="1:9" ht="61.8" customHeight="1">
      <c r="A12" s="812" t="s">
        <v>529</v>
      </c>
      <c r="B12" s="812" t="s">
        <v>563</v>
      </c>
      <c r="C12" s="810">
        <v>44148.710416666669</v>
      </c>
      <c r="D12" s="811" t="s">
        <v>599</v>
      </c>
      <c r="E12" s="812">
        <v>1.92</v>
      </c>
      <c r="F12" s="812"/>
      <c r="G12" s="813"/>
      <c r="H12" s="813"/>
      <c r="I12" s="816"/>
    </row>
    <row r="13" spans="1:9" ht="64.8" customHeight="1">
      <c r="A13" s="812" t="s">
        <v>527</v>
      </c>
      <c r="B13" s="812" t="s">
        <v>528</v>
      </c>
      <c r="C13" s="810">
        <v>44148.970833333333</v>
      </c>
      <c r="D13" s="811" t="s">
        <v>600</v>
      </c>
      <c r="E13" s="812">
        <v>13.78</v>
      </c>
      <c r="F13" s="812"/>
      <c r="G13" s="813"/>
      <c r="H13" s="813"/>
      <c r="I13" s="816"/>
    </row>
    <row r="14" spans="1:9" ht="75" customHeight="1">
      <c r="A14" s="812" t="s">
        <v>601</v>
      </c>
      <c r="B14" s="812" t="s">
        <v>602</v>
      </c>
      <c r="C14" s="810">
        <v>44149.890972222223</v>
      </c>
      <c r="D14" s="811" t="s">
        <v>603</v>
      </c>
      <c r="E14" s="812">
        <v>40.92</v>
      </c>
      <c r="F14" s="812"/>
      <c r="G14" s="813"/>
      <c r="H14" s="813"/>
      <c r="I14" s="816"/>
    </row>
    <row r="15" spans="1:9">
      <c r="E15" s="820"/>
      <c r="F15" s="820"/>
    </row>
    <row r="16" spans="1:9">
      <c r="E16" s="820"/>
      <c r="F16" s="820"/>
    </row>
    <row r="17" spans="5:6">
      <c r="E17" s="820"/>
      <c r="F17" s="820"/>
    </row>
    <row r="18" spans="5:6">
      <c r="E18" s="820"/>
      <c r="F18" s="820"/>
    </row>
    <row r="19" spans="5:6">
      <c r="E19" s="820"/>
      <c r="F19" s="820"/>
    </row>
    <row r="20" spans="5:6">
      <c r="E20" s="820"/>
      <c r="F20" s="820"/>
    </row>
    <row r="21" spans="5:6">
      <c r="E21" s="820"/>
      <c r="F21" s="820"/>
    </row>
    <row r="22" spans="5:6">
      <c r="E22" s="820"/>
      <c r="F22" s="820"/>
    </row>
    <row r="23" spans="5:6">
      <c r="E23" s="820"/>
      <c r="F23" s="820"/>
    </row>
    <row r="24" spans="5:6">
      <c r="E24" s="820"/>
      <c r="F24" s="820"/>
    </row>
    <row r="25" spans="5:6">
      <c r="E25" s="820"/>
      <c r="F25" s="820"/>
    </row>
    <row r="26" spans="5:6">
      <c r="E26" s="820"/>
      <c r="F26" s="820"/>
    </row>
    <row r="27" spans="5:6">
      <c r="E27" s="820"/>
      <c r="F27" s="820"/>
    </row>
    <row r="28" spans="5:6">
      <c r="E28" s="820"/>
      <c r="F28" s="820"/>
    </row>
    <row r="29" spans="5:6">
      <c r="E29" s="820"/>
      <c r="F29" s="820"/>
    </row>
    <row r="30" spans="5:6">
      <c r="E30" s="820"/>
      <c r="F30" s="820"/>
    </row>
    <row r="31" spans="5:6">
      <c r="E31" s="820"/>
      <c r="F31" s="820"/>
    </row>
    <row r="32" spans="5:6">
      <c r="E32" s="820"/>
      <c r="F32" s="820"/>
    </row>
    <row r="33" spans="5:6">
      <c r="E33" s="820"/>
      <c r="F33" s="820"/>
    </row>
    <row r="34" spans="5:6">
      <c r="E34" s="820"/>
      <c r="F34" s="820"/>
    </row>
    <row r="35" spans="5:6">
      <c r="E35" s="820"/>
      <c r="F35" s="820"/>
    </row>
    <row r="36" spans="5:6">
      <c r="E36" s="820"/>
      <c r="F36" s="820"/>
    </row>
    <row r="37" spans="5:6">
      <c r="E37" s="820"/>
      <c r="F37" s="820"/>
    </row>
    <row r="38" spans="5:6">
      <c r="E38" s="820"/>
      <c r="F38" s="820"/>
    </row>
    <row r="39" spans="5:6">
      <c r="E39" s="820"/>
      <c r="F39" s="820"/>
    </row>
    <row r="40" spans="5:6">
      <c r="E40" s="820"/>
      <c r="F40" s="820"/>
    </row>
    <row r="41" spans="5:6">
      <c r="E41" s="820"/>
      <c r="F41" s="820"/>
    </row>
    <row r="42" spans="5:6">
      <c r="E42" s="820"/>
      <c r="F42" s="820"/>
    </row>
    <row r="43" spans="5:6">
      <c r="E43" s="820"/>
      <c r="F43" s="820"/>
    </row>
    <row r="44" spans="5:6">
      <c r="E44" s="820"/>
      <c r="F44" s="820"/>
    </row>
    <row r="45" spans="5:6">
      <c r="E45" s="820"/>
      <c r="F45" s="820"/>
    </row>
    <row r="46" spans="5:6">
      <c r="E46" s="820"/>
      <c r="F46" s="820"/>
    </row>
    <row r="47" spans="5:6">
      <c r="E47" s="820"/>
      <c r="F47" s="820"/>
    </row>
    <row r="48" spans="5:6">
      <c r="E48" s="820"/>
      <c r="F48" s="820"/>
    </row>
    <row r="49" spans="5:6">
      <c r="E49" s="820"/>
      <c r="F49" s="820"/>
    </row>
    <row r="50" spans="5:6">
      <c r="E50" s="820"/>
      <c r="F50" s="820"/>
    </row>
    <row r="51" spans="5:6">
      <c r="E51" s="820"/>
      <c r="F51" s="820"/>
    </row>
    <row r="52" spans="5:6">
      <c r="E52" s="820"/>
      <c r="F52" s="820"/>
    </row>
    <row r="53" spans="5:6">
      <c r="E53" s="820"/>
      <c r="F53" s="820"/>
    </row>
    <row r="54" spans="5:6">
      <c r="E54" s="820"/>
      <c r="F54" s="820"/>
    </row>
    <row r="55" spans="5:6">
      <c r="E55" s="820"/>
      <c r="F55" s="820"/>
    </row>
    <row r="56" spans="5:6">
      <c r="E56" s="820"/>
      <c r="F56" s="820"/>
    </row>
    <row r="57" spans="5:6">
      <c r="E57" s="820"/>
      <c r="F57" s="820"/>
    </row>
    <row r="58" spans="5:6">
      <c r="E58" s="820"/>
      <c r="F58" s="820"/>
    </row>
    <row r="59" spans="5:6">
      <c r="E59" s="820"/>
      <c r="F59" s="820"/>
    </row>
    <row r="60" spans="5:6">
      <c r="E60" s="820"/>
      <c r="F60" s="820"/>
    </row>
    <row r="61" spans="5:6">
      <c r="E61" s="820"/>
      <c r="F61" s="820"/>
    </row>
    <row r="62" spans="5:6">
      <c r="E62" s="820"/>
      <c r="F62" s="820"/>
    </row>
    <row r="63" spans="5:6">
      <c r="E63" s="820"/>
      <c r="F63" s="820"/>
    </row>
    <row r="64" spans="5:6">
      <c r="E64" s="820"/>
      <c r="F64" s="820"/>
    </row>
    <row r="65" spans="5:6">
      <c r="E65" s="820"/>
      <c r="F65" s="820"/>
    </row>
    <row r="66" spans="5:6">
      <c r="E66" s="820"/>
      <c r="F66" s="820"/>
    </row>
    <row r="67" spans="5:6">
      <c r="E67" s="820"/>
      <c r="F67" s="820"/>
    </row>
    <row r="68" spans="5:6">
      <c r="E68" s="820"/>
      <c r="F68" s="820"/>
    </row>
    <row r="69" spans="5:6">
      <c r="E69" s="820"/>
      <c r="F69" s="820"/>
    </row>
    <row r="70" spans="5:6">
      <c r="E70" s="820"/>
      <c r="F70" s="820"/>
    </row>
    <row r="71" spans="5:6">
      <c r="E71" s="820"/>
      <c r="F71" s="820"/>
    </row>
    <row r="72" spans="5:6">
      <c r="E72" s="820"/>
      <c r="F72" s="820"/>
    </row>
    <row r="73" spans="5:6">
      <c r="E73" s="820"/>
      <c r="F73" s="820"/>
    </row>
    <row r="74" spans="5:6">
      <c r="E74" s="820"/>
      <c r="F74" s="820"/>
    </row>
    <row r="75" spans="5:6">
      <c r="E75" s="820"/>
      <c r="F75" s="820"/>
    </row>
    <row r="76" spans="5:6">
      <c r="E76" s="820"/>
      <c r="F76" s="820"/>
    </row>
    <row r="77" spans="5:6">
      <c r="E77" s="820"/>
      <c r="F77" s="820"/>
    </row>
    <row r="78" spans="5:6">
      <c r="E78" s="820"/>
      <c r="F78" s="820"/>
    </row>
    <row r="79" spans="5:6">
      <c r="E79" s="820"/>
      <c r="F79" s="820"/>
    </row>
    <row r="80" spans="5:6">
      <c r="E80" s="820"/>
      <c r="F80" s="820"/>
    </row>
    <row r="81" spans="5:6">
      <c r="E81" s="820"/>
      <c r="F81" s="820"/>
    </row>
    <row r="82" spans="5:6">
      <c r="E82" s="820"/>
      <c r="F82" s="820"/>
    </row>
    <row r="83" spans="5:6">
      <c r="E83" s="820"/>
      <c r="F83" s="820"/>
    </row>
    <row r="84" spans="5:6">
      <c r="E84" s="820"/>
      <c r="F84" s="820"/>
    </row>
    <row r="85" spans="5:6">
      <c r="E85" s="820"/>
      <c r="F85" s="820"/>
    </row>
    <row r="86" spans="5:6">
      <c r="E86" s="820"/>
      <c r="F86" s="820"/>
    </row>
    <row r="87" spans="5:6">
      <c r="E87" s="820"/>
      <c r="F87" s="820"/>
    </row>
    <row r="88" spans="5:6">
      <c r="E88" s="820"/>
      <c r="F88" s="820"/>
    </row>
    <row r="89" spans="5:6">
      <c r="E89" s="820"/>
      <c r="F89" s="820"/>
    </row>
    <row r="90" spans="5:6">
      <c r="E90" s="820"/>
      <c r="F90" s="820"/>
    </row>
    <row r="91" spans="5:6">
      <c r="E91" s="820"/>
      <c r="F91" s="820"/>
    </row>
    <row r="92" spans="5:6">
      <c r="E92" s="820"/>
      <c r="F92" s="820"/>
    </row>
    <row r="93" spans="5:6">
      <c r="E93" s="820"/>
      <c r="F93" s="820"/>
    </row>
    <row r="94" spans="5:6">
      <c r="E94" s="820"/>
      <c r="F94" s="820"/>
    </row>
    <row r="95" spans="5:6">
      <c r="E95" s="820"/>
      <c r="F95" s="820"/>
    </row>
    <row r="96" spans="5:6">
      <c r="E96" s="820"/>
      <c r="F96" s="820"/>
    </row>
    <row r="97" spans="5:6">
      <c r="E97" s="820"/>
      <c r="F97" s="820"/>
    </row>
    <row r="98" spans="5:6">
      <c r="E98" s="820"/>
      <c r="F98" s="820"/>
    </row>
    <row r="99" spans="5:6">
      <c r="E99" s="820"/>
      <c r="F99" s="820"/>
    </row>
    <row r="100" spans="5:6">
      <c r="E100" s="820"/>
      <c r="F100" s="820"/>
    </row>
    <row r="101" spans="5:6">
      <c r="E101" s="820"/>
      <c r="F101" s="820"/>
    </row>
    <row r="102" spans="5:6">
      <c r="E102" s="820"/>
      <c r="F102" s="820"/>
    </row>
    <row r="103" spans="5:6">
      <c r="E103" s="820"/>
      <c r="F103" s="820"/>
    </row>
    <row r="104" spans="5:6">
      <c r="E104" s="820"/>
      <c r="F104" s="82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Mensual-Noviembre 2020
INFSGI-MES-11-2020
14/12/2020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9899-51B7-4462-AB58-73438E7CEEFD}">
  <sheetPr>
    <tabColor theme="4"/>
  </sheetPr>
  <dimension ref="A1:I103"/>
  <sheetViews>
    <sheetView showGridLines="0" view="pageBreakPreview" zoomScale="130" zoomScaleNormal="100" zoomScaleSheetLayoutView="130" workbookViewId="0">
      <selection activeCell="T44" sqref="T44"/>
    </sheetView>
  </sheetViews>
  <sheetFormatPr baseColWidth="10" defaultColWidth="9.28515625" defaultRowHeight="9.6"/>
  <cols>
    <col min="1" max="1" width="16.140625" style="802" customWidth="1"/>
    <col min="2" max="2" width="19.7109375" style="802" customWidth="1"/>
    <col min="3" max="3" width="12.85546875" style="802" bestFit="1" customWidth="1"/>
    <col min="4" max="4" width="59.85546875" style="802" customWidth="1"/>
    <col min="5" max="5" width="11.7109375" style="802" customWidth="1"/>
    <col min="6" max="6" width="10.42578125" style="802" customWidth="1"/>
    <col min="7" max="8" width="9.28515625" style="802" customWidth="1"/>
    <col min="9" max="16384" width="9.28515625" style="802"/>
  </cols>
  <sheetData>
    <row r="1" spans="1:9" ht="11.25" customHeight="1">
      <c r="A1" s="800" t="s">
        <v>365</v>
      </c>
      <c r="B1" s="801"/>
      <c r="C1" s="801"/>
      <c r="D1" s="801"/>
      <c r="E1" s="801"/>
      <c r="F1" s="801"/>
    </row>
    <row r="2" spans="1:9" ht="30" customHeight="1">
      <c r="A2" s="803" t="s">
        <v>250</v>
      </c>
      <c r="B2" s="804" t="s">
        <v>366</v>
      </c>
      <c r="C2" s="803" t="s">
        <v>355</v>
      </c>
      <c r="D2" s="805" t="s">
        <v>367</v>
      </c>
      <c r="E2" s="806" t="s">
        <v>368</v>
      </c>
      <c r="F2" s="806" t="s">
        <v>369</v>
      </c>
      <c r="G2" s="807"/>
      <c r="H2" s="808"/>
      <c r="I2" s="809"/>
    </row>
    <row r="3" spans="1:9" ht="96.6" customHeight="1">
      <c r="A3" s="812" t="s">
        <v>604</v>
      </c>
      <c r="B3" s="812" t="s">
        <v>605</v>
      </c>
      <c r="C3" s="810">
        <v>44150.24722222222</v>
      </c>
      <c r="D3" s="811" t="s">
        <v>606</v>
      </c>
      <c r="E3" s="812">
        <v>24.66</v>
      </c>
      <c r="F3" s="812"/>
      <c r="G3" s="813"/>
      <c r="H3" s="813"/>
      <c r="I3" s="815"/>
    </row>
    <row r="4" spans="1:9" ht="113.4" customHeight="1">
      <c r="A4" s="812" t="s">
        <v>519</v>
      </c>
      <c r="B4" s="812" t="s">
        <v>532</v>
      </c>
      <c r="C4" s="810">
        <v>44150.659722222219</v>
      </c>
      <c r="D4" s="811" t="s">
        <v>607</v>
      </c>
      <c r="E4" s="812">
        <v>12.84</v>
      </c>
      <c r="F4" s="812"/>
      <c r="G4" s="813"/>
      <c r="H4" s="813"/>
      <c r="I4" s="816"/>
    </row>
    <row r="5" spans="1:9" ht="94.8" customHeight="1">
      <c r="A5" s="812" t="s">
        <v>608</v>
      </c>
      <c r="B5" s="812" t="s">
        <v>609</v>
      </c>
      <c r="C5" s="810">
        <v>44151.512499999997</v>
      </c>
      <c r="D5" s="811" t="s">
        <v>610</v>
      </c>
      <c r="E5" s="812">
        <v>49.6</v>
      </c>
      <c r="F5" s="812"/>
      <c r="G5" s="813"/>
      <c r="H5" s="813"/>
      <c r="I5" s="817"/>
    </row>
    <row r="6" spans="1:9" ht="91.8" customHeight="1">
      <c r="A6" s="812" t="s">
        <v>608</v>
      </c>
      <c r="B6" s="812" t="s">
        <v>611</v>
      </c>
      <c r="C6" s="810">
        <v>44151.618055555555</v>
      </c>
      <c r="D6" s="811" t="s">
        <v>612</v>
      </c>
      <c r="E6" s="812">
        <v>52.6</v>
      </c>
      <c r="F6" s="812"/>
      <c r="G6" s="813"/>
      <c r="H6" s="813"/>
      <c r="I6" s="816"/>
    </row>
    <row r="7" spans="1:9" ht="45" customHeight="1">
      <c r="A7" s="812" t="s">
        <v>560</v>
      </c>
      <c r="B7" s="812" t="s">
        <v>613</v>
      </c>
      <c r="C7" s="810">
        <v>44151.71597222222</v>
      </c>
      <c r="D7" s="811" t="s">
        <v>614</v>
      </c>
      <c r="E7" s="812">
        <v>4.6900000000000004</v>
      </c>
      <c r="F7" s="812"/>
      <c r="G7" s="813"/>
      <c r="H7" s="813"/>
      <c r="I7" s="816"/>
    </row>
    <row r="8" spans="1:9" ht="53.4" customHeight="1">
      <c r="A8" s="812" t="s">
        <v>560</v>
      </c>
      <c r="B8" s="812" t="s">
        <v>615</v>
      </c>
      <c r="C8" s="810">
        <v>44151.71597222222</v>
      </c>
      <c r="D8" s="811" t="s">
        <v>616</v>
      </c>
      <c r="E8" s="812">
        <v>17.28</v>
      </c>
      <c r="F8" s="812"/>
      <c r="G8" s="813"/>
      <c r="H8" s="813"/>
      <c r="I8" s="816"/>
    </row>
    <row r="9" spans="1:9" ht="69" customHeight="1">
      <c r="A9" s="812" t="s">
        <v>529</v>
      </c>
      <c r="B9" s="812" t="s">
        <v>540</v>
      </c>
      <c r="C9" s="810">
        <v>44152.674305555556</v>
      </c>
      <c r="D9" s="811" t="s">
        <v>617</v>
      </c>
      <c r="E9" s="812">
        <v>20.23</v>
      </c>
      <c r="F9" s="812"/>
      <c r="G9" s="813"/>
      <c r="H9" s="813"/>
      <c r="I9" s="816"/>
    </row>
    <row r="10" spans="1:9" ht="59.4" customHeight="1">
      <c r="A10" s="812" t="s">
        <v>529</v>
      </c>
      <c r="B10" s="812" t="s">
        <v>540</v>
      </c>
      <c r="C10" s="810">
        <v>44152.679861111108</v>
      </c>
      <c r="D10" s="811" t="s">
        <v>618</v>
      </c>
      <c r="E10" s="812">
        <v>2.5</v>
      </c>
      <c r="F10" s="812"/>
      <c r="G10" s="813"/>
      <c r="H10" s="813"/>
      <c r="I10" s="816"/>
    </row>
    <row r="11" spans="1:9" ht="56.4" customHeight="1">
      <c r="A11" s="812" t="s">
        <v>557</v>
      </c>
      <c r="B11" s="812" t="s">
        <v>558</v>
      </c>
      <c r="C11" s="810">
        <v>44153.393750000003</v>
      </c>
      <c r="D11" s="811" t="s">
        <v>619</v>
      </c>
      <c r="E11" s="812">
        <v>12</v>
      </c>
      <c r="F11" s="812"/>
      <c r="G11" s="813"/>
      <c r="H11" s="813"/>
      <c r="I11" s="816"/>
    </row>
    <row r="12" spans="1:9" ht="78" customHeight="1">
      <c r="A12" s="812" t="s">
        <v>536</v>
      </c>
      <c r="B12" s="812" t="s">
        <v>620</v>
      </c>
      <c r="C12" s="810">
        <v>44155.392361111109</v>
      </c>
      <c r="D12" s="811" t="s">
        <v>621</v>
      </c>
      <c r="E12" s="812">
        <v>201</v>
      </c>
      <c r="F12" s="812"/>
      <c r="G12" s="813"/>
      <c r="H12" s="813"/>
      <c r="I12" s="816"/>
    </row>
    <row r="13" spans="1:9" ht="49.8" customHeight="1">
      <c r="A13" s="812" t="s">
        <v>622</v>
      </c>
      <c r="B13" s="812" t="s">
        <v>623</v>
      </c>
      <c r="C13" s="810">
        <v>44155.404166666667</v>
      </c>
      <c r="D13" s="811" t="s">
        <v>624</v>
      </c>
      <c r="E13" s="812">
        <v>5.0999999999999996</v>
      </c>
      <c r="F13" s="812"/>
      <c r="G13" s="813"/>
      <c r="H13" s="813"/>
      <c r="I13" s="816"/>
    </row>
    <row r="14" spans="1:9">
      <c r="E14" s="820"/>
      <c r="F14" s="820"/>
    </row>
    <row r="15" spans="1:9">
      <c r="E15" s="820"/>
      <c r="F15" s="820"/>
    </row>
    <row r="16" spans="1:9">
      <c r="E16" s="820"/>
      <c r="F16" s="820"/>
    </row>
    <row r="17" spans="5:6">
      <c r="E17" s="820"/>
      <c r="F17" s="820"/>
    </row>
    <row r="18" spans="5:6">
      <c r="E18" s="820"/>
      <c r="F18" s="820"/>
    </row>
    <row r="19" spans="5:6">
      <c r="E19" s="820"/>
      <c r="F19" s="820"/>
    </row>
    <row r="20" spans="5:6">
      <c r="E20" s="820"/>
      <c r="F20" s="820"/>
    </row>
    <row r="21" spans="5:6">
      <c r="E21" s="820"/>
      <c r="F21" s="820"/>
    </row>
    <row r="22" spans="5:6">
      <c r="E22" s="820"/>
      <c r="F22" s="820"/>
    </row>
    <row r="23" spans="5:6">
      <c r="E23" s="820"/>
      <c r="F23" s="820"/>
    </row>
    <row r="24" spans="5:6">
      <c r="E24" s="820"/>
      <c r="F24" s="820"/>
    </row>
    <row r="25" spans="5:6">
      <c r="E25" s="820"/>
      <c r="F25" s="820"/>
    </row>
    <row r="26" spans="5:6">
      <c r="E26" s="820"/>
      <c r="F26" s="820"/>
    </row>
    <row r="27" spans="5:6">
      <c r="E27" s="820"/>
      <c r="F27" s="820"/>
    </row>
    <row r="28" spans="5:6">
      <c r="E28" s="820"/>
      <c r="F28" s="820"/>
    </row>
    <row r="29" spans="5:6">
      <c r="E29" s="820"/>
      <c r="F29" s="820"/>
    </row>
    <row r="30" spans="5:6">
      <c r="E30" s="820"/>
      <c r="F30" s="820"/>
    </row>
    <row r="31" spans="5:6">
      <c r="E31" s="820"/>
      <c r="F31" s="820"/>
    </row>
    <row r="32" spans="5:6">
      <c r="E32" s="820"/>
      <c r="F32" s="820"/>
    </row>
    <row r="33" spans="5:6">
      <c r="E33" s="820"/>
      <c r="F33" s="820"/>
    </row>
    <row r="34" spans="5:6">
      <c r="E34" s="820"/>
      <c r="F34" s="820"/>
    </row>
    <row r="35" spans="5:6">
      <c r="E35" s="820"/>
      <c r="F35" s="820"/>
    </row>
    <row r="36" spans="5:6">
      <c r="E36" s="820"/>
      <c r="F36" s="820"/>
    </row>
    <row r="37" spans="5:6">
      <c r="E37" s="820"/>
      <c r="F37" s="820"/>
    </row>
    <row r="38" spans="5:6">
      <c r="E38" s="820"/>
      <c r="F38" s="820"/>
    </row>
    <row r="39" spans="5:6">
      <c r="E39" s="820"/>
      <c r="F39" s="820"/>
    </row>
    <row r="40" spans="5:6">
      <c r="E40" s="820"/>
      <c r="F40" s="820"/>
    </row>
    <row r="41" spans="5:6">
      <c r="E41" s="820"/>
      <c r="F41" s="820"/>
    </row>
    <row r="42" spans="5:6">
      <c r="E42" s="820"/>
      <c r="F42" s="820"/>
    </row>
    <row r="43" spans="5:6">
      <c r="E43" s="820"/>
      <c r="F43" s="820"/>
    </row>
    <row r="44" spans="5:6">
      <c r="E44" s="820"/>
      <c r="F44" s="820"/>
    </row>
    <row r="45" spans="5:6">
      <c r="E45" s="820"/>
      <c r="F45" s="820"/>
    </row>
    <row r="46" spans="5:6">
      <c r="E46" s="820"/>
      <c r="F46" s="820"/>
    </row>
    <row r="47" spans="5:6">
      <c r="E47" s="820"/>
      <c r="F47" s="820"/>
    </row>
    <row r="48" spans="5:6">
      <c r="E48" s="820"/>
      <c r="F48" s="820"/>
    </row>
    <row r="49" spans="5:6">
      <c r="E49" s="820"/>
      <c r="F49" s="820"/>
    </row>
    <row r="50" spans="5:6">
      <c r="E50" s="820"/>
      <c r="F50" s="820"/>
    </row>
    <row r="51" spans="5:6">
      <c r="E51" s="820"/>
      <c r="F51" s="820"/>
    </row>
    <row r="52" spans="5:6">
      <c r="E52" s="820"/>
      <c r="F52" s="820"/>
    </row>
    <row r="53" spans="5:6">
      <c r="E53" s="820"/>
      <c r="F53" s="820"/>
    </row>
    <row r="54" spans="5:6">
      <c r="E54" s="820"/>
      <c r="F54" s="820"/>
    </row>
    <row r="55" spans="5:6">
      <c r="E55" s="820"/>
      <c r="F55" s="820"/>
    </row>
    <row r="56" spans="5:6">
      <c r="E56" s="820"/>
      <c r="F56" s="820"/>
    </row>
    <row r="57" spans="5:6">
      <c r="E57" s="820"/>
      <c r="F57" s="820"/>
    </row>
    <row r="58" spans="5:6">
      <c r="E58" s="820"/>
      <c r="F58" s="820"/>
    </row>
    <row r="59" spans="5:6">
      <c r="E59" s="820"/>
      <c r="F59" s="820"/>
    </row>
    <row r="60" spans="5:6">
      <c r="E60" s="820"/>
      <c r="F60" s="820"/>
    </row>
    <row r="61" spans="5:6">
      <c r="E61" s="820"/>
      <c r="F61" s="820"/>
    </row>
    <row r="62" spans="5:6">
      <c r="E62" s="820"/>
      <c r="F62" s="820"/>
    </row>
    <row r="63" spans="5:6">
      <c r="E63" s="820"/>
      <c r="F63" s="820"/>
    </row>
    <row r="64" spans="5:6">
      <c r="E64" s="820"/>
      <c r="F64" s="820"/>
    </row>
    <row r="65" spans="5:6">
      <c r="E65" s="820"/>
      <c r="F65" s="820"/>
    </row>
    <row r="66" spans="5:6">
      <c r="E66" s="820"/>
      <c r="F66" s="820"/>
    </row>
    <row r="67" spans="5:6">
      <c r="E67" s="820"/>
      <c r="F67" s="820"/>
    </row>
    <row r="68" spans="5:6">
      <c r="E68" s="820"/>
      <c r="F68" s="820"/>
    </row>
    <row r="69" spans="5:6">
      <c r="E69" s="820"/>
      <c r="F69" s="820"/>
    </row>
    <row r="70" spans="5:6">
      <c r="E70" s="820"/>
      <c r="F70" s="820"/>
    </row>
    <row r="71" spans="5:6">
      <c r="E71" s="820"/>
      <c r="F71" s="820"/>
    </row>
    <row r="72" spans="5:6">
      <c r="E72" s="820"/>
      <c r="F72" s="820"/>
    </row>
    <row r="73" spans="5:6">
      <c r="E73" s="820"/>
      <c r="F73" s="820"/>
    </row>
    <row r="74" spans="5:6">
      <c r="E74" s="820"/>
      <c r="F74" s="820"/>
    </row>
    <row r="75" spans="5:6">
      <c r="E75" s="820"/>
      <c r="F75" s="820"/>
    </row>
    <row r="76" spans="5:6">
      <c r="E76" s="820"/>
      <c r="F76" s="820"/>
    </row>
    <row r="77" spans="5:6">
      <c r="E77" s="820"/>
      <c r="F77" s="820"/>
    </row>
    <row r="78" spans="5:6">
      <c r="E78" s="820"/>
      <c r="F78" s="820"/>
    </row>
    <row r="79" spans="5:6">
      <c r="E79" s="820"/>
      <c r="F79" s="820"/>
    </row>
    <row r="80" spans="5:6">
      <c r="E80" s="820"/>
      <c r="F80" s="820"/>
    </row>
    <row r="81" spans="5:6">
      <c r="E81" s="820"/>
      <c r="F81" s="820"/>
    </row>
    <row r="82" spans="5:6">
      <c r="E82" s="820"/>
      <c r="F82" s="820"/>
    </row>
    <row r="83" spans="5:6">
      <c r="E83" s="820"/>
      <c r="F83" s="820"/>
    </row>
    <row r="84" spans="5:6">
      <c r="E84" s="820"/>
      <c r="F84" s="820"/>
    </row>
    <row r="85" spans="5:6">
      <c r="E85" s="820"/>
      <c r="F85" s="820"/>
    </row>
    <row r="86" spans="5:6">
      <c r="E86" s="820"/>
      <c r="F86" s="820"/>
    </row>
    <row r="87" spans="5:6">
      <c r="E87" s="820"/>
      <c r="F87" s="820"/>
    </row>
    <row r="88" spans="5:6">
      <c r="E88" s="820"/>
      <c r="F88" s="820"/>
    </row>
    <row r="89" spans="5:6">
      <c r="E89" s="820"/>
      <c r="F89" s="820"/>
    </row>
    <row r="90" spans="5:6">
      <c r="E90" s="820"/>
      <c r="F90" s="820"/>
    </row>
    <row r="91" spans="5:6">
      <c r="E91" s="820"/>
      <c r="F91" s="820"/>
    </row>
    <row r="92" spans="5:6">
      <c r="E92" s="820"/>
      <c r="F92" s="820"/>
    </row>
    <row r="93" spans="5:6">
      <c r="E93" s="820"/>
      <c r="F93" s="820"/>
    </row>
    <row r="94" spans="5:6">
      <c r="E94" s="820"/>
      <c r="F94" s="820"/>
    </row>
    <row r="95" spans="5:6">
      <c r="E95" s="820"/>
      <c r="F95" s="820"/>
    </row>
    <row r="96" spans="5:6">
      <c r="E96" s="820"/>
      <c r="F96" s="820"/>
    </row>
    <row r="97" spans="5:6">
      <c r="E97" s="820"/>
      <c r="F97" s="820"/>
    </row>
    <row r="98" spans="5:6">
      <c r="E98" s="820"/>
      <c r="F98" s="820"/>
    </row>
    <row r="99" spans="5:6">
      <c r="E99" s="820"/>
      <c r="F99" s="820"/>
    </row>
    <row r="100" spans="5:6">
      <c r="E100" s="820"/>
      <c r="F100" s="820"/>
    </row>
    <row r="101" spans="5:6">
      <c r="E101" s="820"/>
      <c r="F101" s="820"/>
    </row>
    <row r="102" spans="5:6">
      <c r="E102" s="820"/>
      <c r="F102" s="820"/>
    </row>
    <row r="103" spans="5:6">
      <c r="E103" s="820"/>
      <c r="F103" s="82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Mensual-Noviembre 2020
INFSGI-MES-11-2020
14/12/2020
Versión: 01</oddHeader>
    <oddFooter>&amp;L&amp;7COES, 2020&amp;C27&amp;R&amp;7Dirección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zoomScalePageLayoutView="145" workbookViewId="0">
      <selection activeCell="T44" sqref="T44"/>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9.28515625" style="46"/>
    <col min="14" max="14" width="9.28515625" style="281"/>
    <col min="15" max="16" width="10.140625" style="307" bestFit="1" customWidth="1"/>
    <col min="17" max="17" width="11.42578125" style="307" customWidth="1"/>
    <col min="18" max="23" width="9.28515625" style="307"/>
    <col min="24" max="16384" width="9.28515625" style="46"/>
  </cols>
  <sheetData>
    <row r="1" spans="1:17" ht="27.75" customHeight="1">
      <c r="A1" s="884" t="s">
        <v>22</v>
      </c>
      <c r="B1" s="884"/>
      <c r="C1" s="884"/>
      <c r="D1" s="884"/>
      <c r="E1" s="884"/>
      <c r="F1" s="884"/>
      <c r="G1" s="884"/>
      <c r="H1" s="884"/>
      <c r="I1" s="884"/>
      <c r="J1" s="884"/>
      <c r="K1" s="884"/>
      <c r="L1" s="884"/>
      <c r="M1" s="884"/>
      <c r="N1" s="280"/>
      <c r="O1" s="306"/>
      <c r="P1" s="306"/>
      <c r="Q1" s="306"/>
    </row>
    <row r="2" spans="1:17" ht="11.25" customHeight="1">
      <c r="A2" s="41"/>
      <c r="B2" s="40"/>
      <c r="C2" s="65"/>
      <c r="D2" s="65"/>
      <c r="E2" s="65"/>
      <c r="F2" s="65"/>
      <c r="G2" s="65"/>
      <c r="H2" s="65"/>
      <c r="I2" s="65"/>
      <c r="J2" s="65"/>
      <c r="K2" s="40"/>
      <c r="L2" s="40"/>
      <c r="M2" s="40"/>
      <c r="N2" s="280"/>
      <c r="O2" s="306"/>
      <c r="P2" s="306"/>
      <c r="Q2" s="306"/>
    </row>
    <row r="3" spans="1:17" ht="21.75" customHeight="1">
      <c r="A3" s="40"/>
      <c r="B3" s="42"/>
      <c r="C3" s="891" t="str">
        <f>+UPPER(Q4)&amp;" "&amp;Q5</f>
        <v>NOVIEMBRE 2020</v>
      </c>
      <c r="D3" s="884"/>
      <c r="E3" s="884"/>
      <c r="F3" s="884"/>
      <c r="G3" s="884"/>
      <c r="H3" s="884"/>
      <c r="I3" s="884"/>
      <c r="J3" s="884"/>
      <c r="K3" s="40"/>
      <c r="L3" s="40"/>
      <c r="M3" s="40"/>
      <c r="N3" s="280"/>
      <c r="O3" s="306"/>
      <c r="P3" s="306"/>
      <c r="Q3" s="306"/>
    </row>
    <row r="4" spans="1:17" ht="11.25" customHeight="1">
      <c r="A4" s="40"/>
      <c r="B4" s="42"/>
      <c r="C4" s="40"/>
      <c r="D4" s="40"/>
      <c r="E4" s="40"/>
      <c r="F4" s="40"/>
      <c r="G4" s="40"/>
      <c r="H4" s="40"/>
      <c r="I4" s="40"/>
      <c r="J4" s="40"/>
      <c r="K4" s="40"/>
      <c r="L4" s="40"/>
      <c r="M4" s="40"/>
      <c r="N4" s="282"/>
      <c r="O4" s="308"/>
      <c r="P4" s="306" t="s">
        <v>212</v>
      </c>
      <c r="Q4" s="309" t="s">
        <v>555</v>
      </c>
    </row>
    <row r="5" spans="1:17" ht="11.25" customHeight="1">
      <c r="A5" s="47"/>
      <c r="B5" s="48"/>
      <c r="C5" s="49"/>
      <c r="D5" s="49"/>
      <c r="E5" s="49"/>
      <c r="F5" s="49"/>
      <c r="G5" s="49"/>
      <c r="H5" s="49"/>
      <c r="I5" s="49"/>
      <c r="J5" s="49"/>
      <c r="K5" s="49"/>
      <c r="L5" s="49"/>
      <c r="M5" s="40"/>
      <c r="N5" s="282"/>
      <c r="O5" s="308"/>
      <c r="P5" s="306" t="s">
        <v>213</v>
      </c>
      <c r="Q5" s="308">
        <v>2020</v>
      </c>
    </row>
    <row r="6" spans="1:17" ht="17.25" customHeight="1">
      <c r="A6" s="60" t="s">
        <v>401</v>
      </c>
      <c r="B6" s="40"/>
      <c r="C6" s="40"/>
      <c r="D6" s="40"/>
      <c r="E6" s="40"/>
      <c r="F6" s="40"/>
      <c r="G6" s="40"/>
      <c r="H6" s="40"/>
      <c r="I6" s="40"/>
      <c r="J6" s="40"/>
      <c r="K6" s="40"/>
      <c r="L6" s="40"/>
      <c r="M6" s="40"/>
      <c r="N6" s="280"/>
      <c r="O6" s="306"/>
      <c r="P6" s="306"/>
      <c r="Q6" s="315">
        <v>44136</v>
      </c>
    </row>
    <row r="7" spans="1:17" ht="11.25" customHeight="1">
      <c r="A7" s="40"/>
      <c r="B7" s="40"/>
      <c r="C7" s="40"/>
      <c r="D7" s="40"/>
      <c r="E7" s="40"/>
      <c r="F7" s="40"/>
      <c r="G7" s="40"/>
      <c r="H7" s="40"/>
      <c r="I7" s="40"/>
      <c r="J7" s="40"/>
      <c r="K7" s="40"/>
      <c r="L7" s="40"/>
      <c r="M7" s="40"/>
      <c r="N7" s="280"/>
      <c r="O7" s="306"/>
      <c r="P7" s="306"/>
      <c r="Q7" s="306">
        <v>30</v>
      </c>
    </row>
    <row r="8" spans="1:17" ht="11.25" customHeight="1">
      <c r="A8" s="43"/>
      <c r="B8" s="43"/>
      <c r="C8" s="43"/>
      <c r="D8" s="43"/>
      <c r="E8" s="43"/>
      <c r="F8" s="43"/>
      <c r="G8" s="43"/>
      <c r="H8" s="43"/>
      <c r="I8" s="43"/>
      <c r="J8" s="43"/>
      <c r="K8" s="43"/>
      <c r="L8" s="43"/>
      <c r="M8" s="43"/>
      <c r="N8" s="283"/>
      <c r="O8" s="310"/>
      <c r="P8" s="310"/>
      <c r="Q8" s="310"/>
    </row>
    <row r="9" spans="1:17" ht="14.25" customHeight="1">
      <c r="A9" s="40" t="str">
        <f>"1.1. Producción de energía eléctrica en "&amp;LOWER(Q4)&amp;" "&amp;Q5&amp;" en comparación al mismo mes del año anterior"</f>
        <v>1.1. Producción de energía eléctrica en noviembre 2020 en comparación al mismo mes del año anterior</v>
      </c>
      <c r="B9" s="40"/>
      <c r="C9" s="40"/>
      <c r="D9" s="40"/>
      <c r="E9" s="40"/>
      <c r="F9" s="40"/>
      <c r="G9" s="40"/>
      <c r="H9" s="40"/>
      <c r="I9" s="40"/>
      <c r="J9" s="40"/>
      <c r="K9" s="40"/>
      <c r="L9" s="40"/>
      <c r="M9" s="40"/>
      <c r="N9" s="280"/>
      <c r="O9" s="306"/>
      <c r="P9" s="306"/>
      <c r="Q9" s="306"/>
    </row>
    <row r="10" spans="1:17" ht="11.25" customHeight="1">
      <c r="A10" s="47"/>
      <c r="B10" s="44"/>
      <c r="C10" s="44"/>
      <c r="D10" s="44"/>
      <c r="E10" s="44"/>
      <c r="F10" s="44"/>
      <c r="G10" s="44"/>
      <c r="H10" s="44"/>
      <c r="I10" s="44"/>
      <c r="J10" s="44"/>
      <c r="K10" s="44"/>
      <c r="L10" s="44"/>
      <c r="M10" s="44"/>
      <c r="N10" s="282"/>
      <c r="O10" s="308"/>
      <c r="P10" s="308"/>
      <c r="Q10" s="308"/>
    </row>
    <row r="11" spans="1:17" ht="11.25" customHeight="1">
      <c r="A11" s="50"/>
      <c r="B11" s="50"/>
      <c r="C11" s="50"/>
      <c r="D11" s="50"/>
      <c r="E11" s="50"/>
      <c r="F11" s="50"/>
      <c r="G11" s="50"/>
      <c r="H11" s="50"/>
      <c r="I11" s="50"/>
      <c r="J11" s="50"/>
      <c r="K11" s="50"/>
      <c r="L11" s="50"/>
      <c r="M11" s="50"/>
      <c r="N11" s="284"/>
      <c r="O11" s="311"/>
      <c r="P11" s="311"/>
      <c r="Q11" s="311"/>
    </row>
    <row r="12" spans="1:17" ht="26.25" customHeight="1">
      <c r="A12" s="62" t="s">
        <v>23</v>
      </c>
      <c r="B12" s="890" t="s">
        <v>759</v>
      </c>
      <c r="C12" s="890"/>
      <c r="D12" s="890"/>
      <c r="E12" s="890"/>
      <c r="F12" s="890"/>
      <c r="G12" s="890"/>
      <c r="H12" s="890"/>
      <c r="I12" s="890"/>
      <c r="J12" s="890"/>
      <c r="K12" s="890"/>
      <c r="L12" s="890"/>
      <c r="M12" s="890"/>
      <c r="N12" s="282"/>
      <c r="O12" s="308"/>
      <c r="P12" s="308"/>
      <c r="Q12" s="308"/>
    </row>
    <row r="13" spans="1:17" ht="12.75" customHeight="1">
      <c r="A13" s="40"/>
      <c r="B13" s="64"/>
      <c r="C13" s="64"/>
      <c r="D13" s="64"/>
      <c r="E13" s="64"/>
      <c r="F13" s="64"/>
      <c r="G13" s="64"/>
      <c r="H13" s="64"/>
      <c r="I13" s="64"/>
      <c r="J13" s="64"/>
      <c r="K13" s="64"/>
      <c r="L13" s="64"/>
      <c r="M13" s="44"/>
      <c r="N13" s="282"/>
      <c r="O13" s="308"/>
      <c r="P13" s="308"/>
      <c r="Q13" s="308"/>
    </row>
    <row r="14" spans="1:17" ht="28.5" customHeight="1">
      <c r="A14" s="62" t="s">
        <v>23</v>
      </c>
      <c r="B14" s="890" t="s">
        <v>760</v>
      </c>
      <c r="C14" s="890"/>
      <c r="D14" s="890"/>
      <c r="E14" s="890"/>
      <c r="F14" s="890"/>
      <c r="G14" s="890"/>
      <c r="H14" s="890"/>
      <c r="I14" s="890"/>
      <c r="J14" s="890"/>
      <c r="K14" s="890"/>
      <c r="L14" s="890"/>
      <c r="M14" s="890"/>
      <c r="N14" s="282"/>
      <c r="O14" s="308"/>
      <c r="P14" s="308"/>
      <c r="Q14" s="308"/>
    </row>
    <row r="15" spans="1:17" ht="15" customHeight="1">
      <c r="A15" s="63"/>
      <c r="B15" s="64"/>
      <c r="C15" s="64"/>
      <c r="D15" s="64"/>
      <c r="E15" s="64"/>
      <c r="F15" s="64"/>
      <c r="G15" s="64"/>
      <c r="H15" s="64"/>
      <c r="I15" s="64"/>
      <c r="J15" s="64"/>
      <c r="K15" s="64"/>
      <c r="L15" s="64"/>
      <c r="M15" s="44"/>
      <c r="N15" s="282"/>
      <c r="O15" s="308"/>
      <c r="P15" s="308"/>
      <c r="Q15" s="308"/>
    </row>
    <row r="16" spans="1:17" ht="59.25" customHeight="1">
      <c r="A16" s="62" t="s">
        <v>23</v>
      </c>
      <c r="B16" s="890" t="s">
        <v>761</v>
      </c>
      <c r="C16" s="890"/>
      <c r="D16" s="890"/>
      <c r="E16" s="890"/>
      <c r="F16" s="890"/>
      <c r="G16" s="890"/>
      <c r="H16" s="890"/>
      <c r="I16" s="890"/>
      <c r="J16" s="890"/>
      <c r="K16" s="890"/>
      <c r="L16" s="890"/>
      <c r="M16" s="890"/>
      <c r="N16" s="282"/>
      <c r="O16" s="308"/>
      <c r="P16" s="308"/>
      <c r="Q16" s="308"/>
    </row>
    <row r="17" spans="1:18" ht="17.25" customHeight="1">
      <c r="A17" s="44"/>
      <c r="B17" s="44"/>
      <c r="C17" s="44"/>
      <c r="D17" s="44"/>
      <c r="E17" s="44"/>
      <c r="F17" s="44"/>
      <c r="G17" s="44"/>
      <c r="H17" s="44"/>
      <c r="I17" s="44"/>
      <c r="J17" s="44"/>
      <c r="K17" s="44"/>
      <c r="L17" s="44"/>
      <c r="M17" s="44"/>
      <c r="N17" s="282"/>
      <c r="O17" s="308"/>
      <c r="P17" s="308"/>
      <c r="Q17" s="308"/>
    </row>
    <row r="18" spans="1:18" ht="25.5" customHeight="1">
      <c r="A18" s="61" t="s">
        <v>23</v>
      </c>
      <c r="B18" s="889" t="s">
        <v>762</v>
      </c>
      <c r="C18" s="889"/>
      <c r="D18" s="889"/>
      <c r="E18" s="889"/>
      <c r="F18" s="889"/>
      <c r="G18" s="889"/>
      <c r="H18" s="889"/>
      <c r="I18" s="889"/>
      <c r="J18" s="889"/>
      <c r="K18" s="889"/>
      <c r="L18" s="889"/>
      <c r="M18" s="889"/>
      <c r="N18" s="282"/>
      <c r="O18" s="308"/>
      <c r="P18" s="308"/>
      <c r="Q18" s="308"/>
    </row>
    <row r="19" spans="1:18" ht="11.25" customHeight="1">
      <c r="A19" s="44"/>
      <c r="B19" s="44"/>
      <c r="C19" s="44"/>
      <c r="D19" s="44"/>
      <c r="E19" s="44"/>
      <c r="F19" s="44"/>
      <c r="G19" s="44"/>
      <c r="H19" s="44"/>
      <c r="I19" s="44"/>
      <c r="J19" s="44"/>
      <c r="K19" s="44"/>
      <c r="L19" s="44"/>
      <c r="M19" s="44"/>
      <c r="N19" s="282"/>
      <c r="O19" s="308"/>
      <c r="P19" s="308"/>
      <c r="Q19" s="308"/>
    </row>
    <row r="20" spans="1:18" ht="15.75" customHeight="1">
      <c r="A20" s="44"/>
      <c r="B20" s="44"/>
      <c r="C20" s="888" t="str">
        <f>+UPPER(Q4)&amp;" "&amp;Q5</f>
        <v>NOVIEMBRE 2020</v>
      </c>
      <c r="D20" s="888"/>
      <c r="E20" s="888"/>
      <c r="F20" s="40"/>
      <c r="G20" s="40"/>
      <c r="H20" s="40"/>
      <c r="I20" s="888" t="str">
        <f>+UPPER(Q4)&amp;" "&amp;Q5-1</f>
        <v>NOVIEMBRE 2019</v>
      </c>
      <c r="J20" s="888"/>
      <c r="K20" s="888"/>
      <c r="L20" s="44"/>
      <c r="M20" s="44"/>
      <c r="Q20" s="308"/>
    </row>
    <row r="21" spans="1:18" ht="11.25" customHeight="1">
      <c r="A21" s="44"/>
      <c r="B21" s="44"/>
      <c r="C21" s="44"/>
      <c r="D21" s="44"/>
      <c r="E21" s="44"/>
      <c r="F21" s="44"/>
      <c r="G21" s="44"/>
      <c r="H21" s="44"/>
      <c r="I21" s="44"/>
      <c r="J21" s="44"/>
      <c r="K21" s="44"/>
      <c r="L21" s="44"/>
      <c r="M21" s="44"/>
      <c r="Q21" s="308"/>
    </row>
    <row r="22" spans="1:18" ht="11.25" customHeight="1">
      <c r="A22" s="51"/>
      <c r="B22" s="52"/>
      <c r="C22" s="52"/>
      <c r="D22" s="52"/>
      <c r="E22" s="52"/>
      <c r="F22" s="52"/>
      <c r="G22" s="52"/>
      <c r="H22" s="52"/>
      <c r="I22" s="52"/>
      <c r="J22" s="52"/>
      <c r="K22" s="52"/>
      <c r="L22" s="52"/>
      <c r="M22" s="52"/>
      <c r="N22" s="335" t="s">
        <v>31</v>
      </c>
      <c r="O22" s="730"/>
      <c r="P22" s="730"/>
    </row>
    <row r="23" spans="1:18" ht="11.25" customHeight="1">
      <c r="A23" s="51"/>
      <c r="B23" s="52"/>
      <c r="C23" s="52"/>
      <c r="D23" s="52"/>
      <c r="E23" s="52"/>
      <c r="F23" s="52"/>
      <c r="G23" s="52"/>
      <c r="H23" s="52"/>
      <c r="I23" s="52"/>
      <c r="J23" s="52"/>
      <c r="K23" s="52"/>
      <c r="L23" s="52"/>
      <c r="M23" s="52"/>
      <c r="N23" s="335" t="s">
        <v>24</v>
      </c>
      <c r="O23" s="731">
        <v>1770.3720830400005</v>
      </c>
      <c r="P23" s="731">
        <v>2516.3963216349989</v>
      </c>
      <c r="Q23" s="313"/>
    </row>
    <row r="24" spans="1:18" ht="11.25" customHeight="1">
      <c r="A24" s="44"/>
      <c r="B24" s="44"/>
      <c r="C24" s="44"/>
      <c r="D24" s="44"/>
      <c r="E24" s="43"/>
      <c r="F24" s="44"/>
      <c r="G24" s="44"/>
      <c r="H24" s="44"/>
      <c r="I24" s="44"/>
      <c r="J24" s="44"/>
      <c r="K24" s="44"/>
      <c r="L24" s="44"/>
      <c r="M24" s="43"/>
      <c r="N24" s="336" t="s">
        <v>25</v>
      </c>
      <c r="O24" s="732">
        <v>2330.5435877549999</v>
      </c>
      <c r="P24" s="732">
        <v>1648.7086983974998</v>
      </c>
      <c r="Q24" s="312"/>
      <c r="R24" s="312"/>
    </row>
    <row r="25" spans="1:18" ht="11.25" customHeight="1">
      <c r="A25" s="44"/>
      <c r="B25" s="44"/>
      <c r="C25" s="44"/>
      <c r="D25" s="44"/>
      <c r="E25" s="44"/>
      <c r="F25" s="44"/>
      <c r="G25" s="44"/>
      <c r="H25" s="44"/>
      <c r="I25" s="44"/>
      <c r="J25" s="53"/>
      <c r="K25" s="53"/>
      <c r="L25" s="44"/>
      <c r="M25" s="44"/>
      <c r="N25" s="336" t="s">
        <v>26</v>
      </c>
      <c r="O25" s="732">
        <v>4.3830983974999995</v>
      </c>
      <c r="P25" s="732">
        <v>0</v>
      </c>
      <c r="Q25" s="314"/>
    </row>
    <row r="26" spans="1:18" ht="11.25" customHeight="1">
      <c r="A26" s="44"/>
      <c r="B26" s="44"/>
      <c r="C26" s="44"/>
      <c r="D26" s="44"/>
      <c r="E26" s="44"/>
      <c r="F26" s="44"/>
      <c r="G26" s="44"/>
      <c r="H26" s="44"/>
      <c r="I26" s="44"/>
      <c r="J26" s="53"/>
      <c r="K26" s="53"/>
      <c r="L26" s="44"/>
      <c r="M26" s="44"/>
      <c r="N26" s="335" t="s">
        <v>27</v>
      </c>
      <c r="O26" s="731">
        <v>3.9043622649999996</v>
      </c>
      <c r="P26" s="731">
        <v>3.3548431874999998</v>
      </c>
      <c r="Q26" s="314"/>
    </row>
    <row r="27" spans="1:18" ht="11.25" customHeight="1">
      <c r="A27" s="44"/>
      <c r="B27" s="44"/>
      <c r="C27" s="44"/>
      <c r="D27" s="44"/>
      <c r="E27" s="44"/>
      <c r="F27" s="44"/>
      <c r="G27" s="44"/>
      <c r="H27" s="44"/>
      <c r="I27" s="44"/>
      <c r="J27" s="53"/>
      <c r="K27" s="44"/>
      <c r="L27" s="44"/>
      <c r="M27" s="44"/>
      <c r="N27" s="335" t="s">
        <v>28</v>
      </c>
      <c r="O27" s="731">
        <v>37.985623459999999</v>
      </c>
      <c r="P27" s="731">
        <v>25.675913637500003</v>
      </c>
      <c r="Q27" s="314"/>
    </row>
    <row r="28" spans="1:18" ht="11.25" customHeight="1">
      <c r="A28" s="44"/>
      <c r="B28" s="44"/>
      <c r="C28" s="53"/>
      <c r="D28" s="53"/>
      <c r="E28" s="53"/>
      <c r="F28" s="53"/>
      <c r="G28" s="53"/>
      <c r="H28" s="53"/>
      <c r="I28" s="53"/>
      <c r="J28" s="53"/>
      <c r="K28" s="53"/>
      <c r="L28" s="44"/>
      <c r="M28" s="44"/>
      <c r="N28" s="335" t="s">
        <v>29</v>
      </c>
      <c r="O28" s="731">
        <v>156.66788605249999</v>
      </c>
      <c r="P28" s="731">
        <v>128.4353796625</v>
      </c>
      <c r="Q28" s="314"/>
    </row>
    <row r="29" spans="1:18" ht="11.25" customHeight="1">
      <c r="A29" s="44"/>
      <c r="B29" s="44"/>
      <c r="C29" s="53"/>
      <c r="D29" s="53"/>
      <c r="E29" s="53"/>
      <c r="F29" s="53"/>
      <c r="G29" s="53"/>
      <c r="H29" s="53"/>
      <c r="I29" s="53"/>
      <c r="J29" s="53"/>
      <c r="K29" s="53"/>
      <c r="L29" s="44"/>
      <c r="M29" s="44"/>
      <c r="N29" s="335" t="s">
        <v>30</v>
      </c>
      <c r="O29" s="731">
        <v>81.511218932499986</v>
      </c>
      <c r="P29" s="731">
        <v>75.155877332500012</v>
      </c>
      <c r="Q29" s="314"/>
    </row>
    <row r="30" spans="1:18" ht="11.25" customHeight="1">
      <c r="A30" s="44"/>
      <c r="B30" s="44"/>
      <c r="C30" s="53"/>
      <c r="D30" s="53"/>
      <c r="E30" s="53"/>
      <c r="F30" s="53"/>
      <c r="G30" s="53"/>
      <c r="H30" s="53"/>
      <c r="I30" s="53"/>
      <c r="J30" s="53"/>
      <c r="K30" s="53"/>
      <c r="L30" s="44"/>
      <c r="M30" s="44"/>
      <c r="N30" s="335"/>
      <c r="O30" s="314"/>
      <c r="P30" s="314"/>
      <c r="Q30" s="314"/>
    </row>
    <row r="31" spans="1:18" ht="11.25" customHeight="1">
      <c r="A31" s="44"/>
      <c r="B31" s="44"/>
      <c r="C31" s="53"/>
      <c r="D31" s="53"/>
      <c r="E31" s="53"/>
      <c r="F31" s="53"/>
      <c r="G31" s="53"/>
      <c r="H31" s="53"/>
      <c r="I31" s="53"/>
      <c r="J31" s="53"/>
      <c r="K31" s="53"/>
      <c r="L31" s="44"/>
      <c r="M31" s="44"/>
      <c r="O31" s="357"/>
      <c r="P31" s="357"/>
      <c r="Q31" s="358"/>
    </row>
    <row r="32" spans="1:18" ht="11.25" customHeight="1">
      <c r="A32" s="44"/>
      <c r="B32" s="44"/>
      <c r="C32" s="53"/>
      <c r="D32" s="53"/>
      <c r="E32" s="53"/>
      <c r="F32" s="53"/>
      <c r="G32" s="53"/>
      <c r="H32" s="53"/>
      <c r="I32" s="53"/>
      <c r="J32" s="53"/>
      <c r="K32" s="53"/>
      <c r="L32" s="44"/>
      <c r="M32" s="44"/>
      <c r="Q32" s="308"/>
    </row>
    <row r="33" spans="1:17" ht="11.25" customHeight="1">
      <c r="A33" s="44"/>
      <c r="B33" s="44"/>
      <c r="C33" s="53"/>
      <c r="D33" s="53"/>
      <c r="E33" s="53"/>
      <c r="F33" s="53"/>
      <c r="G33" s="53"/>
      <c r="H33" s="53"/>
      <c r="I33" s="53"/>
      <c r="J33" s="53"/>
      <c r="K33" s="53"/>
      <c r="L33" s="44"/>
      <c r="M33" s="44"/>
      <c r="Q33" s="308"/>
    </row>
    <row r="34" spans="1:17" ht="11.25" customHeight="1">
      <c r="A34" s="44"/>
      <c r="B34" s="44"/>
      <c r="C34" s="53"/>
      <c r="D34" s="53"/>
      <c r="E34" s="53"/>
      <c r="F34" s="53"/>
      <c r="G34" s="53"/>
      <c r="H34" s="53"/>
      <c r="I34" s="53"/>
      <c r="J34" s="53"/>
      <c r="K34" s="53"/>
      <c r="L34" s="44"/>
      <c r="M34" s="44"/>
      <c r="Q34" s="308"/>
    </row>
    <row r="35" spans="1:17" ht="11.25" customHeight="1">
      <c r="A35" s="54"/>
      <c r="B35" s="54"/>
      <c r="C35" s="55"/>
      <c r="D35" s="55"/>
      <c r="E35" s="55"/>
      <c r="F35" s="55"/>
      <c r="G35" s="55"/>
      <c r="H35" s="55"/>
      <c r="I35" s="55"/>
      <c r="J35" s="54"/>
      <c r="K35" s="54"/>
      <c r="L35" s="54"/>
      <c r="M35" s="54"/>
      <c r="Q35" s="308"/>
    </row>
    <row r="36" spans="1:17" ht="11.25" customHeight="1">
      <c r="A36" s="54"/>
      <c r="B36" s="54"/>
      <c r="C36" s="55"/>
      <c r="D36" s="55"/>
      <c r="E36" s="55"/>
      <c r="F36" s="55"/>
      <c r="G36" s="55"/>
      <c r="H36" s="55"/>
      <c r="I36" s="55"/>
      <c r="J36" s="54"/>
      <c r="K36" s="54"/>
      <c r="L36" s="54"/>
      <c r="M36" s="54"/>
      <c r="Q36" s="308"/>
    </row>
    <row r="37" spans="1:17" ht="11.25" customHeight="1">
      <c r="A37" s="54"/>
      <c r="B37" s="54"/>
      <c r="C37" s="55"/>
      <c r="D37" s="55"/>
      <c r="E37" s="55"/>
      <c r="F37" s="55"/>
      <c r="G37" s="55"/>
      <c r="H37" s="55"/>
      <c r="I37" s="55"/>
      <c r="J37" s="54"/>
      <c r="K37" s="54"/>
      <c r="L37" s="54"/>
      <c r="M37" s="54"/>
      <c r="N37" s="282"/>
      <c r="O37" s="308"/>
      <c r="P37" s="308"/>
      <c r="Q37" s="308"/>
    </row>
    <row r="38" spans="1:17" ht="11.25" customHeight="1">
      <c r="A38" s="54"/>
      <c r="B38" s="54"/>
      <c r="C38" s="55"/>
      <c r="D38" s="55"/>
      <c r="E38" s="55"/>
      <c r="F38" s="55"/>
      <c r="G38" s="55"/>
      <c r="H38" s="55"/>
      <c r="I38" s="55"/>
      <c r="J38" s="54"/>
      <c r="K38" s="54"/>
      <c r="L38" s="54"/>
      <c r="M38" s="54"/>
      <c r="N38" s="282"/>
      <c r="O38" s="308"/>
      <c r="P38" s="308"/>
      <c r="Q38" s="308"/>
    </row>
    <row r="39" spans="1:17" ht="11.25" customHeight="1">
      <c r="A39" s="54"/>
      <c r="B39" s="54"/>
      <c r="C39" s="55"/>
      <c r="D39" s="55"/>
      <c r="E39" s="55"/>
      <c r="F39" s="55"/>
      <c r="G39" s="55"/>
      <c r="H39" s="55"/>
      <c r="I39" s="55"/>
      <c r="J39" s="54"/>
      <c r="K39" s="54"/>
      <c r="L39" s="54"/>
      <c r="M39" s="54"/>
      <c r="N39" s="282"/>
      <c r="O39" s="308"/>
      <c r="P39" s="308"/>
      <c r="Q39" s="308"/>
    </row>
    <row r="40" spans="1:17" ht="11.25" customHeight="1">
      <c r="A40" s="54"/>
      <c r="B40" s="54"/>
      <c r="C40" s="55"/>
      <c r="D40" s="55"/>
      <c r="E40" s="55"/>
      <c r="F40" s="55"/>
      <c r="G40" s="55"/>
      <c r="H40" s="55"/>
      <c r="I40" s="55"/>
      <c r="J40" s="54"/>
      <c r="K40" s="54"/>
      <c r="L40" s="54"/>
      <c r="M40" s="54"/>
      <c r="N40" s="282"/>
      <c r="O40" s="308"/>
      <c r="P40" s="308"/>
      <c r="Q40" s="308"/>
    </row>
    <row r="41" spans="1:17" ht="11.25" customHeight="1">
      <c r="A41" s="54"/>
      <c r="B41" s="54"/>
      <c r="C41" s="54"/>
      <c r="D41" s="55"/>
      <c r="E41" s="55"/>
      <c r="F41" s="55"/>
      <c r="G41" s="55"/>
      <c r="H41" s="54"/>
      <c r="I41" s="54"/>
      <c r="J41" s="54"/>
      <c r="K41" s="54"/>
      <c r="L41" s="54"/>
      <c r="M41" s="54"/>
      <c r="N41" s="282"/>
      <c r="O41" s="308"/>
      <c r="P41" s="308"/>
      <c r="Q41" s="308"/>
    </row>
    <row r="42" spans="1:17" ht="11.25" customHeight="1">
      <c r="A42" s="54"/>
      <c r="B42" s="54"/>
      <c r="C42" s="55"/>
      <c r="D42" s="55"/>
      <c r="E42" s="55"/>
      <c r="F42" s="55"/>
      <c r="G42" s="55"/>
      <c r="H42" s="55"/>
      <c r="I42" s="55"/>
      <c r="J42" s="54"/>
      <c r="K42" s="54"/>
      <c r="L42" s="54"/>
      <c r="M42" s="54"/>
      <c r="N42" s="282"/>
      <c r="O42" s="308"/>
      <c r="P42" s="308"/>
      <c r="Q42" s="308"/>
    </row>
    <row r="43" spans="1:17" ht="11.25" customHeight="1">
      <c r="A43" s="54"/>
      <c r="B43" s="54"/>
      <c r="C43" s="55"/>
      <c r="D43" s="55"/>
      <c r="E43" s="55"/>
      <c r="F43" s="55"/>
      <c r="G43" s="55"/>
      <c r="H43" s="55"/>
      <c r="I43" s="55"/>
      <c r="J43" s="54"/>
      <c r="K43" s="54"/>
      <c r="L43" s="54"/>
      <c r="M43" s="54"/>
      <c r="N43" s="282"/>
      <c r="O43" s="308"/>
      <c r="P43" s="308"/>
      <c r="Q43" s="308"/>
    </row>
    <row r="44" spans="1:17" ht="11.25" customHeight="1">
      <c r="A44" s="54"/>
      <c r="B44" s="54"/>
      <c r="C44" s="55"/>
      <c r="D44" s="55"/>
      <c r="E44" s="55"/>
      <c r="F44" s="55"/>
      <c r="G44" s="55"/>
      <c r="H44" s="55"/>
      <c r="I44" s="55"/>
      <c r="J44" s="54"/>
      <c r="K44" s="54"/>
      <c r="L44" s="54"/>
      <c r="M44" s="54"/>
      <c r="N44" s="282"/>
      <c r="O44" s="308"/>
      <c r="P44" s="308"/>
      <c r="Q44" s="308"/>
    </row>
    <row r="45" spans="1:17" ht="11.25" customHeight="1">
      <c r="A45" s="54"/>
      <c r="B45" s="54"/>
      <c r="C45" s="55"/>
      <c r="D45" s="55"/>
      <c r="E45" s="55"/>
      <c r="F45" s="55"/>
      <c r="G45" s="55"/>
      <c r="H45" s="55"/>
      <c r="I45" s="55"/>
      <c r="J45" s="54"/>
      <c r="K45" s="54"/>
      <c r="L45" s="54"/>
      <c r="M45" s="54"/>
      <c r="N45" s="282"/>
      <c r="O45" s="308"/>
      <c r="P45" s="308"/>
      <c r="Q45" s="308"/>
    </row>
    <row r="46" spans="1:17" ht="11.25" customHeight="1">
      <c r="A46" s="54"/>
      <c r="B46" s="54"/>
      <c r="C46" s="54"/>
      <c r="D46" s="54"/>
      <c r="E46" s="54"/>
      <c r="F46" s="54"/>
      <c r="G46" s="54"/>
      <c r="H46" s="54"/>
      <c r="I46" s="54"/>
      <c r="J46" s="54"/>
      <c r="K46" s="54"/>
      <c r="L46" s="54"/>
      <c r="M46" s="54"/>
      <c r="N46" s="282"/>
      <c r="O46" s="308"/>
      <c r="P46" s="308"/>
      <c r="Q46" s="308"/>
    </row>
    <row r="47" spans="1:17" ht="16.5" customHeight="1">
      <c r="A47" s="54"/>
      <c r="B47" s="887" t="str">
        <f>"Total = "&amp;TEXT(ROUND(SUM(O23:O29),2),"0 000,00")&amp;" GWh"</f>
        <v>Total = 4 385,37 GWh</v>
      </c>
      <c r="C47" s="887"/>
      <c r="D47" s="887"/>
      <c r="E47" s="887"/>
      <c r="F47" s="54"/>
      <c r="G47" s="54"/>
      <c r="H47" s="886" t="str">
        <f>"Total = "&amp;TEXT(ROUND(SUM(P23:P29),2),"0 000,00")&amp;" GWh"</f>
        <v>Total = 4 397,73 GWh</v>
      </c>
      <c r="I47" s="886"/>
      <c r="J47" s="886"/>
      <c r="K47" s="886"/>
      <c r="L47" s="54"/>
      <c r="M47" s="54"/>
      <c r="N47" s="282"/>
      <c r="O47" s="308"/>
      <c r="P47" s="308"/>
      <c r="Q47" s="308"/>
    </row>
    <row r="48" spans="1:17" ht="11.25" customHeight="1">
      <c r="H48" s="54"/>
      <c r="I48" s="54"/>
      <c r="J48" s="54"/>
      <c r="K48" s="54"/>
      <c r="L48" s="54"/>
      <c r="M48" s="54"/>
      <c r="N48" s="282"/>
      <c r="O48" s="308"/>
      <c r="P48" s="308"/>
      <c r="Q48" s="308"/>
    </row>
    <row r="49" spans="1:17" ht="11.25" customHeight="1">
      <c r="B49" s="885" t="str">
        <f>"Gráfico 1: Comparación de producción mensual de electricidad en "&amp;Q4&amp;" por tipo de recurso energético."</f>
        <v>Gráfico 1: Comparación de producción mensual de electricidad en noviembre por tipo de recurso energético.</v>
      </c>
      <c r="C49" s="885"/>
      <c r="D49" s="885"/>
      <c r="E49" s="885"/>
      <c r="F49" s="885"/>
      <c r="G49" s="885"/>
      <c r="H49" s="885"/>
      <c r="I49" s="885"/>
      <c r="J49" s="885"/>
      <c r="K49" s="885"/>
      <c r="L49" s="885"/>
      <c r="M49" s="231"/>
      <c r="N49" s="285"/>
      <c r="O49" s="308"/>
      <c r="P49" s="308"/>
      <c r="Q49" s="308"/>
    </row>
    <row r="50" spans="1:17" ht="11.25" customHeight="1">
      <c r="B50" s="799"/>
      <c r="C50" s="799"/>
      <c r="D50" s="799"/>
      <c r="E50" s="799"/>
      <c r="F50" s="799"/>
      <c r="G50" s="799"/>
      <c r="H50" s="799"/>
      <c r="I50" s="799"/>
      <c r="J50" s="799"/>
      <c r="K50" s="799"/>
      <c r="L50" s="799"/>
      <c r="M50" s="231"/>
      <c r="N50" s="285"/>
      <c r="O50" s="308"/>
      <c r="P50" s="308"/>
      <c r="Q50" s="308"/>
    </row>
    <row r="51" spans="1:17" ht="21.75" customHeight="1">
      <c r="B51" s="882"/>
      <c r="C51" s="883"/>
      <c r="D51" s="883"/>
      <c r="E51" s="883"/>
      <c r="F51" s="883"/>
      <c r="G51" s="883"/>
      <c r="H51" s="883"/>
      <c r="I51" s="883"/>
      <c r="J51" s="883"/>
      <c r="K51" s="883"/>
      <c r="L51" s="883"/>
      <c r="M51" s="883"/>
      <c r="N51" s="285"/>
      <c r="O51" s="308"/>
      <c r="P51" s="308"/>
      <c r="Q51" s="308"/>
    </row>
    <row r="52" spans="1:17" ht="11.25" customHeight="1">
      <c r="A52" s="54"/>
      <c r="B52" s="54"/>
      <c r="C52" s="45"/>
      <c r="D52" s="45"/>
      <c r="E52" s="54"/>
      <c r="F52" s="54"/>
      <c r="G52" s="54"/>
      <c r="H52" s="54"/>
      <c r="I52" s="54"/>
      <c r="J52" s="54"/>
      <c r="K52" s="54"/>
      <c r="L52" s="54"/>
      <c r="M52" s="54"/>
      <c r="N52" s="282"/>
      <c r="O52" s="308"/>
      <c r="P52" s="308"/>
      <c r="Q52" s="308"/>
    </row>
    <row r="53" spans="1:17" ht="11.25" customHeight="1">
      <c r="A53" s="54"/>
      <c r="B53" s="54"/>
      <c r="C53" s="54"/>
      <c r="D53" s="54"/>
      <c r="E53" s="54"/>
      <c r="F53" s="54"/>
      <c r="G53" s="54"/>
      <c r="H53" s="54"/>
      <c r="I53" s="54"/>
      <c r="J53" s="54"/>
      <c r="K53" s="54"/>
      <c r="L53" s="54"/>
      <c r="M53" s="54"/>
      <c r="N53" s="282"/>
      <c r="O53" s="308"/>
      <c r="P53" s="308"/>
      <c r="Q53" s="308"/>
    </row>
    <row r="54" spans="1:17" ht="11.25" customHeight="1">
      <c r="A54" s="54"/>
      <c r="B54" s="54"/>
      <c r="C54" s="54"/>
      <c r="D54" s="54"/>
      <c r="E54" s="54"/>
      <c r="F54" s="54"/>
      <c r="G54" s="54"/>
      <c r="H54" s="54"/>
      <c r="I54" s="54"/>
      <c r="J54" s="54"/>
      <c r="K54" s="54"/>
      <c r="L54" s="54"/>
      <c r="M54" s="54"/>
      <c r="N54" s="282"/>
      <c r="O54" s="308"/>
      <c r="P54" s="308"/>
      <c r="Q54" s="308"/>
    </row>
    <row r="55" spans="1:17" ht="11.25" customHeight="1">
      <c r="A55" s="54"/>
      <c r="B55" s="54"/>
      <c r="C55" s="54"/>
      <c r="D55" s="54"/>
      <c r="E55" s="54"/>
      <c r="F55" s="54"/>
      <c r="G55" s="54"/>
      <c r="H55" s="54"/>
      <c r="I55" s="54"/>
      <c r="J55" s="54"/>
      <c r="K55" s="54"/>
      <c r="L55" s="54"/>
      <c r="M55" s="54"/>
      <c r="N55" s="282"/>
      <c r="O55" s="308"/>
      <c r="P55" s="308"/>
      <c r="Q55" s="308"/>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Mensual-Noviembre 2020
INFSGI-MES-11-2020
14/12/2020
Versión: 01</oddHeader>
    <oddFooter>&amp;LCOES, 2020&amp;C1&amp;RDirección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5D0-8A49-429D-8201-476FACEE1259}">
  <sheetPr>
    <tabColor theme="4"/>
  </sheetPr>
  <dimension ref="A1:I73"/>
  <sheetViews>
    <sheetView showGridLines="0" view="pageBreakPreview" topLeftCell="C1" zoomScale="90" zoomScaleNormal="100" zoomScaleSheetLayoutView="90" workbookViewId="0">
      <selection activeCell="T44" sqref="T44"/>
    </sheetView>
  </sheetViews>
  <sheetFormatPr baseColWidth="10" defaultColWidth="9.28515625" defaultRowHeight="9.6"/>
  <cols>
    <col min="1" max="1" width="16.140625" style="802" customWidth="1"/>
    <col min="2" max="2" width="19.7109375" style="802" customWidth="1"/>
    <col min="3" max="3" width="12.85546875" style="802" bestFit="1" customWidth="1"/>
    <col min="4" max="4" width="59.85546875" style="802" customWidth="1"/>
    <col min="5" max="5" width="11.7109375" style="802" customWidth="1"/>
    <col min="6" max="6" width="10.42578125" style="802" customWidth="1"/>
    <col min="7" max="8" width="9.28515625" style="802" customWidth="1"/>
    <col min="9" max="16384" width="9.28515625" style="802"/>
  </cols>
  <sheetData>
    <row r="1" spans="1:9" ht="11.25" customHeight="1">
      <c r="A1" s="800" t="s">
        <v>365</v>
      </c>
      <c r="B1" s="801"/>
      <c r="C1" s="801"/>
      <c r="D1" s="801"/>
      <c r="E1" s="801"/>
      <c r="F1" s="801"/>
    </row>
    <row r="2" spans="1:9" ht="30" customHeight="1">
      <c r="A2" s="803" t="s">
        <v>250</v>
      </c>
      <c r="B2" s="804" t="s">
        <v>366</v>
      </c>
      <c r="C2" s="803" t="s">
        <v>355</v>
      </c>
      <c r="D2" s="805" t="s">
        <v>367</v>
      </c>
      <c r="E2" s="806" t="s">
        <v>368</v>
      </c>
      <c r="F2" s="806" t="s">
        <v>369</v>
      </c>
      <c r="G2" s="807"/>
      <c r="H2" s="808"/>
      <c r="I2" s="809"/>
    </row>
    <row r="3" spans="1:9" ht="67.8" customHeight="1">
      <c r="A3" s="812" t="s">
        <v>518</v>
      </c>
      <c r="B3" s="812" t="s">
        <v>625</v>
      </c>
      <c r="C3" s="810">
        <v>44156.612500000003</v>
      </c>
      <c r="D3" s="811" t="s">
        <v>626</v>
      </c>
      <c r="E3" s="812">
        <v>5.18</v>
      </c>
      <c r="F3" s="812"/>
      <c r="G3" s="813"/>
      <c r="H3" s="813"/>
      <c r="I3" s="815"/>
    </row>
    <row r="4" spans="1:9" ht="90.6" customHeight="1">
      <c r="A4" s="812" t="s">
        <v>536</v>
      </c>
      <c r="B4" s="812" t="s">
        <v>627</v>
      </c>
      <c r="C4" s="810">
        <v>44156.977777777778</v>
      </c>
      <c r="D4" s="811" t="s">
        <v>628</v>
      </c>
      <c r="E4" s="812"/>
      <c r="F4" s="812">
        <v>17.190000000000001</v>
      </c>
      <c r="G4" s="813"/>
      <c r="H4" s="813"/>
      <c r="I4" s="816"/>
    </row>
    <row r="5" spans="1:9" ht="64.2" customHeight="1">
      <c r="A5" s="812" t="s">
        <v>536</v>
      </c>
      <c r="B5" s="812" t="s">
        <v>627</v>
      </c>
      <c r="C5" s="810">
        <v>44156.990277777775</v>
      </c>
      <c r="D5" s="811" t="s">
        <v>629</v>
      </c>
      <c r="E5" s="812"/>
      <c r="F5" s="812">
        <v>20.170000000000002</v>
      </c>
      <c r="G5" s="813"/>
      <c r="H5" s="813"/>
      <c r="I5" s="817"/>
    </row>
    <row r="6" spans="1:9" ht="89.4" customHeight="1">
      <c r="A6" s="812" t="s">
        <v>585</v>
      </c>
      <c r="B6" s="812" t="s">
        <v>630</v>
      </c>
      <c r="C6" s="810">
        <v>44157.624305555553</v>
      </c>
      <c r="D6" s="811" t="s">
        <v>631</v>
      </c>
      <c r="E6" s="812">
        <v>21.11</v>
      </c>
      <c r="F6" s="812"/>
      <c r="G6" s="813"/>
      <c r="H6" s="813"/>
      <c r="I6" s="816"/>
    </row>
    <row r="7" spans="1:9" ht="72" customHeight="1">
      <c r="A7" s="812" t="s">
        <v>580</v>
      </c>
      <c r="B7" s="812" t="s">
        <v>581</v>
      </c>
      <c r="C7" s="810">
        <v>44157.780555555553</v>
      </c>
      <c r="D7" s="811" t="s">
        <v>632</v>
      </c>
      <c r="E7" s="812">
        <v>15.23</v>
      </c>
      <c r="F7" s="812"/>
      <c r="G7" s="813"/>
      <c r="H7" s="813"/>
      <c r="I7" s="816"/>
    </row>
    <row r="8" spans="1:9" ht="61.2" customHeight="1">
      <c r="A8" s="812" t="s">
        <v>527</v>
      </c>
      <c r="B8" s="812" t="s">
        <v>595</v>
      </c>
      <c r="C8" s="810">
        <v>44158.424305555556</v>
      </c>
      <c r="D8" s="811" t="s">
        <v>633</v>
      </c>
      <c r="E8" s="812">
        <v>18.649999999999999</v>
      </c>
      <c r="F8" s="812"/>
      <c r="G8" s="813"/>
      <c r="H8" s="813"/>
      <c r="I8" s="816"/>
    </row>
    <row r="9" spans="1:9" ht="165.6" customHeight="1">
      <c r="A9" s="812" t="s">
        <v>527</v>
      </c>
      <c r="B9" s="812" t="s">
        <v>528</v>
      </c>
      <c r="C9" s="810">
        <v>44158.564583333333</v>
      </c>
      <c r="D9" s="811" t="s">
        <v>634</v>
      </c>
      <c r="E9" s="812">
        <v>21.21</v>
      </c>
      <c r="F9" s="812"/>
      <c r="G9" s="813"/>
      <c r="H9" s="813"/>
      <c r="I9" s="816"/>
    </row>
    <row r="10" spans="1:9" ht="51" customHeight="1">
      <c r="A10" s="812" t="s">
        <v>530</v>
      </c>
      <c r="B10" s="812" t="s">
        <v>531</v>
      </c>
      <c r="C10" s="810">
        <v>44158.624305555553</v>
      </c>
      <c r="D10" s="811" t="s">
        <v>635</v>
      </c>
      <c r="E10" s="812">
        <v>11.34</v>
      </c>
      <c r="F10" s="812"/>
      <c r="G10" s="813"/>
      <c r="H10" s="813"/>
      <c r="I10" s="816"/>
    </row>
    <row r="11" spans="1:9" ht="56.4" customHeight="1">
      <c r="A11" s="812" t="s">
        <v>530</v>
      </c>
      <c r="B11" s="812" t="s">
        <v>531</v>
      </c>
      <c r="C11" s="810">
        <v>44158.655555555553</v>
      </c>
      <c r="D11" s="811" t="s">
        <v>636</v>
      </c>
      <c r="E11" s="812">
        <v>10.35</v>
      </c>
      <c r="F11" s="812"/>
      <c r="G11" s="813"/>
      <c r="H11" s="813"/>
      <c r="I11" s="816"/>
    </row>
    <row r="12" spans="1:9" ht="61.2" customHeight="1">
      <c r="A12" s="812" t="s">
        <v>533</v>
      </c>
      <c r="B12" s="812" t="s">
        <v>534</v>
      </c>
      <c r="C12" s="810">
        <v>44162.549305555556</v>
      </c>
      <c r="D12" s="811" t="s">
        <v>637</v>
      </c>
      <c r="E12" s="812">
        <v>0.18</v>
      </c>
      <c r="F12" s="812"/>
      <c r="G12" s="813"/>
      <c r="H12" s="813"/>
      <c r="I12" s="816"/>
    </row>
    <row r="13" spans="1:9">
      <c r="E13" s="820"/>
      <c r="F13" s="820"/>
    </row>
    <row r="14" spans="1:9">
      <c r="E14" s="820"/>
      <c r="F14" s="820"/>
    </row>
    <row r="15" spans="1:9">
      <c r="E15" s="820"/>
      <c r="F15" s="820"/>
    </row>
    <row r="16" spans="1:9">
      <c r="E16" s="820"/>
      <c r="F16" s="820"/>
    </row>
    <row r="17" spans="5:6">
      <c r="E17" s="820"/>
      <c r="F17" s="820"/>
    </row>
    <row r="18" spans="5:6">
      <c r="E18" s="820"/>
      <c r="F18" s="820"/>
    </row>
    <row r="19" spans="5:6">
      <c r="E19" s="820"/>
      <c r="F19" s="820"/>
    </row>
    <row r="20" spans="5:6">
      <c r="E20" s="820"/>
      <c r="F20" s="820"/>
    </row>
    <row r="21" spans="5:6">
      <c r="E21" s="820"/>
      <c r="F21" s="820"/>
    </row>
    <row r="22" spans="5:6">
      <c r="E22" s="820"/>
      <c r="F22" s="820"/>
    </row>
    <row r="23" spans="5:6">
      <c r="E23" s="820"/>
      <c r="F23" s="820"/>
    </row>
    <row r="24" spans="5:6">
      <c r="E24" s="820"/>
      <c r="F24" s="820"/>
    </row>
    <row r="25" spans="5:6">
      <c r="E25" s="820"/>
      <c r="F25" s="820"/>
    </row>
    <row r="26" spans="5:6">
      <c r="E26" s="820"/>
      <c r="F26" s="820"/>
    </row>
    <row r="27" spans="5:6">
      <c r="E27" s="820"/>
      <c r="F27" s="820"/>
    </row>
    <row r="28" spans="5:6">
      <c r="E28" s="820"/>
      <c r="F28" s="820"/>
    </row>
    <row r="29" spans="5:6">
      <c r="E29" s="820"/>
      <c r="F29" s="820"/>
    </row>
    <row r="30" spans="5:6">
      <c r="E30" s="820"/>
      <c r="F30" s="820"/>
    </row>
    <row r="31" spans="5:6">
      <c r="E31" s="820"/>
      <c r="F31" s="820"/>
    </row>
    <row r="32" spans="5:6">
      <c r="E32" s="820"/>
      <c r="F32" s="820"/>
    </row>
    <row r="33" spans="5:6">
      <c r="E33" s="820"/>
      <c r="F33" s="820"/>
    </row>
    <row r="34" spans="5:6">
      <c r="E34" s="820"/>
      <c r="F34" s="820"/>
    </row>
    <row r="35" spans="5:6">
      <c r="E35" s="820"/>
      <c r="F35" s="820"/>
    </row>
    <row r="36" spans="5:6">
      <c r="E36" s="820"/>
      <c r="F36" s="820"/>
    </row>
    <row r="37" spans="5:6">
      <c r="E37" s="820"/>
      <c r="F37" s="820"/>
    </row>
    <row r="38" spans="5:6">
      <c r="E38" s="820"/>
      <c r="F38" s="820"/>
    </row>
    <row r="39" spans="5:6">
      <c r="E39" s="820"/>
      <c r="F39" s="820"/>
    </row>
    <row r="40" spans="5:6">
      <c r="E40" s="820"/>
      <c r="F40" s="820"/>
    </row>
    <row r="41" spans="5:6">
      <c r="E41" s="820"/>
      <c r="F41" s="820"/>
    </row>
    <row r="42" spans="5:6">
      <c r="E42" s="820"/>
      <c r="F42" s="820"/>
    </row>
    <row r="43" spans="5:6">
      <c r="E43" s="820"/>
      <c r="F43" s="820"/>
    </row>
    <row r="44" spans="5:6">
      <c r="E44" s="820"/>
      <c r="F44" s="820"/>
    </row>
    <row r="45" spans="5:6">
      <c r="E45" s="820"/>
      <c r="F45" s="820"/>
    </row>
    <row r="46" spans="5:6">
      <c r="E46" s="820"/>
      <c r="F46" s="820"/>
    </row>
    <row r="47" spans="5:6">
      <c r="E47" s="820"/>
      <c r="F47" s="820"/>
    </row>
    <row r="48" spans="5:6">
      <c r="E48" s="820"/>
      <c r="F48" s="820"/>
    </row>
    <row r="49" spans="5:6">
      <c r="E49" s="820"/>
      <c r="F49" s="820"/>
    </row>
    <row r="50" spans="5:6">
      <c r="E50" s="820"/>
      <c r="F50" s="820"/>
    </row>
    <row r="51" spans="5:6">
      <c r="E51" s="820"/>
      <c r="F51" s="820"/>
    </row>
    <row r="52" spans="5:6">
      <c r="E52" s="820"/>
      <c r="F52" s="820"/>
    </row>
    <row r="53" spans="5:6">
      <c r="E53" s="820"/>
      <c r="F53" s="820"/>
    </row>
    <row r="54" spans="5:6">
      <c r="E54" s="820"/>
      <c r="F54" s="820"/>
    </row>
    <row r="55" spans="5:6">
      <c r="E55" s="820"/>
      <c r="F55" s="820"/>
    </row>
    <row r="56" spans="5:6">
      <c r="E56" s="820"/>
      <c r="F56" s="820"/>
    </row>
    <row r="57" spans="5:6">
      <c r="E57" s="820"/>
      <c r="F57" s="820"/>
    </row>
    <row r="58" spans="5:6">
      <c r="E58" s="820"/>
      <c r="F58" s="820"/>
    </row>
    <row r="59" spans="5:6">
      <c r="E59" s="820"/>
      <c r="F59" s="820"/>
    </row>
    <row r="60" spans="5:6">
      <c r="E60" s="820"/>
      <c r="F60" s="820"/>
    </row>
    <row r="61" spans="5:6">
      <c r="E61" s="820"/>
      <c r="F61" s="820"/>
    </row>
    <row r="62" spans="5:6">
      <c r="E62" s="820"/>
      <c r="F62" s="820"/>
    </row>
    <row r="63" spans="5:6">
      <c r="E63" s="820"/>
      <c r="F63" s="820"/>
    </row>
    <row r="64" spans="5:6">
      <c r="E64" s="820"/>
      <c r="F64" s="820"/>
    </row>
    <row r="65" spans="5:6">
      <c r="E65" s="820"/>
      <c r="F65" s="820"/>
    </row>
    <row r="66" spans="5:6">
      <c r="E66" s="820"/>
      <c r="F66" s="820"/>
    </row>
    <row r="67" spans="5:6">
      <c r="E67" s="820"/>
      <c r="F67" s="820"/>
    </row>
    <row r="68" spans="5:6">
      <c r="E68" s="820"/>
      <c r="F68" s="820"/>
    </row>
    <row r="69" spans="5:6">
      <c r="E69" s="820"/>
      <c r="F69" s="820"/>
    </row>
    <row r="70" spans="5:6">
      <c r="E70" s="820"/>
      <c r="F70" s="820"/>
    </row>
    <row r="71" spans="5:6">
      <c r="E71" s="820"/>
      <c r="F71" s="820"/>
    </row>
    <row r="72" spans="5:6">
      <c r="E72" s="820"/>
      <c r="F72" s="820"/>
    </row>
    <row r="73" spans="5:6">
      <c r="E73" s="820"/>
      <c r="F73" s="82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Mensual-Noviembre 2020
INFSGI-MES-11-2020
14/12/2020
Versión: 01</oddHeader>
    <oddFooter>&amp;L&amp;7COES, 2020&amp;C28&amp;R&amp;7Dirección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4F592-80D7-4975-9FFF-67A126F9F28C}">
  <sheetPr>
    <tabColor theme="4"/>
  </sheetPr>
  <dimension ref="A1:I66"/>
  <sheetViews>
    <sheetView showGridLines="0" view="pageBreakPreview" zoomScale="90" zoomScaleNormal="100" zoomScaleSheetLayoutView="90" workbookViewId="0">
      <selection activeCell="T44" sqref="T44"/>
    </sheetView>
  </sheetViews>
  <sheetFormatPr baseColWidth="10" defaultColWidth="9.28515625" defaultRowHeight="9.6"/>
  <cols>
    <col min="1" max="1" width="16.140625" style="802" customWidth="1"/>
    <col min="2" max="2" width="19.7109375" style="802" customWidth="1"/>
    <col min="3" max="3" width="12.85546875" style="802" bestFit="1" customWidth="1"/>
    <col min="4" max="4" width="59.85546875" style="802" customWidth="1"/>
    <col min="5" max="5" width="11.7109375" style="802" customWidth="1"/>
    <col min="6" max="6" width="10.42578125" style="802" customWidth="1"/>
    <col min="7" max="8" width="9.28515625" style="802" customWidth="1"/>
    <col min="9" max="16384" width="9.28515625" style="802"/>
  </cols>
  <sheetData>
    <row r="1" spans="1:9" ht="11.25" customHeight="1">
      <c r="A1" s="800" t="s">
        <v>365</v>
      </c>
      <c r="B1" s="801"/>
      <c r="C1" s="801"/>
      <c r="D1" s="801"/>
      <c r="E1" s="801"/>
      <c r="F1" s="801"/>
    </row>
    <row r="2" spans="1:9" ht="30" customHeight="1">
      <c r="A2" s="803" t="s">
        <v>250</v>
      </c>
      <c r="B2" s="804" t="s">
        <v>366</v>
      </c>
      <c r="C2" s="803" t="s">
        <v>355</v>
      </c>
      <c r="D2" s="805" t="s">
        <v>367</v>
      </c>
      <c r="E2" s="806" t="s">
        <v>368</v>
      </c>
      <c r="F2" s="806" t="s">
        <v>369</v>
      </c>
      <c r="G2" s="807"/>
      <c r="H2" s="808"/>
      <c r="I2" s="809"/>
    </row>
    <row r="3" spans="1:9" ht="67.8" customHeight="1">
      <c r="A3" s="812" t="s">
        <v>89</v>
      </c>
      <c r="B3" s="812" t="s">
        <v>638</v>
      </c>
      <c r="C3" s="810">
        <v>44163.298611111109</v>
      </c>
      <c r="D3" s="811" t="s">
        <v>639</v>
      </c>
      <c r="E3" s="812">
        <v>3.79</v>
      </c>
      <c r="F3" s="812"/>
      <c r="G3" s="813"/>
      <c r="H3" s="813"/>
      <c r="I3" s="815"/>
    </row>
    <row r="4" spans="1:9" ht="90.6" customHeight="1">
      <c r="A4" s="812" t="s">
        <v>527</v>
      </c>
      <c r="B4" s="812" t="s">
        <v>595</v>
      </c>
      <c r="C4" s="810">
        <v>44163.88958333333</v>
      </c>
      <c r="D4" s="811" t="s">
        <v>640</v>
      </c>
      <c r="E4" s="812">
        <v>13.88</v>
      </c>
      <c r="F4" s="812"/>
      <c r="G4" s="813"/>
      <c r="H4" s="813"/>
      <c r="I4" s="816"/>
    </row>
    <row r="5" spans="1:9" ht="64.2" customHeight="1">
      <c r="A5" s="812" t="s">
        <v>537</v>
      </c>
      <c r="B5" s="812" t="s">
        <v>641</v>
      </c>
      <c r="C5" s="810">
        <v>44165.615972222222</v>
      </c>
      <c r="D5" s="811" t="s">
        <v>642</v>
      </c>
      <c r="E5" s="812">
        <v>0.02</v>
      </c>
      <c r="F5" s="812"/>
      <c r="G5" s="813"/>
      <c r="H5" s="813"/>
      <c r="I5" s="817"/>
    </row>
    <row r="6" spans="1:9" ht="89.4" customHeight="1">
      <c r="A6" s="812" t="s">
        <v>527</v>
      </c>
      <c r="B6" s="812" t="s">
        <v>528</v>
      </c>
      <c r="C6" s="810">
        <v>44165.881944444445</v>
      </c>
      <c r="D6" s="811" t="s">
        <v>643</v>
      </c>
      <c r="E6" s="812">
        <v>20.100000000000001</v>
      </c>
      <c r="F6" s="812"/>
      <c r="G6" s="813"/>
      <c r="H6" s="813"/>
      <c r="I6" s="816"/>
    </row>
    <row r="7" spans="1:9" ht="72" customHeight="1">
      <c r="A7" s="812" t="s">
        <v>539</v>
      </c>
      <c r="B7" s="812" t="s">
        <v>644</v>
      </c>
      <c r="C7" s="810">
        <v>44165.945833333331</v>
      </c>
      <c r="D7" s="811" t="s">
        <v>645</v>
      </c>
      <c r="E7" s="812"/>
      <c r="F7" s="812">
        <v>12.25</v>
      </c>
      <c r="G7" s="813"/>
      <c r="H7" s="813"/>
      <c r="I7" s="816"/>
    </row>
    <row r="8" spans="1:9">
      <c r="E8" s="820"/>
      <c r="F8" s="820"/>
    </row>
    <row r="9" spans="1:9">
      <c r="E9" s="820"/>
      <c r="F9" s="820"/>
    </row>
    <row r="10" spans="1:9">
      <c r="E10" s="820"/>
      <c r="F10" s="820"/>
    </row>
    <row r="11" spans="1:9">
      <c r="E11" s="820"/>
      <c r="F11" s="820"/>
    </row>
    <row r="12" spans="1:9">
      <c r="E12" s="820"/>
      <c r="F12" s="820"/>
    </row>
    <row r="13" spans="1:9">
      <c r="E13" s="820"/>
      <c r="F13" s="820"/>
    </row>
    <row r="14" spans="1:9">
      <c r="E14" s="820"/>
      <c r="F14" s="820"/>
    </row>
    <row r="15" spans="1:9">
      <c r="E15" s="820"/>
      <c r="F15" s="820"/>
    </row>
    <row r="16" spans="1:9">
      <c r="E16" s="820"/>
      <c r="F16" s="820"/>
    </row>
    <row r="17" spans="5:6">
      <c r="E17" s="820"/>
      <c r="F17" s="820"/>
    </row>
    <row r="18" spans="5:6">
      <c r="E18" s="820"/>
      <c r="F18" s="820"/>
    </row>
    <row r="19" spans="5:6">
      <c r="E19" s="820"/>
      <c r="F19" s="820"/>
    </row>
    <row r="20" spans="5:6">
      <c r="E20" s="820"/>
      <c r="F20" s="820"/>
    </row>
    <row r="21" spans="5:6">
      <c r="E21" s="820"/>
      <c r="F21" s="820"/>
    </row>
    <row r="22" spans="5:6">
      <c r="E22" s="820"/>
      <c r="F22" s="820"/>
    </row>
    <row r="23" spans="5:6">
      <c r="E23" s="820"/>
      <c r="F23" s="820"/>
    </row>
    <row r="24" spans="5:6">
      <c r="E24" s="820"/>
      <c r="F24" s="820"/>
    </row>
    <row r="25" spans="5:6">
      <c r="E25" s="820"/>
      <c r="F25" s="820"/>
    </row>
    <row r="26" spans="5:6">
      <c r="E26" s="820"/>
      <c r="F26" s="820"/>
    </row>
    <row r="27" spans="5:6">
      <c r="E27" s="820"/>
      <c r="F27" s="820"/>
    </row>
    <row r="28" spans="5:6">
      <c r="E28" s="820"/>
      <c r="F28" s="820"/>
    </row>
    <row r="29" spans="5:6">
      <c r="E29" s="820"/>
      <c r="F29" s="820"/>
    </row>
    <row r="30" spans="5:6">
      <c r="E30" s="820"/>
      <c r="F30" s="820"/>
    </row>
    <row r="31" spans="5:6">
      <c r="E31" s="820"/>
      <c r="F31" s="820"/>
    </row>
    <row r="32" spans="5:6">
      <c r="E32" s="820"/>
      <c r="F32" s="820"/>
    </row>
    <row r="33" spans="5:6">
      <c r="E33" s="820"/>
      <c r="F33" s="820"/>
    </row>
    <row r="34" spans="5:6">
      <c r="E34" s="820"/>
      <c r="F34" s="820"/>
    </row>
    <row r="35" spans="5:6">
      <c r="E35" s="820"/>
      <c r="F35" s="820"/>
    </row>
    <row r="36" spans="5:6">
      <c r="E36" s="820"/>
      <c r="F36" s="820"/>
    </row>
    <row r="37" spans="5:6">
      <c r="E37" s="820"/>
      <c r="F37" s="820"/>
    </row>
    <row r="38" spans="5:6">
      <c r="E38" s="820"/>
      <c r="F38" s="820"/>
    </row>
    <row r="39" spans="5:6">
      <c r="E39" s="820"/>
      <c r="F39" s="820"/>
    </row>
    <row r="40" spans="5:6">
      <c r="E40" s="820"/>
      <c r="F40" s="820"/>
    </row>
    <row r="41" spans="5:6">
      <c r="E41" s="820"/>
      <c r="F41" s="820"/>
    </row>
    <row r="42" spans="5:6">
      <c r="E42" s="820"/>
      <c r="F42" s="820"/>
    </row>
    <row r="43" spans="5:6">
      <c r="E43" s="820"/>
      <c r="F43" s="820"/>
    </row>
    <row r="44" spans="5:6">
      <c r="E44" s="820"/>
      <c r="F44" s="820"/>
    </row>
    <row r="45" spans="5:6">
      <c r="E45" s="820"/>
      <c r="F45" s="820"/>
    </row>
    <row r="46" spans="5:6">
      <c r="E46" s="820"/>
      <c r="F46" s="820"/>
    </row>
    <row r="47" spans="5:6">
      <c r="E47" s="820"/>
      <c r="F47" s="820"/>
    </row>
    <row r="48" spans="5:6">
      <c r="E48" s="820"/>
      <c r="F48" s="820"/>
    </row>
    <row r="49" spans="5:6">
      <c r="E49" s="820"/>
      <c r="F49" s="820"/>
    </row>
    <row r="50" spans="5:6">
      <c r="E50" s="820"/>
      <c r="F50" s="820"/>
    </row>
    <row r="51" spans="5:6">
      <c r="E51" s="820"/>
      <c r="F51" s="820"/>
    </row>
    <row r="52" spans="5:6">
      <c r="E52" s="820"/>
      <c r="F52" s="820"/>
    </row>
    <row r="53" spans="5:6">
      <c r="E53" s="820"/>
      <c r="F53" s="820"/>
    </row>
    <row r="54" spans="5:6">
      <c r="E54" s="820"/>
      <c r="F54" s="820"/>
    </row>
    <row r="55" spans="5:6">
      <c r="E55" s="820"/>
      <c r="F55" s="820"/>
    </row>
    <row r="56" spans="5:6">
      <c r="E56" s="820"/>
      <c r="F56" s="820"/>
    </row>
    <row r="57" spans="5:6">
      <c r="E57" s="820"/>
      <c r="F57" s="820"/>
    </row>
    <row r="58" spans="5:6">
      <c r="E58" s="820"/>
      <c r="F58" s="820"/>
    </row>
    <row r="59" spans="5:6">
      <c r="E59" s="820"/>
      <c r="F59" s="820"/>
    </row>
    <row r="60" spans="5:6">
      <c r="E60" s="820"/>
      <c r="F60" s="820"/>
    </row>
    <row r="61" spans="5:6">
      <c r="E61" s="820"/>
      <c r="F61" s="820"/>
    </row>
    <row r="62" spans="5:6">
      <c r="E62" s="820"/>
      <c r="F62" s="820"/>
    </row>
    <row r="63" spans="5:6">
      <c r="E63" s="820"/>
      <c r="F63" s="820"/>
    </row>
    <row r="64" spans="5:6">
      <c r="E64" s="820"/>
      <c r="F64" s="820"/>
    </row>
    <row r="65" spans="5:6">
      <c r="E65" s="820"/>
      <c r="F65" s="820"/>
    </row>
    <row r="66" spans="5:6">
      <c r="E66" s="820"/>
      <c r="F66" s="82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Mensual-Noviembre 2020
INFSGI-MES-11-2020
14/12/2020
Versión: 01</oddHeader>
    <oddFooter>&amp;L&amp;7COES, 2020&amp;C29&amp;R&amp;7Dirección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topLeftCell="A4" zoomScaleNormal="100" zoomScaleSheetLayoutView="100" workbookViewId="0">
      <selection activeCell="T44" sqref="T44"/>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9"/>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46"/>
  <sheetViews>
    <sheetView showGridLines="0" view="pageBreakPreview" zoomScaleNormal="100" zoomScaleSheetLayoutView="100" zoomScalePageLayoutView="110" workbookViewId="0">
      <selection activeCell="T44" sqref="T44"/>
    </sheetView>
  </sheetViews>
  <sheetFormatPr baseColWidth="10" defaultColWidth="9.28515625" defaultRowHeight="10.199999999999999"/>
  <cols>
    <col min="1" max="1" width="12" style="46" customWidth="1"/>
    <col min="2" max="3" width="11" style="46" customWidth="1"/>
    <col min="4" max="5" width="11.28515625" style="46" customWidth="1"/>
    <col min="6" max="6" width="12.28515625" style="46" customWidth="1"/>
    <col min="7" max="7" width="9.28515625" style="46"/>
    <col min="8" max="8" width="13.28515625" style="46" customWidth="1"/>
    <col min="9" max="9" width="13.140625" style="46" customWidth="1"/>
    <col min="10" max="10" width="11.7109375" style="46" customWidth="1"/>
    <col min="11" max="11" width="9.28515625" style="46"/>
    <col min="12" max="12" width="18.7109375" style="46" bestFit="1" customWidth="1"/>
    <col min="13" max="16384" width="9.28515625" style="46"/>
  </cols>
  <sheetData>
    <row r="2" spans="1:13" ht="16.5" customHeight="1">
      <c r="A2" s="896" t="s">
        <v>468</v>
      </c>
      <c r="B2" s="896"/>
      <c r="C2" s="896"/>
      <c r="D2" s="896"/>
      <c r="E2" s="896"/>
      <c r="F2" s="896"/>
      <c r="G2" s="896"/>
      <c r="H2" s="896"/>
      <c r="I2" s="896"/>
      <c r="J2" s="896"/>
      <c r="K2" s="518"/>
    </row>
    <row r="3" spans="1:13" ht="12" customHeight="1">
      <c r="A3" s="137"/>
      <c r="B3" s="209"/>
      <c r="C3" s="219"/>
      <c r="D3" s="220"/>
      <c r="E3" s="220"/>
      <c r="F3" s="221"/>
      <c r="G3" s="222"/>
      <c r="H3" s="222"/>
      <c r="I3" s="172"/>
      <c r="J3" s="221"/>
    </row>
    <row r="4" spans="1:13" ht="11.25" customHeight="1">
      <c r="A4" s="187" t="s">
        <v>448</v>
      </c>
      <c r="B4" s="209"/>
      <c r="C4" s="219"/>
      <c r="D4" s="220"/>
      <c r="E4" s="220"/>
      <c r="F4" s="221"/>
      <c r="G4" s="222"/>
      <c r="H4" s="222"/>
      <c r="I4" s="172"/>
      <c r="J4" s="221"/>
      <c r="K4" s="329"/>
    </row>
    <row r="5" spans="1:13" ht="11.25" customHeight="1">
      <c r="A5" s="187"/>
      <c r="B5" s="209"/>
      <c r="C5" s="219"/>
      <c r="D5" s="220"/>
      <c r="E5" s="220"/>
      <c r="F5" s="221"/>
      <c r="G5" s="222"/>
      <c r="H5" s="222"/>
      <c r="I5" s="172"/>
      <c r="J5" s="221"/>
      <c r="K5" s="329"/>
    </row>
    <row r="6" spans="1:13" ht="15" customHeight="1">
      <c r="A6" s="137"/>
      <c r="B6" s="209"/>
      <c r="C6" s="219"/>
      <c r="D6" s="220"/>
      <c r="E6" s="220"/>
      <c r="F6" s="221"/>
      <c r="G6" s="222"/>
      <c r="H6" s="222"/>
      <c r="I6" s="172"/>
      <c r="J6" s="221"/>
      <c r="K6" s="329"/>
    </row>
    <row r="7" spans="1:13" ht="20.25" customHeight="1">
      <c r="A7" s="847" t="s">
        <v>491</v>
      </c>
      <c r="B7" s="848" t="s">
        <v>214</v>
      </c>
      <c r="C7" s="848" t="s">
        <v>492</v>
      </c>
      <c r="D7" s="848" t="s">
        <v>493</v>
      </c>
      <c r="E7" s="848" t="s">
        <v>494</v>
      </c>
      <c r="F7" s="849" t="s">
        <v>495</v>
      </c>
      <c r="G7" s="850" t="s">
        <v>496</v>
      </c>
      <c r="H7" s="849" t="s">
        <v>497</v>
      </c>
      <c r="I7" s="850" t="s">
        <v>498</v>
      </c>
      <c r="J7" s="851" t="s">
        <v>499</v>
      </c>
      <c r="K7" s="519"/>
    </row>
    <row r="8" spans="1:13" s="223" customFormat="1" ht="39" customHeight="1">
      <c r="A8" s="859" t="s">
        <v>411</v>
      </c>
      <c r="B8" s="860" t="s">
        <v>37</v>
      </c>
      <c r="C8" s="860" t="s">
        <v>49</v>
      </c>
      <c r="D8" s="860" t="s">
        <v>505</v>
      </c>
      <c r="E8" s="860" t="s">
        <v>551</v>
      </c>
      <c r="F8" s="861" t="s">
        <v>506</v>
      </c>
      <c r="G8" s="862">
        <v>0.48</v>
      </c>
      <c r="H8" s="863">
        <v>2.4</v>
      </c>
      <c r="I8" s="863">
        <v>2.4</v>
      </c>
      <c r="J8" s="864" t="s">
        <v>507</v>
      </c>
      <c r="K8" s="520"/>
    </row>
    <row r="9" spans="1:13" s="223" customFormat="1" ht="39" customHeight="1">
      <c r="A9" s="859" t="s">
        <v>508</v>
      </c>
      <c r="B9" s="860" t="s">
        <v>36</v>
      </c>
      <c r="C9" s="860" t="s">
        <v>44</v>
      </c>
      <c r="D9" s="860" t="s">
        <v>510</v>
      </c>
      <c r="E9" s="860" t="s">
        <v>552</v>
      </c>
      <c r="F9" s="861" t="s">
        <v>506</v>
      </c>
      <c r="G9" s="862">
        <v>6.3</v>
      </c>
      <c r="H9" s="863">
        <v>20</v>
      </c>
      <c r="I9" s="863">
        <v>20</v>
      </c>
      <c r="J9" s="864" t="s">
        <v>509</v>
      </c>
      <c r="K9" s="520"/>
      <c r="L9" s="866" t="s">
        <v>500</v>
      </c>
      <c r="M9" s="866"/>
    </row>
    <row r="10" spans="1:13" s="223" customFormat="1" ht="28.5" customHeight="1">
      <c r="A10" s="852" t="s">
        <v>42</v>
      </c>
      <c r="B10" s="853"/>
      <c r="C10" s="853"/>
      <c r="D10" s="853"/>
      <c r="E10" s="854"/>
      <c r="F10" s="855"/>
      <c r="G10" s="856"/>
      <c r="H10" s="857">
        <f>+H8+H9</f>
        <v>22.4</v>
      </c>
      <c r="I10" s="857">
        <f>+I8+I9</f>
        <v>22.4</v>
      </c>
      <c r="J10" s="858"/>
      <c r="K10" s="520"/>
      <c r="L10" s="866" t="s">
        <v>501</v>
      </c>
      <c r="M10" s="866">
        <v>20</v>
      </c>
    </row>
    <row r="11" spans="1:13" s="223" customFormat="1" ht="28.5" customHeight="1">
      <c r="A11" s="865" t="s">
        <v>553</v>
      </c>
      <c r="K11" s="520"/>
      <c r="L11" s="866" t="s">
        <v>502</v>
      </c>
      <c r="M11" s="866">
        <v>0</v>
      </c>
    </row>
    <row r="12" spans="1:13" s="223" customFormat="1" ht="36.75" customHeight="1">
      <c r="A12" s="766"/>
      <c r="B12" s="767"/>
      <c r="C12" s="767"/>
      <c r="D12" s="767"/>
      <c r="E12" s="767"/>
      <c r="F12" s="768"/>
      <c r="G12" s="769"/>
      <c r="H12" s="770"/>
      <c r="I12" s="770"/>
      <c r="J12" s="771"/>
      <c r="K12" s="520"/>
      <c r="L12" s="866" t="s">
        <v>503</v>
      </c>
      <c r="M12" s="866">
        <v>0</v>
      </c>
    </row>
    <row r="13" spans="1:13" s="223" customFormat="1" ht="24.75" customHeight="1">
      <c r="A13" s="766"/>
      <c r="B13" s="767"/>
      <c r="C13" s="767"/>
      <c r="D13" s="767"/>
      <c r="E13" s="767"/>
      <c r="F13" s="768"/>
      <c r="G13" s="769"/>
      <c r="H13" s="770"/>
      <c r="I13" s="770"/>
      <c r="J13" s="771"/>
      <c r="K13" s="520"/>
      <c r="L13" s="866" t="s">
        <v>504</v>
      </c>
      <c r="M13" s="866">
        <v>2.4</v>
      </c>
    </row>
    <row r="14" spans="1:13" s="223" customFormat="1" ht="24.75" customHeight="1">
      <c r="A14" s="766"/>
      <c r="B14" s="767"/>
      <c r="C14" s="767"/>
      <c r="D14" s="767"/>
      <c r="E14" s="767"/>
      <c r="F14" s="768"/>
      <c r="G14" s="769"/>
      <c r="H14" s="770"/>
      <c r="I14" s="770"/>
      <c r="J14" s="771"/>
      <c r="K14" s="520"/>
    </row>
    <row r="15" spans="1:13" s="223" customFormat="1" ht="30.75" customHeight="1">
      <c r="A15" s="766"/>
      <c r="B15" s="767"/>
      <c r="C15" s="767"/>
      <c r="D15" s="767"/>
      <c r="E15" s="767"/>
      <c r="F15" s="768"/>
      <c r="G15" s="769"/>
      <c r="H15" s="770"/>
      <c r="I15" s="770"/>
      <c r="J15" s="771"/>
      <c r="K15" s="520"/>
    </row>
    <row r="16" spans="1:13" s="223" customFormat="1" ht="30.75" customHeight="1">
      <c r="A16" s="766"/>
      <c r="B16" s="767"/>
      <c r="C16" s="767"/>
      <c r="D16" s="767"/>
      <c r="E16" s="767"/>
      <c r="F16" s="768"/>
      <c r="G16" s="769"/>
      <c r="H16" s="770"/>
      <c r="I16" s="770"/>
      <c r="J16" s="771"/>
      <c r="K16" s="520"/>
    </row>
    <row r="17" spans="1:15" ht="11.25" customHeight="1">
      <c r="A17" s="772"/>
      <c r="B17" s="773"/>
      <c r="C17" s="773"/>
      <c r="D17" s="773"/>
      <c r="E17" s="774"/>
      <c r="F17" s="775"/>
      <c r="G17" s="776"/>
      <c r="H17" s="777"/>
      <c r="I17" s="777"/>
      <c r="J17" s="778"/>
      <c r="K17" s="521"/>
      <c r="L17" s="522"/>
    </row>
    <row r="18" spans="1:15" ht="13.5" customHeight="1">
      <c r="A18" s="649"/>
      <c r="B18" s="132"/>
      <c r="C18" s="132"/>
      <c r="D18" s="132"/>
      <c r="E18" s="132"/>
      <c r="F18" s="132"/>
      <c r="G18" s="132"/>
      <c r="H18" s="132"/>
      <c r="I18" s="132"/>
      <c r="J18" s="132"/>
      <c r="K18" s="521"/>
    </row>
    <row r="19" spans="1:15" ht="11.25" customHeight="1">
      <c r="A19" s="905"/>
      <c r="B19" s="905"/>
      <c r="C19" s="905"/>
      <c r="D19" s="905"/>
      <c r="E19" s="905"/>
      <c r="F19" s="905"/>
      <c r="G19" s="905"/>
      <c r="H19" s="905"/>
      <c r="I19" s="905"/>
      <c r="J19" s="905"/>
      <c r="K19" s="521"/>
    </row>
    <row r="20" spans="1:15" ht="11.25" customHeight="1">
      <c r="A20" s="397"/>
      <c r="B20" s="397"/>
      <c r="C20" s="397"/>
      <c r="D20" s="397"/>
      <c r="E20" s="397"/>
      <c r="F20" s="397"/>
      <c r="G20" s="397"/>
      <c r="H20" s="397"/>
      <c r="I20" s="397"/>
      <c r="J20" s="397"/>
      <c r="K20" s="521"/>
      <c r="M20" s="522"/>
    </row>
    <row r="21" spans="1:15" ht="12.75" customHeight="1">
      <c r="A21" s="906"/>
      <c r="B21" s="906"/>
      <c r="C21" s="906"/>
      <c r="D21" s="906"/>
      <c r="E21" s="906"/>
      <c r="F21" s="906"/>
      <c r="G21" s="906"/>
      <c r="H21" s="906"/>
      <c r="I21" s="906"/>
      <c r="J21" s="906"/>
      <c r="K21" s="521"/>
      <c r="M21" s="522"/>
    </row>
    <row r="22" spans="1:15" ht="11.25" customHeight="1">
      <c r="A22" s="906"/>
      <c r="B22" s="906"/>
      <c r="C22" s="906"/>
      <c r="D22" s="906"/>
      <c r="E22" s="906"/>
      <c r="F22" s="906"/>
      <c r="G22" s="906"/>
      <c r="H22" s="906"/>
      <c r="I22" s="906"/>
      <c r="J22" s="906"/>
      <c r="K22" s="521"/>
      <c r="M22" s="522"/>
    </row>
    <row r="23" spans="1:15" ht="15" customHeight="1">
      <c r="A23" s="226"/>
      <c r="B23" s="224"/>
      <c r="C23" s="224"/>
      <c r="D23" s="224"/>
      <c r="E23" s="224"/>
      <c r="F23" s="224"/>
      <c r="G23" s="224"/>
      <c r="H23" s="227"/>
      <c r="I23" s="227"/>
      <c r="J23" s="227"/>
      <c r="K23" s="521"/>
    </row>
    <row r="24" spans="1:15" ht="11.25" customHeight="1">
      <c r="A24" s="176" t="s">
        <v>382</v>
      </c>
      <c r="B24" s="132"/>
      <c r="C24" s="225"/>
      <c r="D24" s="132"/>
      <c r="E24" s="132"/>
      <c r="F24" s="132"/>
      <c r="G24" s="132"/>
      <c r="H24" s="132"/>
      <c r="I24" s="132"/>
      <c r="J24" s="132"/>
      <c r="K24" s="521"/>
    </row>
    <row r="25" spans="1:15" ht="11.25" customHeight="1">
      <c r="B25" s="132"/>
      <c r="C25" s="225"/>
      <c r="D25" s="132"/>
      <c r="E25" s="132"/>
      <c r="F25" s="132"/>
      <c r="G25" s="132"/>
      <c r="H25" s="132"/>
      <c r="I25" s="132"/>
      <c r="J25" s="132"/>
      <c r="K25" s="521"/>
    </row>
    <row r="26" spans="1:15" ht="21" customHeight="1">
      <c r="B26" s="894" t="s">
        <v>218</v>
      </c>
      <c r="C26" s="895"/>
      <c r="D26" s="464" t="str">
        <f>UPPER('1. Resumen'!Q4)&amp;" "&amp;'1. Resumen'!Q5</f>
        <v>NOVIEMBRE 2020</v>
      </c>
      <c r="E26" s="464" t="str">
        <f>UPPER('1. Resumen'!Q4)&amp;" "&amp;'1. Resumen'!Q5-1</f>
        <v>NOVIEMBRE 2019</v>
      </c>
      <c r="F26" s="465" t="s">
        <v>219</v>
      </c>
      <c r="G26" s="228"/>
      <c r="H26" s="228"/>
      <c r="I26" s="132"/>
      <c r="J26" s="132"/>
    </row>
    <row r="27" spans="1:15" ht="9.75" customHeight="1">
      <c r="B27" s="897" t="s">
        <v>215</v>
      </c>
      <c r="C27" s="898"/>
      <c r="D27" s="448">
        <f>5163.1192475+I9</f>
        <v>5183.1192474999998</v>
      </c>
      <c r="E27" s="449">
        <v>5132.3492474999994</v>
      </c>
      <c r="F27" s="450">
        <f>+D27/E27-1</f>
        <v>9.8921561163693994E-3</v>
      </c>
      <c r="G27" s="228"/>
      <c r="H27" s="228"/>
      <c r="I27" s="132"/>
      <c r="J27" s="132"/>
      <c r="K27" s="521"/>
    </row>
    <row r="28" spans="1:15" ht="9.75" customHeight="1">
      <c r="B28" s="899" t="s">
        <v>216</v>
      </c>
      <c r="C28" s="900"/>
      <c r="D28" s="451">
        <f>7395.9645+I8</f>
        <v>7398.3644999999997</v>
      </c>
      <c r="E28" s="452">
        <v>7431.6745000000001</v>
      </c>
      <c r="F28" s="453">
        <f>+D28/E28-1</f>
        <v>-4.4821661659160128E-3</v>
      </c>
      <c r="G28" s="229"/>
      <c r="H28" s="229"/>
      <c r="M28" s="523"/>
      <c r="N28" s="523"/>
      <c r="O28" s="524"/>
    </row>
    <row r="29" spans="1:15" ht="9.75" customHeight="1">
      <c r="B29" s="901" t="s">
        <v>217</v>
      </c>
      <c r="C29" s="902"/>
      <c r="D29" s="454">
        <v>375.46</v>
      </c>
      <c r="E29" s="455">
        <v>375.46</v>
      </c>
      <c r="F29" s="456">
        <f>+D29/E29-1</f>
        <v>0</v>
      </c>
      <c r="G29" s="229"/>
      <c r="H29" s="229"/>
    </row>
    <row r="30" spans="1:15" ht="9.75" customHeight="1">
      <c r="B30" s="903" t="s">
        <v>80</v>
      </c>
      <c r="C30" s="904"/>
      <c r="D30" s="457">
        <v>285.02</v>
      </c>
      <c r="E30" s="458">
        <v>285.02</v>
      </c>
      <c r="F30" s="459">
        <f>+D30/E30-1</f>
        <v>0</v>
      </c>
      <c r="G30" s="229"/>
      <c r="H30" s="229"/>
    </row>
    <row r="31" spans="1:15" ht="10.5" customHeight="1">
      <c r="B31" s="892" t="s">
        <v>199</v>
      </c>
      <c r="C31" s="893"/>
      <c r="D31" s="460">
        <f>+D27+D28+D29+D30</f>
        <v>13241.963747499998</v>
      </c>
      <c r="E31" s="461">
        <f>+E27+E28+E29+E30</f>
        <v>13224.503747499999</v>
      </c>
      <c r="F31" s="462">
        <f>+D31/E31-1</f>
        <v>1.3202763849116117E-3</v>
      </c>
      <c r="G31" s="396"/>
      <c r="H31" s="229"/>
    </row>
    <row r="32" spans="1:15" ht="11.25" customHeight="1">
      <c r="B32" s="271" t="str">
        <f>"Cuadro N° 2: Comparación de la potencia instalada en el SEIN al término de "&amp;'1. Resumen'!Q4&amp;" "&amp;'1. Resumen'!Q5-1&amp;" y "&amp;'1. Resumen'!Q4&amp;" "&amp;'1. Resumen'!Q5</f>
        <v>Cuadro N° 2: Comparación de la potencia instalada en el SEIN al término de noviembre 2019 y noviembre 2020</v>
      </c>
      <c r="C32" s="228"/>
      <c r="D32" s="228"/>
      <c r="E32" s="228"/>
      <c r="F32" s="228"/>
      <c r="G32" s="228"/>
      <c r="H32" s="228"/>
      <c r="I32" s="132"/>
      <c r="J32" s="132"/>
      <c r="K32" s="521"/>
    </row>
    <row r="33" spans="1:11" ht="9" customHeight="1">
      <c r="B33" s="271"/>
      <c r="C33" s="228"/>
      <c r="D33" s="228"/>
      <c r="E33" s="228"/>
      <c r="F33" s="228"/>
      <c r="G33" s="228"/>
      <c r="H33" s="228"/>
      <c r="I33" s="132"/>
      <c r="J33" s="132"/>
      <c r="K33" s="521"/>
    </row>
    <row r="34" spans="1:11" ht="25.5" customHeight="1">
      <c r="B34" s="271"/>
      <c r="C34" s="228"/>
      <c r="D34" s="228"/>
      <c r="E34" s="228"/>
      <c r="F34" s="228"/>
      <c r="G34" s="228"/>
      <c r="H34" s="228"/>
      <c r="I34" s="132"/>
      <c r="J34" s="132"/>
      <c r="K34" s="521"/>
    </row>
    <row r="35" spans="1:11" ht="11.25" customHeight="1">
      <c r="B35" s="271"/>
      <c r="C35" s="228"/>
      <c r="D35" s="228"/>
      <c r="E35" s="228"/>
      <c r="F35" s="228"/>
      <c r="G35" s="228"/>
      <c r="H35" s="228"/>
      <c r="I35" s="132"/>
      <c r="J35" s="132"/>
      <c r="K35" s="521"/>
    </row>
    <row r="36" spans="1:11" ht="11.25" customHeight="1">
      <c r="A36" s="132"/>
      <c r="C36" s="229"/>
      <c r="D36" s="228"/>
      <c r="E36" s="228"/>
      <c r="F36" s="228"/>
      <c r="G36" s="228"/>
      <c r="H36" s="228"/>
      <c r="I36" s="132"/>
      <c r="J36" s="132"/>
      <c r="K36" s="521"/>
    </row>
    <row r="37" spans="1:11" ht="11.25" customHeight="1">
      <c r="A37" s="132"/>
      <c r="B37" s="132"/>
      <c r="C37" s="132"/>
      <c r="D37" s="132"/>
      <c r="E37" s="132"/>
      <c r="F37" s="132"/>
      <c r="G37" s="132"/>
      <c r="H37" s="132"/>
      <c r="I37" s="132"/>
      <c r="J37" s="132"/>
      <c r="K37" s="521"/>
    </row>
    <row r="38" spans="1:11" ht="11.25" customHeight="1">
      <c r="A38" s="132"/>
      <c r="B38" s="132"/>
      <c r="C38" s="132"/>
      <c r="D38" s="132"/>
      <c r="E38" s="132"/>
      <c r="F38" s="132"/>
      <c r="G38" s="132"/>
      <c r="H38" s="132"/>
      <c r="I38" s="132"/>
      <c r="J38" s="132"/>
      <c r="K38" s="521"/>
    </row>
    <row r="39" spans="1:11">
      <c r="A39" s="137"/>
      <c r="B39" s="132"/>
      <c r="C39" s="132"/>
      <c r="D39" s="132"/>
      <c r="E39" s="132"/>
      <c r="F39" s="132"/>
      <c r="G39" s="132"/>
      <c r="H39" s="132"/>
      <c r="I39" s="132"/>
      <c r="J39" s="132"/>
    </row>
    <row r="40" spans="1:11">
      <c r="A40" s="132"/>
      <c r="B40" s="132"/>
      <c r="C40" s="132"/>
      <c r="D40" s="132"/>
      <c r="E40" s="132"/>
      <c r="F40" s="132"/>
      <c r="G40" s="132"/>
      <c r="H40" s="132"/>
      <c r="I40" s="132"/>
      <c r="J40" s="132"/>
    </row>
    <row r="41" spans="1:11">
      <c r="A41" s="132"/>
      <c r="B41" s="132"/>
      <c r="C41" s="132"/>
      <c r="D41" s="132"/>
      <c r="E41" s="132"/>
      <c r="F41" s="132"/>
      <c r="G41" s="132"/>
      <c r="H41" s="132"/>
      <c r="I41" s="132"/>
      <c r="J41" s="132"/>
    </row>
    <row r="42" spans="1:11">
      <c r="A42" s="132"/>
      <c r="B42" s="132"/>
      <c r="C42" s="132"/>
      <c r="D42" s="132"/>
      <c r="E42" s="132"/>
      <c r="F42" s="132"/>
      <c r="G42" s="132"/>
      <c r="H42" s="132"/>
      <c r="I42" s="132"/>
      <c r="J42" s="132"/>
    </row>
    <row r="43" spans="1:11">
      <c r="A43" s="132"/>
      <c r="B43" s="132"/>
      <c r="C43" s="132"/>
      <c r="D43" s="132"/>
      <c r="E43" s="132"/>
      <c r="F43" s="132"/>
      <c r="G43" s="132"/>
      <c r="H43" s="132"/>
      <c r="I43" s="132"/>
      <c r="J43" s="132"/>
    </row>
    <row r="44" spans="1:11" ht="13.5" customHeight="1">
      <c r="A44" s="132"/>
      <c r="B44" s="132"/>
      <c r="C44" s="132"/>
      <c r="D44" s="132"/>
      <c r="E44" s="132"/>
      <c r="F44" s="132"/>
      <c r="G44" s="132"/>
      <c r="H44" s="132"/>
      <c r="I44" s="132"/>
      <c r="J44" s="132"/>
    </row>
    <row r="45" spans="1:11" ht="19.5" customHeight="1">
      <c r="A45" s="132"/>
      <c r="B45" s="132"/>
      <c r="C45" s="132"/>
      <c r="D45" s="132"/>
      <c r="E45" s="132"/>
      <c r="F45" s="132"/>
      <c r="G45" s="132"/>
      <c r="H45" s="132"/>
      <c r="I45" s="132"/>
      <c r="J45" s="132"/>
    </row>
    <row r="46" spans="1:11" ht="24" customHeight="1">
      <c r="A46" s="395" t="str">
        <f>"Gráfico N° 3: Comparación de la potencia instalada en el SEIN al término de "&amp;'1. Resumen'!Q4&amp;" "&amp;'1. Resumen'!Q5-1&amp;" y "&amp;'1. Resumen'!Q4&amp;" "&amp;'1. Resumen'!Q5</f>
        <v>Gráfico N° 3: Comparación de la potencia instalada en el SEIN al término de noviembre 2019 y noviembre 2020</v>
      </c>
      <c r="C46" s="132"/>
      <c r="D46" s="132"/>
      <c r="E46" s="132"/>
      <c r="F46" s="132"/>
      <c r="G46" s="132"/>
      <c r="H46" s="132"/>
      <c r="I46" s="132"/>
      <c r="J46" s="132"/>
    </row>
  </sheetData>
  <mergeCells count="10">
    <mergeCell ref="B31:C31"/>
    <mergeCell ref="B26:C26"/>
    <mergeCell ref="A2:J2"/>
    <mergeCell ref="B27:C27"/>
    <mergeCell ref="B28:C28"/>
    <mergeCell ref="B29:C29"/>
    <mergeCell ref="B30:C30"/>
    <mergeCell ref="A19:J19"/>
    <mergeCell ref="A21:J21"/>
    <mergeCell ref="A22:J22"/>
  </mergeCells>
  <conditionalFormatting sqref="A23">
    <cfRule type="containsText" dxfId="1" priority="3" stopIfTrue="1" operator="containsText" text=" 0%">
      <formula>NOT(ISERROR(SEARCH(" 0%",A23)))</formula>
    </cfRule>
    <cfRule type="containsText" dxfId="0" priority="4" stopIfTrue="1" operator="containsText" text="0.0%">
      <formula>NOT(ISERROR(SEARCH("0.0%",A23)))</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zoomScalePageLayoutView="130" workbookViewId="0">
      <selection activeCell="T44" sqref="T44"/>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911" t="s">
        <v>221</v>
      </c>
      <c r="B2" s="911"/>
      <c r="C2" s="911"/>
      <c r="D2" s="911"/>
      <c r="E2" s="911"/>
      <c r="F2" s="911"/>
      <c r="G2" s="911"/>
      <c r="H2" s="911"/>
      <c r="I2" s="911"/>
      <c r="J2" s="911"/>
      <c r="K2" s="911"/>
    </row>
    <row r="3" spans="1:11" ht="11.25" customHeight="1">
      <c r="A3" s="83"/>
      <c r="B3" s="84"/>
      <c r="C3" s="85"/>
      <c r="D3" s="86"/>
      <c r="E3" s="86"/>
      <c r="F3" s="86"/>
      <c r="G3" s="86"/>
      <c r="H3" s="83"/>
      <c r="I3" s="83"/>
      <c r="J3" s="83"/>
      <c r="K3" s="87"/>
    </row>
    <row r="4" spans="1:11" ht="11.25" customHeight="1">
      <c r="A4" s="912" t="str">
        <f>+"3.1. PRODUCCIÓN POR TIPO DE GENERACIÓN (GWh)"</f>
        <v>3.1. PRODUCCIÓN POR TIPO DE GENERACIÓN (GWh)</v>
      </c>
      <c r="B4" s="912"/>
      <c r="C4" s="912"/>
      <c r="D4" s="912"/>
      <c r="E4" s="912"/>
      <c r="F4" s="912"/>
      <c r="G4" s="912"/>
      <c r="H4" s="912"/>
      <c r="I4" s="912"/>
      <c r="J4" s="912"/>
      <c r="K4" s="912"/>
    </row>
    <row r="5" spans="1:11" ht="11.25" customHeight="1">
      <c r="A5" s="54"/>
      <c r="B5" s="88"/>
      <c r="C5" s="89"/>
      <c r="D5" s="90"/>
      <c r="E5" s="90"/>
      <c r="F5" s="90"/>
      <c r="G5" s="90"/>
      <c r="H5" s="91"/>
      <c r="I5" s="83"/>
      <c r="J5" s="83"/>
      <c r="K5" s="92"/>
    </row>
    <row r="6" spans="1:11" ht="18" customHeight="1">
      <c r="A6" s="909" t="s">
        <v>32</v>
      </c>
      <c r="B6" s="913" t="s">
        <v>33</v>
      </c>
      <c r="C6" s="914"/>
      <c r="D6" s="914"/>
      <c r="E6" s="914" t="s">
        <v>34</v>
      </c>
      <c r="F6" s="914"/>
      <c r="G6" s="915" t="str">
        <f>"Generación Acumulada a "&amp;'1. Resumen'!Q4</f>
        <v>Generación Acumulada a noviembre</v>
      </c>
      <c r="H6" s="915"/>
      <c r="I6" s="915"/>
      <c r="J6" s="915"/>
      <c r="K6" s="916"/>
    </row>
    <row r="7" spans="1:11" ht="32.25" customHeight="1">
      <c r="A7" s="910"/>
      <c r="B7" s="466">
        <f>+C7-30</f>
        <v>44078</v>
      </c>
      <c r="C7" s="466">
        <f>+D7-28</f>
        <v>44108</v>
      </c>
      <c r="D7" s="466">
        <f>+'1. Resumen'!Q6</f>
        <v>44136</v>
      </c>
      <c r="E7" s="466">
        <f>+D7-365</f>
        <v>43771</v>
      </c>
      <c r="F7" s="467" t="s">
        <v>35</v>
      </c>
      <c r="G7" s="468">
        <v>2020</v>
      </c>
      <c r="H7" s="468">
        <v>2019</v>
      </c>
      <c r="I7" s="467" t="s">
        <v>476</v>
      </c>
      <c r="J7" s="468">
        <v>2018</v>
      </c>
      <c r="K7" s="469" t="s">
        <v>423</v>
      </c>
    </row>
    <row r="8" spans="1:11" ht="15" customHeight="1">
      <c r="A8" s="116" t="s">
        <v>36</v>
      </c>
      <c r="B8" s="341">
        <v>1834.2373591500002</v>
      </c>
      <c r="C8" s="337">
        <v>2050.4873854824996</v>
      </c>
      <c r="D8" s="342">
        <v>1770.3720830400005</v>
      </c>
      <c r="E8" s="341">
        <v>2516.3963216349989</v>
      </c>
      <c r="F8" s="237">
        <f>IF(E8=0,"",D8/E8-1)</f>
        <v>-0.29646531914745367</v>
      </c>
      <c r="G8" s="349">
        <v>26569.690650339995</v>
      </c>
      <c r="H8" s="337">
        <v>27019.037981810008</v>
      </c>
      <c r="I8" s="241">
        <f>IF(H8=0,"",G8/H8-1)</f>
        <v>-1.6630767230592203E-2</v>
      </c>
      <c r="J8" s="341">
        <v>26921.703891377503</v>
      </c>
      <c r="K8" s="237">
        <f t="shared" ref="K8:K15" si="0">IF(J8=0,"",H8/J8-1)</f>
        <v>3.6154505979719698E-3</v>
      </c>
    </row>
    <row r="9" spans="1:11" ht="15" customHeight="1">
      <c r="A9" s="117" t="s">
        <v>37</v>
      </c>
      <c r="B9" s="343">
        <v>2112.6813153449998</v>
      </c>
      <c r="C9" s="247">
        <v>2165.786931865</v>
      </c>
      <c r="D9" s="344">
        <v>2376.8166718774996</v>
      </c>
      <c r="E9" s="343">
        <v>1677.7394552224996</v>
      </c>
      <c r="F9" s="238">
        <f t="shared" ref="F9:F15" si="1">IF(E9=0,"",D9/E9-1)</f>
        <v>0.4166780571791997</v>
      </c>
      <c r="G9" s="350">
        <v>15673.5124584475</v>
      </c>
      <c r="H9" s="247">
        <v>19079.572094312498</v>
      </c>
      <c r="I9" s="242">
        <f t="shared" ref="I9:I15" si="2">IF(H9=0,"",G9/H9-1)</f>
        <v>-0.17851865959196866</v>
      </c>
      <c r="J9" s="343">
        <v>17376.667773597495</v>
      </c>
      <c r="K9" s="238">
        <f t="shared" si="0"/>
        <v>9.7999475095129185E-2</v>
      </c>
    </row>
    <row r="10" spans="1:11" ht="15" customHeight="1">
      <c r="A10" s="118" t="s">
        <v>38</v>
      </c>
      <c r="B10" s="345">
        <v>173.50573414250002</v>
      </c>
      <c r="C10" s="248">
        <v>172.07044422999999</v>
      </c>
      <c r="D10" s="346">
        <v>156.66788605249999</v>
      </c>
      <c r="E10" s="345">
        <v>128.4353796625</v>
      </c>
      <c r="F10" s="239">
        <f>IF(E10=0,"",D10/E10-1)</f>
        <v>0.21981876383430188</v>
      </c>
      <c r="G10" s="351">
        <v>1655.9700048724999</v>
      </c>
      <c r="H10" s="248">
        <v>1515.0845001474997</v>
      </c>
      <c r="I10" s="243">
        <f t="shared" si="2"/>
        <v>9.2988545992837013E-2</v>
      </c>
      <c r="J10" s="345">
        <v>1353.7738505875</v>
      </c>
      <c r="K10" s="239">
        <f t="shared" si="0"/>
        <v>0.11915627524493511</v>
      </c>
    </row>
    <row r="11" spans="1:11" ht="15" customHeight="1">
      <c r="A11" s="117" t="s">
        <v>30</v>
      </c>
      <c r="B11" s="343">
        <v>70.43034175999999</v>
      </c>
      <c r="C11" s="247">
        <v>76.332032090000013</v>
      </c>
      <c r="D11" s="344">
        <v>81.511218932499986</v>
      </c>
      <c r="E11" s="343">
        <v>75.155877332500012</v>
      </c>
      <c r="F11" s="238">
        <f>IF(E11=0,"",D11/E11-1)</f>
        <v>8.4562137061923393E-2</v>
      </c>
      <c r="G11" s="350">
        <v>704.21008915749997</v>
      </c>
      <c r="H11" s="247">
        <v>684.22581149499979</v>
      </c>
      <c r="I11" s="242">
        <f t="shared" si="2"/>
        <v>2.9207137945929773E-2</v>
      </c>
      <c r="J11" s="343">
        <v>668.55536168499998</v>
      </c>
      <c r="K11" s="238">
        <f t="shared" si="0"/>
        <v>2.3439270265523948E-2</v>
      </c>
    </row>
    <row r="12" spans="1:11" ht="15" customHeight="1">
      <c r="A12" s="145" t="s">
        <v>42</v>
      </c>
      <c r="B12" s="347">
        <f>+SUM(B8:B11)</f>
        <v>4190.8547503975005</v>
      </c>
      <c r="C12" s="338">
        <f t="shared" ref="C12:E12" si="3">+SUM(C8:C11)</f>
        <v>4464.6767936674996</v>
      </c>
      <c r="D12" s="348">
        <f t="shared" si="3"/>
        <v>4385.3678599024997</v>
      </c>
      <c r="E12" s="347">
        <f t="shared" si="3"/>
        <v>4397.7270338524977</v>
      </c>
      <c r="F12" s="240">
        <f>IF(E12=0,"",D12/E12-1)</f>
        <v>-2.8103549526518057E-3</v>
      </c>
      <c r="G12" s="347">
        <f t="shared" ref="G12:J12" si="4">+SUM(G8:G11)</f>
        <v>44603.383202817495</v>
      </c>
      <c r="H12" s="338">
        <f t="shared" si="4"/>
        <v>48297.920387765014</v>
      </c>
      <c r="I12" s="244">
        <f>IF(H12=0,"",G12/H12-1)</f>
        <v>-7.6494746674091396E-2</v>
      </c>
      <c r="J12" s="347">
        <f t="shared" si="4"/>
        <v>46320.700877247502</v>
      </c>
      <c r="K12" s="240">
        <f t="shared" si="0"/>
        <v>4.2685440269076613E-2</v>
      </c>
    </row>
    <row r="13" spans="1:11" ht="15" customHeight="1">
      <c r="A13" s="112"/>
      <c r="B13" s="112"/>
      <c r="C13" s="112"/>
      <c r="D13" s="112"/>
      <c r="E13" s="112"/>
      <c r="F13" s="114"/>
      <c r="G13" s="112"/>
      <c r="H13" s="112"/>
      <c r="I13" s="826"/>
      <c r="J13" s="113"/>
      <c r="K13" s="114" t="str">
        <f t="shared" si="0"/>
        <v/>
      </c>
    </row>
    <row r="14" spans="1:11" ht="15" customHeight="1">
      <c r="A14" s="119" t="s">
        <v>39</v>
      </c>
      <c r="B14" s="235">
        <v>0.5068694199999999</v>
      </c>
      <c r="C14" s="236">
        <v>0</v>
      </c>
      <c r="D14" s="340">
        <v>0</v>
      </c>
      <c r="E14" s="235">
        <v>1.8939200699999998</v>
      </c>
      <c r="F14" s="120">
        <f t="shared" si="1"/>
        <v>-1</v>
      </c>
      <c r="G14" s="235">
        <v>37.447757109999998</v>
      </c>
      <c r="H14" s="236">
        <v>59.811735309999996</v>
      </c>
      <c r="I14" s="123">
        <f t="shared" si="2"/>
        <v>-0.37390619222279842</v>
      </c>
      <c r="J14" s="235">
        <v>21.20075765</v>
      </c>
      <c r="K14" s="120">
        <f t="shared" si="0"/>
        <v>1.8212074444424395</v>
      </c>
    </row>
    <row r="15" spans="1:11" ht="15" customHeight="1">
      <c r="A15" s="118" t="s">
        <v>40</v>
      </c>
      <c r="B15" s="232">
        <v>0</v>
      </c>
      <c r="C15" s="233">
        <v>0</v>
      </c>
      <c r="D15" s="234">
        <v>0</v>
      </c>
      <c r="E15" s="232">
        <v>0</v>
      </c>
      <c r="F15" s="121" t="str">
        <f t="shared" si="1"/>
        <v/>
      </c>
      <c r="G15" s="232">
        <v>0</v>
      </c>
      <c r="H15" s="233">
        <v>0</v>
      </c>
      <c r="I15" s="115" t="str">
        <f t="shared" si="2"/>
        <v/>
      </c>
      <c r="J15" s="232">
        <v>0</v>
      </c>
      <c r="K15" s="121" t="str">
        <f t="shared" si="0"/>
        <v/>
      </c>
    </row>
    <row r="16" spans="1:11" ht="23.25" customHeight="1">
      <c r="A16" s="125" t="s">
        <v>41</v>
      </c>
      <c r="B16" s="245">
        <f>+B15-B14</f>
        <v>-0.5068694199999999</v>
      </c>
      <c r="C16" s="246">
        <f t="shared" ref="C16:E16" si="5">+C15-C14</f>
        <v>0</v>
      </c>
      <c r="D16" s="401">
        <f t="shared" si="5"/>
        <v>0</v>
      </c>
      <c r="E16" s="245">
        <f t="shared" si="5"/>
        <v>-1.8939200699999998</v>
      </c>
      <c r="F16" s="122"/>
      <c r="G16" s="245">
        <f t="shared" ref="G16:H16" si="6">+G15-G14</f>
        <v>-37.447757109999998</v>
      </c>
      <c r="H16" s="246">
        <f t="shared" si="6"/>
        <v>-59.811735309999996</v>
      </c>
      <c r="I16" s="124"/>
      <c r="J16" s="245">
        <f>+J15-J14</f>
        <v>-21.20075765</v>
      </c>
      <c r="K16" s="122"/>
    </row>
    <row r="17" spans="1:11" ht="11.25" customHeight="1">
      <c r="A17" s="231" t="s">
        <v>220</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07"/>
      <c r="C42" s="907"/>
      <c r="D42" s="907"/>
      <c r="E42" s="93"/>
      <c r="F42" s="93"/>
      <c r="G42" s="908"/>
      <c r="H42" s="908"/>
      <c r="I42" s="908"/>
      <c r="J42" s="908"/>
      <c r="K42" s="908"/>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31" t="str">
        <f>"Gráfico N° 4: Comparación de la producción de energía eléctrica por tipo de generación acumulada a "&amp;'1. Resumen'!Q4</f>
        <v>Gráfico N° 4: Comparación de la producción de energía eléctrica por tipo de generación acumulada a noviembre</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Mensual-Noviembre 2020
INFSGI-MES-11-2020
14/12/2020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zoomScalePageLayoutView="157" workbookViewId="0">
      <selection activeCell="T44" sqref="T44"/>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42578125" customWidth="1"/>
    <col min="7" max="7" width="10.85546875" customWidth="1"/>
    <col min="8" max="8" width="10.42578125" bestFit="1" customWidth="1"/>
    <col min="9" max="9" width="9.28515625" customWidth="1"/>
    <col min="10" max="10" width="10.42578125" customWidth="1"/>
    <col min="11" max="11" width="9.28515625" customWidth="1"/>
  </cols>
  <sheetData>
    <row r="1" spans="1:12" ht="11.25" customHeight="1"/>
    <row r="2" spans="1:12" ht="11.25" customHeight="1">
      <c r="A2" s="917" t="str">
        <f>+"3.2. PRODUCCIÓN POR TIPO DE RECURSO ENERGÉTICO (GWh)"</f>
        <v>3.2. PRODUCCIÓN POR TIPO DE RECURSO ENERGÉTICO (GWh)</v>
      </c>
      <c r="B2" s="917"/>
      <c r="C2" s="917"/>
      <c r="D2" s="917"/>
      <c r="E2" s="917"/>
      <c r="F2" s="917"/>
      <c r="G2" s="917"/>
      <c r="H2" s="917"/>
      <c r="I2" s="917"/>
      <c r="J2" s="917"/>
      <c r="K2" s="917"/>
    </row>
    <row r="3" spans="1:12" ht="18.75" customHeight="1">
      <c r="A3" s="126"/>
      <c r="B3" s="127"/>
      <c r="C3" s="128"/>
      <c r="D3" s="129"/>
      <c r="E3" s="129"/>
      <c r="F3" s="129"/>
      <c r="G3" s="130"/>
      <c r="H3" s="130"/>
      <c r="I3" s="130"/>
      <c r="J3" s="126"/>
      <c r="K3" s="126"/>
      <c r="L3" s="36"/>
    </row>
    <row r="4" spans="1:12" ht="14.25" customHeight="1">
      <c r="A4" s="921" t="s">
        <v>43</v>
      </c>
      <c r="B4" s="918" t="s">
        <v>33</v>
      </c>
      <c r="C4" s="919"/>
      <c r="D4" s="919"/>
      <c r="E4" s="919" t="s">
        <v>34</v>
      </c>
      <c r="F4" s="919"/>
      <c r="G4" s="920" t="str">
        <f>+'3. Tipo Generación'!G6:K6</f>
        <v>Generación Acumulada a noviembre</v>
      </c>
      <c r="H4" s="920"/>
      <c r="I4" s="920"/>
      <c r="J4" s="920"/>
      <c r="K4" s="920"/>
      <c r="L4" s="131"/>
    </row>
    <row r="5" spans="1:12" ht="26.25" customHeight="1">
      <c r="A5" s="921"/>
      <c r="B5" s="470">
        <f>+'3. Tipo Generación'!B7</f>
        <v>44078</v>
      </c>
      <c r="C5" s="470">
        <f>+'3. Tipo Generación'!C7</f>
        <v>44108</v>
      </c>
      <c r="D5" s="470">
        <f>+'3. Tipo Generación'!D7</f>
        <v>44136</v>
      </c>
      <c r="E5" s="470">
        <f>+'3. Tipo Generación'!E7</f>
        <v>43771</v>
      </c>
      <c r="F5" s="471" t="s">
        <v>35</v>
      </c>
      <c r="G5" s="472">
        <v>2020</v>
      </c>
      <c r="H5" s="472">
        <v>2019</v>
      </c>
      <c r="I5" s="471" t="s">
        <v>476</v>
      </c>
      <c r="J5" s="472">
        <v>2018</v>
      </c>
      <c r="K5" s="471" t="s">
        <v>423</v>
      </c>
      <c r="L5" s="19"/>
    </row>
    <row r="6" spans="1:12" ht="11.25" customHeight="1">
      <c r="A6" s="139" t="s">
        <v>44</v>
      </c>
      <c r="B6" s="287">
        <v>1834.2373591500002</v>
      </c>
      <c r="C6" s="288">
        <v>2050.4873854824996</v>
      </c>
      <c r="D6" s="289">
        <v>1770.3720830400005</v>
      </c>
      <c r="E6" s="287">
        <v>2516.3963216349989</v>
      </c>
      <c r="F6" s="252">
        <f>IF(E6=0,"",D6/E6-1)</f>
        <v>-0.29646531914745367</v>
      </c>
      <c r="G6" s="287">
        <v>26569.690650339995</v>
      </c>
      <c r="H6" s="288">
        <v>27019.037981810008</v>
      </c>
      <c r="I6" s="252">
        <f t="shared" ref="I6:I16" si="0">IF(H6=0,"",G6/H6-1)</f>
        <v>-1.6630767230592203E-2</v>
      </c>
      <c r="J6" s="287">
        <v>26921.703891377503</v>
      </c>
      <c r="K6" s="252">
        <f>IF(J6=0,"",H6/J6-1)</f>
        <v>3.6154505979719698E-3</v>
      </c>
      <c r="L6" s="24"/>
    </row>
    <row r="7" spans="1:12" ht="11.25" customHeight="1">
      <c r="A7" s="140" t="s">
        <v>50</v>
      </c>
      <c r="B7" s="290">
        <v>2014.8782434899999</v>
      </c>
      <c r="C7" s="247">
        <v>2008.2834942325003</v>
      </c>
      <c r="D7" s="291">
        <v>2220.5498778924998</v>
      </c>
      <c r="E7" s="290">
        <v>1572.0942668674998</v>
      </c>
      <c r="F7" s="253">
        <f t="shared" ref="F7:F18" si="1">IF(E7=0,"",D7/E7-1)</f>
        <v>0.41247883456574774</v>
      </c>
      <c r="G7" s="290">
        <v>14709.255205424999</v>
      </c>
      <c r="H7" s="247">
        <v>17773.669020042031</v>
      </c>
      <c r="I7" s="253">
        <f t="shared" si="0"/>
        <v>-0.17241312478371928</v>
      </c>
      <c r="J7" s="290">
        <v>16192.648391297498</v>
      </c>
      <c r="K7" s="253">
        <f t="shared" ref="K7:K19" si="2">IF(J7=0,"",H7/J7-1)</f>
        <v>9.7638174468991146E-2</v>
      </c>
      <c r="L7" s="22"/>
    </row>
    <row r="8" spans="1:12" ht="11.25" customHeight="1">
      <c r="A8" s="141" t="s">
        <v>51</v>
      </c>
      <c r="B8" s="292">
        <v>63.277777402500007</v>
      </c>
      <c r="C8" s="248">
        <v>68.306833275000002</v>
      </c>
      <c r="D8" s="293">
        <v>67.277693587500011</v>
      </c>
      <c r="E8" s="292">
        <v>61.411496822499998</v>
      </c>
      <c r="F8" s="399">
        <f t="shared" si="1"/>
        <v>9.552277779444629E-2</v>
      </c>
      <c r="G8" s="292">
        <v>558.49028785249993</v>
      </c>
      <c r="H8" s="248">
        <v>565.86203602749993</v>
      </c>
      <c r="I8" s="399">
        <f t="shared" si="0"/>
        <v>-1.3027465540455085E-2</v>
      </c>
      <c r="J8" s="292">
        <v>543.83640492749998</v>
      </c>
      <c r="K8" s="399">
        <f t="shared" si="2"/>
        <v>4.0500472017749978E-2</v>
      </c>
      <c r="L8" s="22"/>
    </row>
    <row r="9" spans="1:12" ht="11.25" customHeight="1">
      <c r="A9" s="140" t="s">
        <v>52</v>
      </c>
      <c r="B9" s="290">
        <v>2.0751795975</v>
      </c>
      <c r="C9" s="247">
        <v>11.3193498125</v>
      </c>
      <c r="D9" s="291">
        <v>42.716016275000001</v>
      </c>
      <c r="E9" s="290">
        <v>15.202934707500001</v>
      </c>
      <c r="F9" s="253">
        <f t="shared" si="1"/>
        <v>1.8097217475996321</v>
      </c>
      <c r="G9" s="290">
        <v>71.959946437500008</v>
      </c>
      <c r="H9" s="247">
        <v>322.03854341500005</v>
      </c>
      <c r="I9" s="253">
        <f t="shared" si="0"/>
        <v>-0.77654865261029427</v>
      </c>
      <c r="J9" s="290">
        <v>348.28843219749996</v>
      </c>
      <c r="K9" s="253">
        <f t="shared" si="2"/>
        <v>-7.5368247566760083E-2</v>
      </c>
      <c r="L9" s="22"/>
    </row>
    <row r="10" spans="1:12" ht="11.25" customHeight="1">
      <c r="A10" s="141" t="s">
        <v>53</v>
      </c>
      <c r="B10" s="292">
        <v>0</v>
      </c>
      <c r="C10" s="248">
        <v>0</v>
      </c>
      <c r="D10" s="293">
        <v>0</v>
      </c>
      <c r="E10" s="292">
        <v>0</v>
      </c>
      <c r="F10" s="399" t="str">
        <f t="shared" si="1"/>
        <v/>
      </c>
      <c r="G10" s="292">
        <v>0</v>
      </c>
      <c r="H10" s="248">
        <v>0</v>
      </c>
      <c r="I10" s="399" t="str">
        <f t="shared" si="0"/>
        <v/>
      </c>
      <c r="J10" s="292">
        <v>0</v>
      </c>
      <c r="K10" s="399" t="str">
        <f t="shared" si="2"/>
        <v/>
      </c>
      <c r="L10" s="22"/>
    </row>
    <row r="11" spans="1:12" ht="11.25" customHeight="1">
      <c r="A11" s="140" t="s">
        <v>26</v>
      </c>
      <c r="B11" s="290">
        <v>0</v>
      </c>
      <c r="C11" s="247">
        <v>8.6402158400000015</v>
      </c>
      <c r="D11" s="291">
        <v>4.3830983974999995</v>
      </c>
      <c r="E11" s="290">
        <v>0</v>
      </c>
      <c r="F11" s="253" t="str">
        <f t="shared" si="1"/>
        <v/>
      </c>
      <c r="G11" s="290">
        <v>13.023314237500001</v>
      </c>
      <c r="H11" s="247">
        <v>36.149195487499995</v>
      </c>
      <c r="I11" s="253">
        <f t="shared" si="0"/>
        <v>-0.63973432708887468</v>
      </c>
      <c r="J11" s="290">
        <v>43.120710160000002</v>
      </c>
      <c r="K11" s="253">
        <f t="shared" si="2"/>
        <v>-0.16167439373405734</v>
      </c>
      <c r="L11" s="24"/>
    </row>
    <row r="12" spans="1:12" ht="11.25" customHeight="1">
      <c r="A12" s="141" t="s">
        <v>45</v>
      </c>
      <c r="B12" s="292">
        <v>0.3302851175</v>
      </c>
      <c r="C12" s="248">
        <v>1.6964256725</v>
      </c>
      <c r="D12" s="293">
        <v>1.1539812724999998</v>
      </c>
      <c r="E12" s="292">
        <v>2.3326609224999997</v>
      </c>
      <c r="F12" s="399">
        <f t="shared" si="1"/>
        <v>-0.50529403507851667</v>
      </c>
      <c r="G12" s="292">
        <v>7.357447950000001</v>
      </c>
      <c r="H12" s="248">
        <v>45.301100559999995</v>
      </c>
      <c r="I12" s="399">
        <f t="shared" si="0"/>
        <v>-0.83758787625357412</v>
      </c>
      <c r="J12" s="292">
        <v>11.322517775</v>
      </c>
      <c r="K12" s="399">
        <f t="shared" si="2"/>
        <v>3.0009741172607693</v>
      </c>
      <c r="L12" s="22"/>
    </row>
    <row r="13" spans="1:12" ht="11.25" customHeight="1">
      <c r="A13" s="140" t="s">
        <v>46</v>
      </c>
      <c r="B13" s="290">
        <v>0</v>
      </c>
      <c r="C13" s="247">
        <v>0</v>
      </c>
      <c r="D13" s="291">
        <v>0</v>
      </c>
      <c r="E13" s="290">
        <v>0</v>
      </c>
      <c r="F13" s="253" t="str">
        <f>IF(E13=0,"",D13/E13-1)</f>
        <v/>
      </c>
      <c r="G13" s="290">
        <v>0</v>
      </c>
      <c r="H13" s="247">
        <v>0.282469725</v>
      </c>
      <c r="I13" s="253">
        <f t="shared" si="0"/>
        <v>-1</v>
      </c>
      <c r="J13" s="290">
        <v>2.6571829249999994</v>
      </c>
      <c r="K13" s="253">
        <f t="shared" si="2"/>
        <v>-0.89369579250927933</v>
      </c>
      <c r="L13" s="22"/>
    </row>
    <row r="14" spans="1:12" ht="11.25" customHeight="1">
      <c r="A14" s="141" t="s">
        <v>47</v>
      </c>
      <c r="B14" s="292">
        <v>0.42451486499999991</v>
      </c>
      <c r="C14" s="248">
        <v>30.498726704999992</v>
      </c>
      <c r="D14" s="293">
        <v>2.7503809924999998</v>
      </c>
      <c r="E14" s="292">
        <v>1.0221822650000001</v>
      </c>
      <c r="F14" s="399">
        <f>IF(E14=0,"",D14/E14-1)</f>
        <v>1.6906952768349974</v>
      </c>
      <c r="G14" s="292">
        <v>41.989352365000002</v>
      </c>
      <c r="H14" s="248">
        <v>108.85206748046878</v>
      </c>
      <c r="I14" s="399">
        <f t="shared" si="0"/>
        <v>-0.61425305612560721</v>
      </c>
      <c r="J14" s="292">
        <v>106.994350135</v>
      </c>
      <c r="K14" s="399">
        <f t="shared" si="2"/>
        <v>1.7362761146965111E-2</v>
      </c>
      <c r="L14" s="22"/>
    </row>
    <row r="15" spans="1:12" ht="11.25" customHeight="1">
      <c r="A15" s="140" t="s">
        <v>48</v>
      </c>
      <c r="B15" s="290">
        <v>24.8420741875</v>
      </c>
      <c r="C15" s="247">
        <v>30.453421917499998</v>
      </c>
      <c r="D15" s="291">
        <v>31.081331372499999</v>
      </c>
      <c r="E15" s="290">
        <v>20.024284354999999</v>
      </c>
      <c r="F15" s="253">
        <f t="shared" si="1"/>
        <v>0.55218188183285011</v>
      </c>
      <c r="G15" s="290">
        <v>219.09993689999999</v>
      </c>
      <c r="H15" s="247">
        <v>166.44856336250001</v>
      </c>
      <c r="I15" s="253">
        <f>IF(H15=0,"",G15/H15-1)</f>
        <v>0.31632218670961532</v>
      </c>
      <c r="J15" s="290">
        <v>82.917381684999995</v>
      </c>
      <c r="K15" s="253">
        <f t="shared" si="2"/>
        <v>1.0074025491402012</v>
      </c>
      <c r="L15" s="22"/>
    </row>
    <row r="16" spans="1:12" ht="11.25" customHeight="1">
      <c r="A16" s="141" t="s">
        <v>49</v>
      </c>
      <c r="B16" s="292">
        <v>6.8532406849999994</v>
      </c>
      <c r="C16" s="248">
        <v>6.5884644099999994</v>
      </c>
      <c r="D16" s="293">
        <v>6.9042920875</v>
      </c>
      <c r="E16" s="292">
        <v>5.6516292825000001</v>
      </c>
      <c r="F16" s="399">
        <f t="shared" si="1"/>
        <v>0.22164631513939015</v>
      </c>
      <c r="G16" s="292">
        <v>52.336967279999996</v>
      </c>
      <c r="H16" s="248">
        <v>60.9690982125</v>
      </c>
      <c r="I16" s="399">
        <f t="shared" si="0"/>
        <v>-0.14158206674492402</v>
      </c>
      <c r="J16" s="292">
        <v>44.882402494999994</v>
      </c>
      <c r="K16" s="399">
        <f t="shared" si="2"/>
        <v>0.35841877491500385</v>
      </c>
      <c r="L16" s="22"/>
    </row>
    <row r="17" spans="1:12" ht="11.25" customHeight="1">
      <c r="A17" s="140" t="s">
        <v>30</v>
      </c>
      <c r="B17" s="290">
        <v>70.43034175999999</v>
      </c>
      <c r="C17" s="247">
        <v>76.332032090000013</v>
      </c>
      <c r="D17" s="291">
        <v>81.511218932499986</v>
      </c>
      <c r="E17" s="290">
        <v>75.155877332500012</v>
      </c>
      <c r="F17" s="253">
        <f t="shared" si="1"/>
        <v>8.4562137061923393E-2</v>
      </c>
      <c r="G17" s="290">
        <v>704.21008915749997</v>
      </c>
      <c r="H17" s="247">
        <v>684.22581149499979</v>
      </c>
      <c r="I17" s="253">
        <f>IF(H17=0,"",G17/H17-1)</f>
        <v>2.9207137945929773E-2</v>
      </c>
      <c r="J17" s="290">
        <v>668.55536168499998</v>
      </c>
      <c r="K17" s="253">
        <f t="shared" si="2"/>
        <v>2.3439270265523948E-2</v>
      </c>
      <c r="L17" s="22"/>
    </row>
    <row r="18" spans="1:12" ht="11.25" customHeight="1">
      <c r="A18" s="141" t="s">
        <v>29</v>
      </c>
      <c r="B18" s="292">
        <v>173.50573414250002</v>
      </c>
      <c r="C18" s="248">
        <v>172.07044422999999</v>
      </c>
      <c r="D18" s="293">
        <v>156.66788605249999</v>
      </c>
      <c r="E18" s="292">
        <v>128.4353796625</v>
      </c>
      <c r="F18" s="399">
        <f t="shared" si="1"/>
        <v>0.21981876383430188</v>
      </c>
      <c r="G18" s="292">
        <v>1655.9700048724999</v>
      </c>
      <c r="H18" s="248">
        <v>1515.0845001474997</v>
      </c>
      <c r="I18" s="399">
        <f>IF(H18=0,"",G18/H18-1)</f>
        <v>9.2988545992837013E-2</v>
      </c>
      <c r="J18" s="292">
        <v>1353.7738505875</v>
      </c>
      <c r="K18" s="399">
        <f t="shared" si="2"/>
        <v>0.11915627524493511</v>
      </c>
      <c r="L18" s="22"/>
    </row>
    <row r="19" spans="1:12" ht="11.25" customHeight="1">
      <c r="A19" s="146" t="s">
        <v>42</v>
      </c>
      <c r="B19" s="294">
        <f>SUM(B6:B18)</f>
        <v>4190.8547503975005</v>
      </c>
      <c r="C19" s="295">
        <f>SUM(C6:C18)</f>
        <v>4464.6767936674996</v>
      </c>
      <c r="D19" s="733">
        <f>SUM(D6:D18)</f>
        <v>4385.3678599024997</v>
      </c>
      <c r="E19" s="294">
        <f>SUM(E6:E18)</f>
        <v>4397.7270338524986</v>
      </c>
      <c r="F19" s="400">
        <f>IF(E19=0,"",D19/E19-1)</f>
        <v>-2.8103549526520277E-3</v>
      </c>
      <c r="G19" s="294">
        <f>SUM(G6:G18)</f>
        <v>44603.383202817502</v>
      </c>
      <c r="H19" s="295">
        <f>SUM(H6:H18)</f>
        <v>48297.920387765022</v>
      </c>
      <c r="I19" s="400">
        <f>IF(H19=0,"",G19/H19-1)</f>
        <v>-7.6494746674091396E-2</v>
      </c>
      <c r="J19" s="294">
        <f>SUM(J6:J18)</f>
        <v>46320.700877247502</v>
      </c>
      <c r="K19" s="400">
        <f t="shared" si="2"/>
        <v>4.2685440269076835E-2</v>
      </c>
      <c r="L19" s="30"/>
    </row>
    <row r="20" spans="1:12" ht="11.25" customHeight="1">
      <c r="A20" s="22"/>
      <c r="B20" s="22"/>
      <c r="C20" s="22"/>
      <c r="D20" s="22"/>
      <c r="E20" s="22"/>
      <c r="F20" s="22"/>
      <c r="G20" s="22"/>
      <c r="H20" s="22"/>
      <c r="I20" s="22"/>
      <c r="J20" s="22"/>
      <c r="K20" s="22"/>
      <c r="L20" s="22"/>
    </row>
    <row r="21" spans="1:12" ht="11.25" customHeight="1">
      <c r="A21" s="142" t="s">
        <v>39</v>
      </c>
      <c r="B21" s="235">
        <v>0.5068694199999999</v>
      </c>
      <c r="C21" s="236">
        <v>0</v>
      </c>
      <c r="D21" s="340">
        <v>0</v>
      </c>
      <c r="E21" s="691">
        <v>1.8939200699999998</v>
      </c>
      <c r="F21" s="120">
        <f>IF(E21=0,"",D21/E21-1)</f>
        <v>-1</v>
      </c>
      <c r="G21" s="235">
        <v>37.447757109999998</v>
      </c>
      <c r="H21" s="339">
        <v>59.811735309999996</v>
      </c>
      <c r="I21" s="123">
        <f>IF(H21=0,"",G21/H21-1)</f>
        <v>-0.37390619222279842</v>
      </c>
      <c r="J21" s="235">
        <v>21.20075765</v>
      </c>
      <c r="K21" s="120">
        <f>IF(J21=0,"",H21/J21-1)</f>
        <v>1.8212074444424395</v>
      </c>
      <c r="L21" s="22"/>
    </row>
    <row r="22" spans="1:12" ht="11.25" customHeight="1">
      <c r="A22" s="143" t="s">
        <v>40</v>
      </c>
      <c r="B22" s="232">
        <v>0</v>
      </c>
      <c r="C22" s="233">
        <v>0</v>
      </c>
      <c r="D22" s="234">
        <v>0</v>
      </c>
      <c r="E22" s="692">
        <v>0</v>
      </c>
      <c r="F22" s="690" t="str">
        <f>IF(E22=0,"",D22/E22-1)</f>
        <v/>
      </c>
      <c r="G22" s="232">
        <v>0</v>
      </c>
      <c r="H22" s="233">
        <v>0</v>
      </c>
      <c r="I22" s="115" t="str">
        <f>IF(H22=0,"",G22/H22-1)</f>
        <v/>
      </c>
      <c r="J22" s="232">
        <v>0</v>
      </c>
      <c r="K22" s="121" t="str">
        <f>IF(J22=0,"",H22/J22-1)</f>
        <v/>
      </c>
      <c r="L22" s="22"/>
    </row>
    <row r="23" spans="1:12" ht="23.25" customHeight="1">
      <c r="A23" s="144" t="s">
        <v>41</v>
      </c>
      <c r="B23" s="245">
        <f>+B22-B21</f>
        <v>-0.5068694199999999</v>
      </c>
      <c r="C23" s="246">
        <f>+C22-C21</f>
        <v>0</v>
      </c>
      <c r="D23" s="401">
        <f>+D22-D21</f>
        <v>0</v>
      </c>
      <c r="E23" s="693">
        <f>+E22-E21</f>
        <v>-1.8939200699999998</v>
      </c>
      <c r="F23" s="246"/>
      <c r="G23" s="245">
        <f>+G22-G21</f>
        <v>-37.447757109999998</v>
      </c>
      <c r="H23" s="246">
        <f>+H22-H21</f>
        <v>-59.811735309999996</v>
      </c>
      <c r="I23" s="124"/>
      <c r="J23" s="245">
        <f>+J22-J21</f>
        <v>-21.20075765</v>
      </c>
      <c r="K23" s="122"/>
      <c r="L23" s="30"/>
    </row>
    <row r="24" spans="1:12" ht="11.25" customHeight="1">
      <c r="A24" s="230" t="s">
        <v>222</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0" t="str">
        <f>"Gráfico N° 5: Comparación de la producción de energía eléctrica (GWh) por tipo de recurso energético acumulado a "&amp;'1. Resumen'!Q4&amp;"."</f>
        <v>Gráfico N° 5: Comparación de la producción de energía eléctrica (GWh) por tipo de recurso energético acumulado a noviembre.</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Mensual-Noviembre 2020
INFSGI-MES-11-2020
14/12/2020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45" workbookViewId="0">
      <selection activeCell="T44" sqref="T44"/>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553"/>
  </cols>
  <sheetData>
    <row r="1" spans="1:12" ht="11.25" customHeight="1"/>
    <row r="2" spans="1:12" ht="11.25" customHeight="1">
      <c r="A2" s="923" t="s">
        <v>230</v>
      </c>
      <c r="B2" s="923"/>
      <c r="C2" s="923"/>
      <c r="D2" s="923"/>
      <c r="E2" s="923"/>
      <c r="F2" s="923"/>
      <c r="G2" s="923"/>
      <c r="H2" s="923"/>
      <c r="I2" s="923"/>
      <c r="J2" s="923"/>
      <c r="K2" s="923"/>
      <c r="L2" s="554"/>
    </row>
    <row r="3" spans="1:12" ht="11.25" customHeight="1">
      <c r="A3" s="74"/>
      <c r="B3" s="73"/>
      <c r="C3" s="73"/>
      <c r="D3" s="73"/>
      <c r="E3" s="73"/>
      <c r="F3" s="73"/>
      <c r="G3" s="73"/>
      <c r="H3" s="73"/>
      <c r="I3" s="73"/>
      <c r="J3" s="73"/>
      <c r="K3" s="73"/>
      <c r="L3" s="554"/>
    </row>
    <row r="4" spans="1:12" ht="15.75" customHeight="1">
      <c r="A4" s="921" t="s">
        <v>226</v>
      </c>
      <c r="B4" s="918" t="s">
        <v>33</v>
      </c>
      <c r="C4" s="919"/>
      <c r="D4" s="919"/>
      <c r="E4" s="919" t="s">
        <v>34</v>
      </c>
      <c r="F4" s="919"/>
      <c r="G4" s="920" t="str">
        <f>+'4. Tipo Recurso'!G4:K4</f>
        <v>Generación Acumulada a noviembre</v>
      </c>
      <c r="H4" s="920"/>
      <c r="I4" s="920"/>
      <c r="J4" s="920"/>
      <c r="K4" s="920"/>
      <c r="L4" s="555"/>
    </row>
    <row r="5" spans="1:12" ht="29.25" customHeight="1">
      <c r="A5" s="921"/>
      <c r="B5" s="470">
        <f>+'4. Tipo Recurso'!B5</f>
        <v>44078</v>
      </c>
      <c r="C5" s="470">
        <f>+'4. Tipo Recurso'!C5</f>
        <v>44108</v>
      </c>
      <c r="D5" s="470">
        <f>+'4. Tipo Recurso'!D5</f>
        <v>44136</v>
      </c>
      <c r="E5" s="470">
        <f>+'4. Tipo Recurso'!E5</f>
        <v>43771</v>
      </c>
      <c r="F5" s="470" t="s">
        <v>35</v>
      </c>
      <c r="G5" s="472">
        <v>2020</v>
      </c>
      <c r="H5" s="472">
        <v>2019</v>
      </c>
      <c r="I5" s="471" t="s">
        <v>476</v>
      </c>
      <c r="J5" s="472">
        <v>2018</v>
      </c>
      <c r="K5" s="471" t="s">
        <v>423</v>
      </c>
      <c r="L5" s="556"/>
    </row>
    <row r="6" spans="1:12" ht="11.25" customHeight="1">
      <c r="A6" s="139" t="s">
        <v>44</v>
      </c>
      <c r="B6" s="287">
        <v>109.20244883999997</v>
      </c>
      <c r="C6" s="288">
        <v>126.61989448249999</v>
      </c>
      <c r="D6" s="289">
        <v>114.60069452250002</v>
      </c>
      <c r="E6" s="287">
        <v>186.89413880749996</v>
      </c>
      <c r="F6" s="252">
        <f t="shared" ref="F6:F11" si="0">IF(E6=0,"",D6/E6-1)</f>
        <v>-0.38681493569716396</v>
      </c>
      <c r="G6" s="287">
        <v>1853.6392323774999</v>
      </c>
      <c r="H6" s="288">
        <v>1610.3864647425003</v>
      </c>
      <c r="I6" s="256">
        <f t="shared" ref="I6:I11" si="1">IF(H6=0,"",G6/H6-1)</f>
        <v>0.15105241689540372</v>
      </c>
      <c r="J6" s="287">
        <v>1152.4751999150001</v>
      </c>
      <c r="K6" s="252">
        <f t="shared" ref="K6:K11" si="2">IF(J6=0,"",H6/J6-1)</f>
        <v>0.3973285194000471</v>
      </c>
      <c r="L6" s="557"/>
    </row>
    <row r="7" spans="1:12" ht="11.25" customHeight="1">
      <c r="A7" s="140" t="s">
        <v>38</v>
      </c>
      <c r="B7" s="290">
        <v>173.50573414250002</v>
      </c>
      <c r="C7" s="247">
        <v>172.07044422999999</v>
      </c>
      <c r="D7" s="291">
        <v>156.66788605249999</v>
      </c>
      <c r="E7" s="290">
        <v>128.4353796625</v>
      </c>
      <c r="F7" s="253">
        <f t="shared" si="0"/>
        <v>0.21981876383430188</v>
      </c>
      <c r="G7" s="290">
        <v>1655.9700048724999</v>
      </c>
      <c r="H7" s="247">
        <v>1515.0845001474997</v>
      </c>
      <c r="I7" s="242">
        <f t="shared" si="1"/>
        <v>9.2988545992837013E-2</v>
      </c>
      <c r="J7" s="290">
        <v>1353.7738505875</v>
      </c>
      <c r="K7" s="253">
        <f t="shared" si="2"/>
        <v>0.11915627524493511</v>
      </c>
      <c r="L7" s="557"/>
    </row>
    <row r="8" spans="1:12" ht="11.25" customHeight="1">
      <c r="A8" s="250" t="s">
        <v>30</v>
      </c>
      <c r="B8" s="412">
        <v>70.43034175999999</v>
      </c>
      <c r="C8" s="296">
        <v>76.332032090000013</v>
      </c>
      <c r="D8" s="413">
        <v>81.511218932499986</v>
      </c>
      <c r="E8" s="412">
        <v>75.155877332500012</v>
      </c>
      <c r="F8" s="254">
        <f t="shared" si="0"/>
        <v>8.4562137061923393E-2</v>
      </c>
      <c r="G8" s="412">
        <v>704.21008915749997</v>
      </c>
      <c r="H8" s="296">
        <v>684.22581149499979</v>
      </c>
      <c r="I8" s="249">
        <f t="shared" si="1"/>
        <v>2.9207137945929773E-2</v>
      </c>
      <c r="J8" s="412">
        <v>668.55536168499998</v>
      </c>
      <c r="K8" s="254">
        <f t="shared" si="2"/>
        <v>2.3439270265523948E-2</v>
      </c>
      <c r="L8" s="557"/>
    </row>
    <row r="9" spans="1:12" ht="11.25" customHeight="1">
      <c r="A9" s="140" t="s">
        <v>48</v>
      </c>
      <c r="B9" s="290">
        <v>24.8420741875</v>
      </c>
      <c r="C9" s="247">
        <v>30.453421917499998</v>
      </c>
      <c r="D9" s="291">
        <v>31.081331372499999</v>
      </c>
      <c r="E9" s="290">
        <v>20.024284354999999</v>
      </c>
      <c r="F9" s="253">
        <f t="shared" si="0"/>
        <v>0.55218188183285011</v>
      </c>
      <c r="G9" s="290">
        <v>219.09993689999999</v>
      </c>
      <c r="H9" s="247">
        <v>166.44856336250001</v>
      </c>
      <c r="I9" s="242">
        <f t="shared" si="1"/>
        <v>0.31632218670961532</v>
      </c>
      <c r="J9" s="290">
        <v>82.917381684999995</v>
      </c>
      <c r="K9" s="253">
        <f t="shared" si="2"/>
        <v>1.0074025491402012</v>
      </c>
      <c r="L9" s="558"/>
    </row>
    <row r="10" spans="1:12" ht="11.25" customHeight="1">
      <c r="A10" s="251" t="s">
        <v>49</v>
      </c>
      <c r="B10" s="414">
        <v>6.8532406849999994</v>
      </c>
      <c r="C10" s="415">
        <v>6.5884644099999994</v>
      </c>
      <c r="D10" s="416">
        <v>6.9042920875</v>
      </c>
      <c r="E10" s="414">
        <v>5.6516292825000001</v>
      </c>
      <c r="F10" s="255">
        <f t="shared" si="0"/>
        <v>0.22164631513939015</v>
      </c>
      <c r="G10" s="414">
        <v>52.336967279999996</v>
      </c>
      <c r="H10" s="415">
        <v>60.9690982125</v>
      </c>
      <c r="I10" s="257">
        <f t="shared" si="1"/>
        <v>-0.14158206674492402</v>
      </c>
      <c r="J10" s="414">
        <v>44.882402494999994</v>
      </c>
      <c r="K10" s="255">
        <f t="shared" si="2"/>
        <v>0.35841877491500385</v>
      </c>
      <c r="L10" s="557"/>
    </row>
    <row r="11" spans="1:12" ht="11.25" customHeight="1">
      <c r="A11" s="258" t="s">
        <v>223</v>
      </c>
      <c r="B11" s="352">
        <f>+B6+B7+B8+B9+B10</f>
        <v>384.83383961499993</v>
      </c>
      <c r="C11" s="353">
        <f t="shared" ref="C11:D11" si="3">+C6+C7+C8+C9+C10</f>
        <v>412.06425712999993</v>
      </c>
      <c r="D11" s="354">
        <f t="shared" si="3"/>
        <v>390.7654229675</v>
      </c>
      <c r="E11" s="355">
        <f>+E6+E7+E8+E9+E10</f>
        <v>416.16130943999997</v>
      </c>
      <c r="F11" s="259">
        <f t="shared" si="0"/>
        <v>-6.1024141111708508E-2</v>
      </c>
      <c r="G11" s="410">
        <f>+G6+G7+G8+G9+G10</f>
        <v>4485.2562305874999</v>
      </c>
      <c r="H11" s="411">
        <f>+H6+H7+H8+H9+H10</f>
        <v>4037.1144379599996</v>
      </c>
      <c r="I11" s="260">
        <f t="shared" si="1"/>
        <v>0.11100547173340747</v>
      </c>
      <c r="J11" s="410">
        <f>+J6+J7+J8+J9+J10</f>
        <v>3302.6041963674998</v>
      </c>
      <c r="K11" s="259">
        <f t="shared" si="2"/>
        <v>0.22240335139172296</v>
      </c>
      <c r="L11" s="555"/>
    </row>
    <row r="12" spans="1:12" ht="24.75" customHeight="1">
      <c r="A12" s="261" t="s">
        <v>224</v>
      </c>
      <c r="B12" s="262">
        <f>B11/'4. Tipo Recurso'!B19</f>
        <v>9.1827052602693665E-2</v>
      </c>
      <c r="C12" s="724">
        <f>C11/'4. Tipo Recurso'!C19</f>
        <v>9.2294308451275509E-2</v>
      </c>
      <c r="D12" s="561">
        <f>D11/'4. Tipo Recurso'!D19</f>
        <v>8.9106646340995424E-2</v>
      </c>
      <c r="E12" s="262">
        <f>E11/'4. Tipo Recurso'!E19</f>
        <v>9.4631000568362739E-2</v>
      </c>
      <c r="F12" s="263"/>
      <c r="G12" s="262">
        <f>G11/'4. Tipo Recurso'!G19</f>
        <v>0.10055865516282576</v>
      </c>
      <c r="H12" s="260">
        <f>H11/'4. Tipo Recurso'!H19</f>
        <v>8.3587748821224481E-2</v>
      </c>
      <c r="I12" s="260"/>
      <c r="J12" s="262">
        <f>J11/'4. Tipo Recurso'!J19</f>
        <v>7.1298666337532096E-2</v>
      </c>
      <c r="K12" s="263"/>
      <c r="L12" s="555"/>
    </row>
    <row r="13" spans="1:12" ht="11.25" customHeight="1">
      <c r="A13" s="264" t="s">
        <v>225</v>
      </c>
      <c r="B13" s="134"/>
      <c r="C13" s="134"/>
      <c r="D13" s="134"/>
      <c r="E13" s="134"/>
      <c r="F13" s="134"/>
      <c r="G13" s="134"/>
      <c r="H13" s="134"/>
      <c r="I13" s="134"/>
      <c r="J13" s="134"/>
      <c r="K13" s="135"/>
      <c r="L13" s="555"/>
    </row>
    <row r="14" spans="1:12" ht="35.25" customHeight="1">
      <c r="A14" s="924" t="s">
        <v>462</v>
      </c>
      <c r="B14" s="924"/>
      <c r="C14" s="924"/>
      <c r="D14" s="924"/>
      <c r="E14" s="924"/>
      <c r="F14" s="924"/>
      <c r="G14" s="924"/>
      <c r="H14" s="924"/>
      <c r="I14" s="924"/>
      <c r="J14" s="924"/>
      <c r="K14" s="924"/>
      <c r="L14" s="555"/>
    </row>
    <row r="15" spans="1:12" ht="11.25" customHeight="1">
      <c r="A15" s="31"/>
      <c r="L15" s="555"/>
    </row>
    <row r="16" spans="1:12" ht="11.25" customHeight="1">
      <c r="A16" s="136"/>
      <c r="B16" s="147"/>
      <c r="C16" s="147"/>
      <c r="D16" s="147"/>
      <c r="E16" s="147"/>
      <c r="F16" s="147"/>
      <c r="G16" s="147"/>
      <c r="H16" s="147"/>
      <c r="I16" s="147"/>
      <c r="J16" s="147"/>
      <c r="K16" s="147"/>
      <c r="L16" s="555"/>
    </row>
    <row r="17" spans="1:12" ht="11.25" customHeight="1">
      <c r="A17" s="147"/>
      <c r="B17" s="147"/>
      <c r="C17" s="147"/>
      <c r="D17" s="147"/>
      <c r="E17" s="147"/>
      <c r="F17" s="147"/>
      <c r="G17" s="147"/>
      <c r="H17" s="147"/>
      <c r="I17" s="147"/>
      <c r="J17" s="147"/>
      <c r="K17" s="147"/>
      <c r="L17" s="555"/>
    </row>
    <row r="18" spans="1:12" ht="11.25" customHeight="1">
      <c r="A18" s="147"/>
      <c r="B18" s="147"/>
      <c r="C18" s="147"/>
      <c r="D18" s="147"/>
      <c r="E18" s="147"/>
      <c r="F18" s="147"/>
      <c r="G18" s="147"/>
      <c r="H18" s="147"/>
      <c r="I18" s="147"/>
      <c r="J18" s="147"/>
      <c r="K18" s="147"/>
      <c r="L18" s="559"/>
    </row>
    <row r="19" spans="1:12" ht="11.25" customHeight="1">
      <c r="A19" s="136"/>
      <c r="B19" s="138"/>
      <c r="C19" s="138"/>
      <c r="D19" s="138"/>
      <c r="E19" s="138"/>
      <c r="F19" s="138"/>
      <c r="G19" s="138"/>
      <c r="H19" s="138"/>
      <c r="I19" s="138"/>
      <c r="J19" s="138"/>
      <c r="K19" s="138"/>
      <c r="L19" s="555"/>
    </row>
    <row r="20" spans="1:12" ht="11.25" customHeight="1">
      <c r="A20" s="136"/>
      <c r="B20" s="138"/>
      <c r="C20" s="138"/>
      <c r="D20" s="138"/>
      <c r="E20" s="138"/>
      <c r="F20" s="138"/>
      <c r="G20" s="138"/>
      <c r="H20" s="138"/>
      <c r="I20" s="138"/>
      <c r="J20" s="138"/>
      <c r="K20" s="138"/>
      <c r="L20" s="555"/>
    </row>
    <row r="21" spans="1:12" ht="11.25" customHeight="1">
      <c r="A21" s="136"/>
      <c r="B21" s="138"/>
      <c r="C21" s="138"/>
      <c r="D21" s="138"/>
      <c r="E21" s="138"/>
      <c r="F21" s="138"/>
      <c r="G21" s="138"/>
      <c r="H21" s="138"/>
      <c r="I21" s="138"/>
      <c r="J21" s="138"/>
      <c r="K21" s="138"/>
      <c r="L21" s="555"/>
    </row>
    <row r="22" spans="1:12" ht="11.25" customHeight="1">
      <c r="A22" s="136"/>
      <c r="B22" s="138"/>
      <c r="C22" s="138"/>
      <c r="D22" s="138"/>
      <c r="E22" s="138"/>
      <c r="F22" s="138"/>
      <c r="G22" s="138"/>
      <c r="H22" s="138"/>
      <c r="I22" s="138"/>
      <c r="J22" s="138"/>
      <c r="K22" s="138"/>
      <c r="L22" s="559"/>
    </row>
    <row r="23" spans="1:12" ht="11.25" customHeight="1">
      <c r="A23" s="136"/>
      <c r="B23" s="138"/>
      <c r="C23" s="138"/>
      <c r="D23" s="138"/>
      <c r="E23" s="138"/>
      <c r="F23" s="138"/>
      <c r="G23" s="138"/>
      <c r="H23" s="138"/>
      <c r="I23" s="138"/>
      <c r="J23" s="138"/>
      <c r="K23" s="138"/>
      <c r="L23" s="555"/>
    </row>
    <row r="24" spans="1:12" ht="11.25" customHeight="1">
      <c r="A24" s="136"/>
      <c r="B24" s="138"/>
      <c r="C24" s="138"/>
      <c r="D24" s="138"/>
      <c r="E24" s="138"/>
      <c r="F24" s="138"/>
      <c r="G24" s="138"/>
      <c r="H24" s="138"/>
      <c r="I24" s="138"/>
      <c r="J24" s="138"/>
      <c r="K24" s="138"/>
      <c r="L24" s="555"/>
    </row>
    <row r="25" spans="1:12" ht="11.25" customHeight="1">
      <c r="A25" s="136"/>
      <c r="B25" s="138"/>
      <c r="C25" s="138"/>
      <c r="D25" s="138"/>
      <c r="E25" s="138"/>
      <c r="F25" s="138"/>
      <c r="G25" s="138"/>
      <c r="H25" s="138"/>
      <c r="I25" s="138"/>
      <c r="J25" s="138"/>
      <c r="K25" s="138"/>
      <c r="L25" s="555"/>
    </row>
    <row r="26" spans="1:12" ht="11.25" customHeight="1">
      <c r="A26" s="136"/>
      <c r="B26" s="138"/>
      <c r="C26" s="138"/>
      <c r="D26" s="138"/>
      <c r="E26" s="138"/>
      <c r="F26" s="138"/>
      <c r="G26" s="138"/>
      <c r="H26" s="138"/>
      <c r="I26" s="138"/>
      <c r="J26" s="138"/>
      <c r="K26" s="138"/>
      <c r="L26" s="555"/>
    </row>
    <row r="27" spans="1:12" ht="11.25" customHeight="1">
      <c r="A27" s="136"/>
      <c r="B27" s="138"/>
      <c r="C27" s="138"/>
      <c r="D27" s="138"/>
      <c r="E27" s="138"/>
      <c r="F27" s="138"/>
      <c r="G27" s="138"/>
      <c r="H27" s="138"/>
      <c r="I27" s="138"/>
      <c r="J27" s="138"/>
      <c r="K27" s="138"/>
      <c r="L27" s="555"/>
    </row>
    <row r="28" spans="1:12" ht="11.25" customHeight="1">
      <c r="A28" s="136"/>
      <c r="B28" s="138"/>
      <c r="C28" s="138"/>
      <c r="D28" s="138"/>
      <c r="E28" s="138"/>
      <c r="F28" s="138"/>
      <c r="G28" s="138"/>
      <c r="H28" s="138"/>
      <c r="I28" s="138"/>
      <c r="J28" s="138"/>
      <c r="K28" s="138"/>
      <c r="L28" s="555"/>
    </row>
    <row r="29" spans="1:12" ht="11.25" customHeight="1">
      <c r="A29" s="136"/>
      <c r="B29" s="138"/>
      <c r="C29" s="138"/>
      <c r="D29" s="138"/>
      <c r="E29" s="138"/>
      <c r="F29" s="138"/>
      <c r="G29" s="138"/>
      <c r="H29" s="138"/>
      <c r="I29" s="138"/>
      <c r="J29" s="138"/>
      <c r="K29" s="138"/>
      <c r="L29" s="555"/>
    </row>
    <row r="30" spans="1:12" ht="11.25" customHeight="1">
      <c r="A30" s="136"/>
      <c r="B30" s="138"/>
      <c r="C30" s="138"/>
      <c r="D30" s="138"/>
      <c r="E30" s="138"/>
      <c r="F30" s="138"/>
      <c r="G30" s="138"/>
      <c r="H30" s="138"/>
      <c r="I30" s="138"/>
      <c r="J30" s="138"/>
      <c r="K30" s="138"/>
      <c r="L30" s="555"/>
    </row>
    <row r="31" spans="1:12" ht="11.25" customHeight="1">
      <c r="A31" s="136"/>
      <c r="B31" s="138"/>
      <c r="C31" s="138"/>
      <c r="D31" s="138"/>
      <c r="E31" s="138"/>
      <c r="F31" s="138"/>
      <c r="G31" s="138"/>
      <c r="H31" s="138"/>
      <c r="I31" s="138"/>
      <c r="J31" s="138"/>
      <c r="K31" s="138"/>
      <c r="L31" s="555"/>
    </row>
    <row r="32" spans="1:12" ht="11.25" customHeight="1">
      <c r="A32" s="136"/>
      <c r="B32" s="138"/>
      <c r="C32" s="138"/>
      <c r="D32" s="138"/>
      <c r="E32" s="138"/>
      <c r="F32" s="138"/>
      <c r="G32" s="138"/>
      <c r="H32" s="138"/>
      <c r="I32" s="138"/>
      <c r="J32" s="138"/>
      <c r="K32" s="138"/>
      <c r="L32" s="555"/>
    </row>
    <row r="33" spans="1:16" ht="11.25" customHeight="1">
      <c r="A33" s="136"/>
      <c r="B33" s="138"/>
      <c r="C33" s="138"/>
      <c r="D33" s="138"/>
      <c r="E33" s="138"/>
      <c r="F33" s="138"/>
      <c r="G33" s="138"/>
      <c r="H33" s="138"/>
      <c r="I33" s="138"/>
      <c r="J33" s="138"/>
      <c r="K33" s="138"/>
      <c r="L33" s="555"/>
    </row>
    <row r="34" spans="1:16" ht="11.25" customHeight="1">
      <c r="A34" s="922" t="str">
        <f>"Gráfico N° 6: Comparación de la producción de energía eléctrica acumulada (GWh) con recursos energéticos renovables en "&amp;'1. Resumen'!Q4&amp;"."</f>
        <v>Gráfico N° 6: Comparación de la producción de energía eléctrica acumulada (GWh) con recursos energéticos renovables en noviembre.</v>
      </c>
      <c r="B34" s="922"/>
      <c r="C34" s="922"/>
      <c r="D34" s="922"/>
      <c r="E34" s="922"/>
      <c r="F34" s="922"/>
      <c r="G34" s="922"/>
      <c r="H34" s="922"/>
      <c r="I34" s="922"/>
      <c r="J34" s="922"/>
      <c r="K34" s="922"/>
      <c r="L34" s="833"/>
      <c r="M34" s="286"/>
      <c r="N34" s="286"/>
      <c r="O34" s="286"/>
    </row>
    <row r="35" spans="1:16" ht="11.25" customHeight="1">
      <c r="L35" s="834"/>
      <c r="M35" s="286"/>
      <c r="N35" s="286"/>
      <c r="O35" s="286"/>
    </row>
    <row r="36" spans="1:16" ht="11.25" customHeight="1">
      <c r="A36" s="136"/>
      <c r="B36" s="138"/>
      <c r="C36" s="138"/>
      <c r="D36" s="138"/>
      <c r="E36" s="138"/>
      <c r="F36" s="138"/>
      <c r="G36" s="138"/>
      <c r="H36" s="138"/>
      <c r="I36" s="138"/>
      <c r="J36" s="138"/>
      <c r="K36" s="138"/>
      <c r="L36" s="833"/>
      <c r="M36" s="286"/>
      <c r="N36" s="286"/>
      <c r="O36" s="286"/>
    </row>
    <row r="37" spans="1:16" ht="11.25" customHeight="1">
      <c r="A37" s="136"/>
      <c r="B37" s="138"/>
      <c r="C37" s="138"/>
      <c r="D37" s="138"/>
      <c r="E37" s="138"/>
      <c r="F37" s="138"/>
      <c r="G37" s="138"/>
      <c r="H37" s="138"/>
      <c r="I37" s="138"/>
      <c r="J37" s="138"/>
      <c r="K37" s="138"/>
      <c r="L37" s="833"/>
      <c r="M37" s="286"/>
      <c r="N37" s="286"/>
      <c r="O37" s="286"/>
    </row>
    <row r="38" spans="1:16" ht="11.25" customHeight="1">
      <c r="A38" s="136"/>
      <c r="B38" s="138"/>
      <c r="C38" s="138"/>
      <c r="D38" s="138"/>
      <c r="E38" s="138"/>
      <c r="F38" s="138"/>
      <c r="G38" s="138"/>
      <c r="H38" s="138"/>
      <c r="I38" s="138"/>
      <c r="J38" s="138"/>
      <c r="K38" s="138"/>
      <c r="L38" s="833"/>
      <c r="M38" s="286"/>
      <c r="N38" s="286"/>
      <c r="O38" s="286"/>
    </row>
    <row r="39" spans="1:16" ht="11.25" customHeight="1">
      <c r="A39" s="136"/>
      <c r="B39" s="138"/>
      <c r="C39" s="265" t="s">
        <v>228</v>
      </c>
      <c r="D39" s="158"/>
      <c r="E39" s="158"/>
      <c r="F39" s="409">
        <f>+'4. Tipo Recurso'!D19</f>
        <v>4385.3678599024997</v>
      </c>
      <c r="G39" s="265" t="s">
        <v>227</v>
      </c>
      <c r="H39" s="138"/>
      <c r="I39" s="138"/>
      <c r="J39" s="138"/>
      <c r="K39" s="138"/>
      <c r="L39" s="833"/>
      <c r="M39" s="835">
        <f>+F39-F40</f>
        <v>3994.5978599024997</v>
      </c>
      <c r="N39" s="286"/>
      <c r="O39" s="286"/>
      <c r="P39" s="560"/>
    </row>
    <row r="40" spans="1:16" ht="11.25" customHeight="1">
      <c r="A40" s="136"/>
      <c r="B40" s="138"/>
      <c r="C40" s="265" t="s">
        <v>229</v>
      </c>
      <c r="D40" s="158"/>
      <c r="E40" s="158"/>
      <c r="F40" s="409">
        <f>ROUND(D11,2)</f>
        <v>390.77</v>
      </c>
      <c r="G40" s="265" t="s">
        <v>227</v>
      </c>
      <c r="H40" s="138"/>
      <c r="I40" s="138"/>
      <c r="J40" s="138"/>
      <c r="K40" s="138"/>
      <c r="L40" s="833"/>
      <c r="M40" s="836"/>
      <c r="N40" s="286"/>
      <c r="O40" s="286"/>
      <c r="P40" s="560"/>
    </row>
    <row r="41" spans="1:16" ht="11.25" customHeight="1">
      <c r="A41" s="136"/>
      <c r="B41" s="138"/>
      <c r="C41" s="138"/>
      <c r="D41" s="138"/>
      <c r="E41" s="138"/>
      <c r="F41" s="138"/>
      <c r="G41" s="138"/>
      <c r="H41" s="138"/>
      <c r="I41" s="138"/>
      <c r="J41" s="138"/>
      <c r="K41" s="138"/>
      <c r="L41" s="833"/>
      <c r="M41" s="286"/>
      <c r="N41" s="286"/>
      <c r="O41" s="286"/>
      <c r="P41" s="560"/>
    </row>
    <row r="42" spans="1:16" ht="11.25" customHeight="1">
      <c r="A42" s="136"/>
      <c r="B42" s="138"/>
      <c r="C42" s="138"/>
      <c r="D42" s="138"/>
      <c r="E42" s="138"/>
      <c r="F42" s="138"/>
      <c r="G42" s="138"/>
      <c r="H42" s="138"/>
      <c r="I42" s="138"/>
      <c r="J42" s="138"/>
      <c r="K42" s="138"/>
      <c r="L42" s="833"/>
      <c r="M42" s="286"/>
      <c r="N42" s="286"/>
      <c r="O42" s="286"/>
      <c r="P42" s="560"/>
    </row>
    <row r="43" spans="1:16" ht="11.25" customHeight="1">
      <c r="A43" s="136"/>
      <c r="B43" s="138"/>
      <c r="C43" s="138"/>
      <c r="D43" s="138"/>
      <c r="E43" s="138"/>
      <c r="F43" s="138"/>
      <c r="G43" s="138"/>
      <c r="H43" s="138"/>
      <c r="I43" s="138"/>
      <c r="J43" s="138"/>
      <c r="K43" s="138"/>
      <c r="L43" s="555"/>
      <c r="P43" s="560"/>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0" t="str">
        <f>"Gráfico N° 7: Participación de las RER en la Matriz de Generación del SEIN en "&amp;'1. Resumen'!Q4&amp;" "&amp;'1. Resumen'!Q5&amp;"."</f>
        <v>Gráfico N° 7: Participación de las RER en la Matriz de Generación del SEIN en noviembre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Normal="100" zoomScaleSheetLayoutView="100" zoomScalePageLayoutView="160" workbookViewId="0">
      <selection activeCell="T44" sqref="T44"/>
    </sheetView>
  </sheetViews>
  <sheetFormatPr baseColWidth="10" defaultColWidth="9.28515625" defaultRowHeight="10.199999999999999"/>
  <cols>
    <col min="1" max="11" width="10.28515625" customWidth="1"/>
    <col min="12" max="12" width="21.140625" style="710" bestFit="1" customWidth="1"/>
    <col min="13" max="14" width="9.28515625" style="710"/>
    <col min="15" max="15" width="11.85546875" style="710" customWidth="1"/>
    <col min="16" max="17" width="9.28515625" style="710"/>
    <col min="18" max="18" width="9.28515625" style="726"/>
    <col min="19" max="19" width="9.28515625" style="748"/>
    <col min="20" max="20" width="15" style="748" customWidth="1"/>
    <col min="21" max="22" width="9.28515625" style="748"/>
    <col min="23" max="24" width="9.28515625" style="553"/>
    <col min="25" max="25" width="17.85546875" style="553" bestFit="1" customWidth="1"/>
  </cols>
  <sheetData>
    <row r="2" spans="1:25" ht="11.25" customHeight="1">
      <c r="A2" s="925" t="s">
        <v>234</v>
      </c>
      <c r="B2" s="925"/>
      <c r="C2" s="925"/>
      <c r="D2" s="925"/>
      <c r="E2" s="925"/>
      <c r="F2" s="925"/>
      <c r="G2" s="925"/>
      <c r="H2" s="925"/>
      <c r="I2" s="925"/>
      <c r="J2" s="925"/>
      <c r="K2" s="925"/>
    </row>
    <row r="3" spans="1:25" ht="11.25" customHeight="1"/>
    <row r="4" spans="1:25" ht="11.25" customHeight="1">
      <c r="L4" s="711" t="s">
        <v>54</v>
      </c>
      <c r="M4" s="712" t="s">
        <v>31</v>
      </c>
      <c r="N4" s="711"/>
      <c r="O4" s="713"/>
      <c r="P4" s="714"/>
      <c r="Q4" s="714"/>
    </row>
    <row r="5" spans="1:25" ht="10.5" customHeight="1">
      <c r="A5" s="149"/>
      <c r="B5" s="138"/>
      <c r="C5" s="138"/>
      <c r="D5" s="138"/>
      <c r="E5" s="138"/>
      <c r="F5" s="138"/>
      <c r="G5" s="138"/>
      <c r="H5" s="138"/>
      <c r="I5" s="138"/>
      <c r="J5" s="138"/>
      <c r="K5" s="138"/>
      <c r="L5" s="711"/>
      <c r="M5" s="712"/>
      <c r="N5" s="711"/>
      <c r="O5" s="711" t="s">
        <v>55</v>
      </c>
      <c r="P5" s="711" t="s">
        <v>56</v>
      </c>
      <c r="Q5" s="711"/>
      <c r="U5" s="748">
        <v>2020</v>
      </c>
      <c r="V5" s="751">
        <v>2019</v>
      </c>
      <c r="W5" s="728"/>
    </row>
    <row r="6" spans="1:25" ht="10.5" customHeight="1">
      <c r="A6" s="111"/>
      <c r="B6" s="138"/>
      <c r="C6" s="138"/>
      <c r="D6" s="138"/>
      <c r="E6" s="138"/>
      <c r="F6" s="138"/>
      <c r="G6" s="138"/>
      <c r="H6" s="138"/>
      <c r="I6" s="138"/>
      <c r="J6" s="138"/>
      <c r="K6" s="138"/>
      <c r="L6" s="715" t="s">
        <v>406</v>
      </c>
      <c r="M6" s="715" t="s">
        <v>58</v>
      </c>
      <c r="N6" s="716">
        <v>19.605</v>
      </c>
      <c r="O6" s="717">
        <v>12.1902930775</v>
      </c>
      <c r="P6" s="717">
        <v>0.83574611188582026</v>
      </c>
      <c r="Q6" s="717"/>
      <c r="S6" s="748" t="s">
        <v>452</v>
      </c>
      <c r="T6" s="748" t="s">
        <v>406</v>
      </c>
      <c r="U6" s="749">
        <v>0.94767916230502691</v>
      </c>
      <c r="V6" s="750">
        <v>0.93059540596516932</v>
      </c>
      <c r="W6" s="729"/>
      <c r="X6" s="748"/>
      <c r="Y6" s="749"/>
    </row>
    <row r="7" spans="1:25" ht="10.5" customHeight="1">
      <c r="A7" s="136"/>
      <c r="B7" s="138"/>
      <c r="C7" s="138"/>
      <c r="D7" s="138"/>
      <c r="E7" s="138"/>
      <c r="F7" s="138"/>
      <c r="G7" s="138"/>
      <c r="H7" s="138"/>
      <c r="I7" s="138"/>
      <c r="J7" s="138"/>
      <c r="K7" s="138"/>
      <c r="L7" s="715" t="s">
        <v>420</v>
      </c>
      <c r="M7" s="715" t="s">
        <v>58</v>
      </c>
      <c r="N7" s="716">
        <v>20</v>
      </c>
      <c r="O7" s="717">
        <v>11.46072899</v>
      </c>
      <c r="P7" s="717">
        <v>0.77021028158602145</v>
      </c>
      <c r="Q7" s="717"/>
      <c r="T7" s="748" t="s">
        <v>461</v>
      </c>
      <c r="U7" s="749">
        <v>0.88741980139925369</v>
      </c>
      <c r="V7" s="750">
        <v>0</v>
      </c>
      <c r="W7" s="729"/>
      <c r="X7" s="748"/>
      <c r="Y7" s="749"/>
    </row>
    <row r="8" spans="1:25" ht="10.5" customHeight="1">
      <c r="A8" s="136"/>
      <c r="B8" s="138"/>
      <c r="C8" s="138"/>
      <c r="D8" s="138"/>
      <c r="E8" s="138"/>
      <c r="F8" s="138"/>
      <c r="G8" s="138"/>
      <c r="H8" s="138"/>
      <c r="I8" s="138"/>
      <c r="J8" s="138"/>
      <c r="K8" s="138"/>
      <c r="L8" s="715" t="s">
        <v>59</v>
      </c>
      <c r="M8" s="715" t="s">
        <v>58</v>
      </c>
      <c r="N8" s="716">
        <v>15</v>
      </c>
      <c r="O8" s="717">
        <v>11.098966087499999</v>
      </c>
      <c r="P8" s="717">
        <v>0.9945310114247311</v>
      </c>
      <c r="Q8" s="717"/>
      <c r="T8" s="748" t="s">
        <v>59</v>
      </c>
      <c r="U8" s="749">
        <v>1</v>
      </c>
      <c r="V8" s="750">
        <v>1</v>
      </c>
      <c r="W8" s="729"/>
      <c r="X8" s="748"/>
      <c r="Y8" s="749"/>
    </row>
    <row r="9" spans="1:25" ht="10.5" customHeight="1">
      <c r="A9" s="136"/>
      <c r="B9" s="138"/>
      <c r="C9" s="138"/>
      <c r="D9" s="138"/>
      <c r="E9" s="138"/>
      <c r="F9" s="138"/>
      <c r="G9" s="138"/>
      <c r="H9" s="138"/>
      <c r="I9" s="138"/>
      <c r="J9" s="138"/>
      <c r="K9" s="138"/>
      <c r="L9" s="715" t="s">
        <v>461</v>
      </c>
      <c r="M9" s="718" t="s">
        <v>58</v>
      </c>
      <c r="N9" s="716">
        <v>20</v>
      </c>
      <c r="O9" s="717">
        <v>10.366761287500001</v>
      </c>
      <c r="P9" s="717">
        <v>0.69669094674059151</v>
      </c>
      <c r="Q9" s="717"/>
      <c r="T9" s="748" t="s">
        <v>460</v>
      </c>
      <c r="U9" s="749">
        <v>0.73227874455845765</v>
      </c>
      <c r="V9" s="750">
        <v>0</v>
      </c>
      <c r="W9" s="729"/>
      <c r="X9" s="748"/>
      <c r="Y9" s="749"/>
    </row>
    <row r="10" spans="1:25" ht="10.5" customHeight="1">
      <c r="A10" s="136"/>
      <c r="B10" s="138"/>
      <c r="C10" s="138"/>
      <c r="D10" s="138"/>
      <c r="E10" s="138"/>
      <c r="F10" s="138"/>
      <c r="G10" s="138"/>
      <c r="H10" s="138"/>
      <c r="I10" s="138"/>
      <c r="J10" s="138"/>
      <c r="K10" s="138"/>
      <c r="L10" s="715" t="s">
        <v>460</v>
      </c>
      <c r="M10" s="718" t="s">
        <v>58</v>
      </c>
      <c r="N10" s="716">
        <v>20</v>
      </c>
      <c r="O10" s="717">
        <v>7.3958688199999996</v>
      </c>
      <c r="P10" s="717">
        <v>0.49703419489247308</v>
      </c>
      <c r="Q10" s="717"/>
      <c r="T10" s="748" t="s">
        <v>420</v>
      </c>
      <c r="U10" s="749">
        <v>0.67172549538246284</v>
      </c>
      <c r="V10" s="750">
        <v>0.44477633138020833</v>
      </c>
      <c r="W10" s="729"/>
      <c r="X10" s="748"/>
      <c r="Y10" s="749"/>
    </row>
    <row r="11" spans="1:25" ht="10.5" customHeight="1">
      <c r="A11" s="136"/>
      <c r="B11" s="138"/>
      <c r="C11" s="138"/>
      <c r="D11" s="138"/>
      <c r="E11" s="138"/>
      <c r="F11" s="138"/>
      <c r="G11" s="138"/>
      <c r="H11" s="138"/>
      <c r="I11" s="138"/>
      <c r="J11" s="138"/>
      <c r="K11" s="138"/>
      <c r="L11" s="715" t="s">
        <v>463</v>
      </c>
      <c r="M11" s="718" t="s">
        <v>58</v>
      </c>
      <c r="N11" s="716">
        <v>19</v>
      </c>
      <c r="O11" s="717">
        <v>5.9519829350000002</v>
      </c>
      <c r="P11" s="717">
        <v>0.42105142437747595</v>
      </c>
      <c r="Q11" s="717"/>
      <c r="T11" s="748" t="s">
        <v>413</v>
      </c>
      <c r="U11" s="749">
        <v>0.56732998385429001</v>
      </c>
      <c r="V11" s="750">
        <v>0.39096171093838894</v>
      </c>
      <c r="W11" s="729"/>
      <c r="X11" s="748"/>
      <c r="Y11" s="749"/>
    </row>
    <row r="12" spans="1:25" ht="10.5" customHeight="1">
      <c r="A12" s="136"/>
      <c r="B12" s="138"/>
      <c r="C12" s="138"/>
      <c r="D12" s="138"/>
      <c r="E12" s="138"/>
      <c r="F12" s="138"/>
      <c r="G12" s="138"/>
      <c r="H12" s="138"/>
      <c r="I12" s="138"/>
      <c r="J12" s="138"/>
      <c r="K12" s="138"/>
      <c r="L12" s="715" t="s">
        <v>62</v>
      </c>
      <c r="M12" s="715" t="s">
        <v>58</v>
      </c>
      <c r="N12" s="716">
        <v>9.9830000000000005</v>
      </c>
      <c r="O12" s="717">
        <v>5.0867412500000002</v>
      </c>
      <c r="P12" s="717">
        <v>0.68486605320442595</v>
      </c>
      <c r="Q12" s="717"/>
      <c r="T12" s="748" t="s">
        <v>57</v>
      </c>
      <c r="U12" s="749">
        <v>0.56127455365040968</v>
      </c>
      <c r="V12" s="750">
        <v>0.75604112331220064</v>
      </c>
      <c r="W12" s="729"/>
      <c r="X12" s="748"/>
      <c r="Y12" s="749"/>
    </row>
    <row r="13" spans="1:25" ht="10.5" customHeight="1">
      <c r="A13" s="136"/>
      <c r="B13" s="138"/>
      <c r="C13" s="138"/>
      <c r="D13" s="138"/>
      <c r="E13" s="138"/>
      <c r="F13" s="138"/>
      <c r="G13" s="138"/>
      <c r="H13" s="138"/>
      <c r="I13" s="138"/>
      <c r="J13" s="138"/>
      <c r="K13" s="138"/>
      <c r="L13" s="715" t="s">
        <v>63</v>
      </c>
      <c r="M13" s="715" t="s">
        <v>58</v>
      </c>
      <c r="N13" s="716">
        <v>19.899999999999999</v>
      </c>
      <c r="O13" s="717">
        <v>4.5175307350000002</v>
      </c>
      <c r="P13" s="717">
        <v>0.30512311118765878</v>
      </c>
      <c r="Q13" s="717"/>
      <c r="T13" s="748" t="s">
        <v>414</v>
      </c>
      <c r="U13" s="749">
        <v>0.52045236583698562</v>
      </c>
      <c r="V13" s="750">
        <v>0.35923045847156437</v>
      </c>
      <c r="W13" s="729"/>
      <c r="X13" s="748"/>
      <c r="Y13" s="749"/>
    </row>
    <row r="14" spans="1:25" ht="10.5" customHeight="1">
      <c r="A14" s="136"/>
      <c r="B14" s="138"/>
      <c r="C14" s="138"/>
      <c r="D14" s="138"/>
      <c r="E14" s="138"/>
      <c r="F14" s="138"/>
      <c r="G14" s="138"/>
      <c r="H14" s="138"/>
      <c r="I14" s="138"/>
      <c r="J14" s="138"/>
      <c r="K14" s="138"/>
      <c r="L14" s="715" t="s">
        <v>526</v>
      </c>
      <c r="M14" s="715" t="s">
        <v>58</v>
      </c>
      <c r="N14" s="716">
        <v>20</v>
      </c>
      <c r="O14" s="717">
        <v>4.1305157025000003</v>
      </c>
      <c r="P14" s="717">
        <v>0.27758842086693553</v>
      </c>
      <c r="Q14" s="717"/>
      <c r="T14" s="748" t="s">
        <v>415</v>
      </c>
      <c r="U14" s="749">
        <v>0.51606164358946816</v>
      </c>
      <c r="V14" s="750">
        <v>0.29496115484724356</v>
      </c>
      <c r="W14" s="729"/>
      <c r="X14" s="748"/>
      <c r="Y14" s="749"/>
    </row>
    <row r="15" spans="1:25" ht="11.25" customHeight="1">
      <c r="A15" s="136"/>
      <c r="B15" s="138"/>
      <c r="C15" s="138"/>
      <c r="D15" s="138"/>
      <c r="E15" s="138"/>
      <c r="F15" s="138"/>
      <c r="G15" s="138"/>
      <c r="H15" s="138"/>
      <c r="I15" s="138"/>
      <c r="J15" s="138"/>
      <c r="K15" s="138"/>
      <c r="L15" s="715" t="s">
        <v>414</v>
      </c>
      <c r="M15" s="715" t="s">
        <v>58</v>
      </c>
      <c r="N15" s="716">
        <v>20.16</v>
      </c>
      <c r="O15" s="717">
        <v>3.9675468624999999</v>
      </c>
      <c r="P15" s="717">
        <v>0.26452005345008744</v>
      </c>
      <c r="Q15" s="717"/>
      <c r="T15" s="748" t="s">
        <v>463</v>
      </c>
      <c r="U15" s="749">
        <v>0.53204145645129608</v>
      </c>
      <c r="V15" s="750"/>
      <c r="W15" s="729"/>
      <c r="X15" s="748"/>
      <c r="Y15" s="749"/>
    </row>
    <row r="16" spans="1:25" ht="11.25" customHeight="1">
      <c r="A16" s="136"/>
      <c r="B16" s="138"/>
      <c r="C16" s="138"/>
      <c r="D16" s="138"/>
      <c r="E16" s="138"/>
      <c r="F16" s="138"/>
      <c r="G16" s="138"/>
      <c r="H16" s="138"/>
      <c r="I16" s="138"/>
      <c r="J16" s="138"/>
      <c r="K16" s="138"/>
      <c r="L16" s="715" t="s">
        <v>413</v>
      </c>
      <c r="M16" s="715" t="s">
        <v>58</v>
      </c>
      <c r="N16" s="716">
        <v>20.16</v>
      </c>
      <c r="O16" s="717">
        <v>3.8795359575000004</v>
      </c>
      <c r="P16" s="717">
        <v>0.25865228424619174</v>
      </c>
      <c r="Q16" s="717"/>
      <c r="T16" s="748" t="s">
        <v>61</v>
      </c>
      <c r="U16" s="749">
        <v>0.51247164051807936</v>
      </c>
      <c r="V16" s="750">
        <v>0.60940878243772889</v>
      </c>
      <c r="W16" s="729"/>
      <c r="X16" s="748"/>
      <c r="Y16" s="749"/>
    </row>
    <row r="17" spans="1:25" ht="11.25" customHeight="1">
      <c r="A17" s="136"/>
      <c r="B17" s="138"/>
      <c r="C17" s="138"/>
      <c r="D17" s="138"/>
      <c r="E17" s="138"/>
      <c r="F17" s="138"/>
      <c r="G17" s="138"/>
      <c r="H17" s="138"/>
      <c r="I17" s="138"/>
      <c r="J17" s="138"/>
      <c r="K17" s="138"/>
      <c r="L17" s="715" t="s">
        <v>66</v>
      </c>
      <c r="M17" s="715" t="s">
        <v>58</v>
      </c>
      <c r="N17" s="716">
        <v>7.7450000000000001</v>
      </c>
      <c r="O17" s="717">
        <v>3.4591920699999998</v>
      </c>
      <c r="P17" s="717">
        <v>0.60031655351701063</v>
      </c>
      <c r="Q17" s="717"/>
      <c r="T17" s="748" t="s">
        <v>63</v>
      </c>
      <c r="U17" s="749">
        <v>0.48074984273044308</v>
      </c>
      <c r="V17" s="750">
        <v>0.54379164858097873</v>
      </c>
      <c r="W17" s="729"/>
      <c r="X17" s="748"/>
      <c r="Y17" s="749"/>
    </row>
    <row r="18" spans="1:25">
      <c r="A18" s="136"/>
      <c r="B18" s="138"/>
      <c r="C18" s="138"/>
      <c r="D18" s="138"/>
      <c r="E18" s="138"/>
      <c r="F18" s="138"/>
      <c r="G18" s="138"/>
      <c r="H18" s="138"/>
      <c r="I18" s="138"/>
      <c r="J18" s="138"/>
      <c r="K18" s="138"/>
      <c r="L18" s="715" t="s">
        <v>57</v>
      </c>
      <c r="M18" s="715" t="s">
        <v>58</v>
      </c>
      <c r="N18" s="716">
        <v>19.966000000000001</v>
      </c>
      <c r="O18" s="717">
        <v>3.3511670174999999</v>
      </c>
      <c r="P18" s="717">
        <v>0.22559635099427089</v>
      </c>
      <c r="Q18" s="717"/>
      <c r="T18" s="748" t="s">
        <v>60</v>
      </c>
      <c r="U18" s="749">
        <v>0.45344449540435738</v>
      </c>
      <c r="V18" s="750">
        <v>0.59764333311890772</v>
      </c>
      <c r="W18" s="729"/>
      <c r="X18" s="748"/>
      <c r="Y18" s="749"/>
    </row>
    <row r="19" spans="1:25">
      <c r="A19" s="136"/>
      <c r="B19" s="138"/>
      <c r="C19" s="138"/>
      <c r="D19" s="138"/>
      <c r="E19" s="138"/>
      <c r="F19" s="138"/>
      <c r="G19" s="138"/>
      <c r="H19" s="138"/>
      <c r="I19" s="138"/>
      <c r="J19" s="138"/>
      <c r="K19" s="138"/>
      <c r="L19" s="715" t="s">
        <v>415</v>
      </c>
      <c r="M19" s="715" t="s">
        <v>58</v>
      </c>
      <c r="N19" s="716">
        <v>20.16</v>
      </c>
      <c r="O19" s="717">
        <v>3.0001448125000003</v>
      </c>
      <c r="P19" s="717">
        <v>0.20002245560382531</v>
      </c>
      <c r="Q19" s="717"/>
      <c r="T19" s="748" t="s">
        <v>62</v>
      </c>
      <c r="U19" s="749">
        <v>0.89209295612865258</v>
      </c>
      <c r="V19" s="750">
        <v>0.81107017733540221</v>
      </c>
      <c r="W19" s="729"/>
      <c r="X19" s="748"/>
      <c r="Y19" s="749"/>
    </row>
    <row r="20" spans="1:25">
      <c r="A20" s="136"/>
      <c r="B20" s="138"/>
      <c r="C20" s="138"/>
      <c r="D20" s="138"/>
      <c r="E20" s="138"/>
      <c r="F20" s="138"/>
      <c r="G20" s="138"/>
      <c r="H20" s="138"/>
      <c r="I20" s="138"/>
      <c r="J20" s="138"/>
      <c r="K20" s="138"/>
      <c r="L20" s="715" t="s">
        <v>459</v>
      </c>
      <c r="M20" s="715" t="s">
        <v>58</v>
      </c>
      <c r="N20" s="716">
        <v>8.4</v>
      </c>
      <c r="O20" s="717">
        <v>2.7181955375000002</v>
      </c>
      <c r="P20" s="717">
        <v>0.43493912210381463</v>
      </c>
      <c r="Q20" s="717"/>
      <c r="T20" s="748" t="s">
        <v>424</v>
      </c>
      <c r="U20" s="749">
        <v>0.60997610489220566</v>
      </c>
      <c r="V20" s="750">
        <v>0</v>
      </c>
      <c r="W20" s="729"/>
      <c r="X20" s="748"/>
      <c r="Y20" s="749"/>
    </row>
    <row r="21" spans="1:25">
      <c r="A21" s="136"/>
      <c r="B21" s="138"/>
      <c r="C21" s="138"/>
      <c r="D21" s="138"/>
      <c r="E21" s="138"/>
      <c r="F21" s="138"/>
      <c r="G21" s="138"/>
      <c r="H21" s="138"/>
      <c r="I21" s="138"/>
      <c r="J21" s="138"/>
      <c r="K21" s="138"/>
      <c r="L21" s="715" t="s">
        <v>424</v>
      </c>
      <c r="M21" s="715" t="s">
        <v>58</v>
      </c>
      <c r="N21" s="716">
        <v>13.2</v>
      </c>
      <c r="O21" s="717">
        <v>2.345134195</v>
      </c>
      <c r="P21" s="717">
        <v>0.2387925825798306</v>
      </c>
      <c r="Q21" s="717"/>
      <c r="T21" s="748" t="s">
        <v>66</v>
      </c>
      <c r="U21" s="749">
        <v>0.87233846374968294</v>
      </c>
      <c r="V21" s="750">
        <v>0.80093391477213427</v>
      </c>
      <c r="W21" s="729"/>
      <c r="X21" s="748"/>
      <c r="Y21" s="749"/>
    </row>
    <row r="22" spans="1:25">
      <c r="A22" s="136"/>
      <c r="B22" s="138"/>
      <c r="C22" s="138"/>
      <c r="D22" s="138"/>
      <c r="E22" s="138"/>
      <c r="F22" s="138"/>
      <c r="G22" s="138"/>
      <c r="H22" s="138"/>
      <c r="I22" s="138"/>
      <c r="J22" s="138"/>
      <c r="K22" s="138"/>
      <c r="L22" s="715" t="s">
        <v>60</v>
      </c>
      <c r="M22" s="715" t="s">
        <v>58</v>
      </c>
      <c r="N22" s="716">
        <v>19.966999999999999</v>
      </c>
      <c r="O22" s="717">
        <v>2.2691413100000002</v>
      </c>
      <c r="P22" s="717">
        <v>0.15274809012828158</v>
      </c>
      <c r="Q22" s="717"/>
      <c r="T22" s="748" t="s">
        <v>69</v>
      </c>
      <c r="U22" s="749">
        <v>0.640305501033407</v>
      </c>
      <c r="V22" s="750">
        <v>0.58054379855566951</v>
      </c>
      <c r="W22" s="729"/>
      <c r="X22" s="748"/>
      <c r="Y22" s="749"/>
    </row>
    <row r="23" spans="1:25">
      <c r="A23" s="136"/>
      <c r="B23" s="138"/>
      <c r="C23" s="138"/>
      <c r="D23" s="138"/>
      <c r="E23" s="138"/>
      <c r="F23" s="138"/>
      <c r="G23" s="138"/>
      <c r="H23" s="138"/>
      <c r="I23" s="138"/>
      <c r="J23" s="138"/>
      <c r="K23" s="138"/>
      <c r="L23" s="715" t="s">
        <v>70</v>
      </c>
      <c r="M23" s="715" t="s">
        <v>58</v>
      </c>
      <c r="N23" s="716">
        <v>5.1890000000000001</v>
      </c>
      <c r="O23" s="717">
        <v>2.2056392874999999</v>
      </c>
      <c r="P23" s="717">
        <v>0.57131796778027133</v>
      </c>
      <c r="Q23" s="717"/>
      <c r="T23" s="748" t="s">
        <v>64</v>
      </c>
      <c r="U23" s="749">
        <v>0.52042890441039769</v>
      </c>
      <c r="V23" s="750">
        <v>0.6448278498947615</v>
      </c>
      <c r="W23" s="729"/>
      <c r="X23" s="748"/>
      <c r="Y23" s="749"/>
    </row>
    <row r="24" spans="1:25">
      <c r="A24" s="136"/>
      <c r="B24" s="138"/>
      <c r="C24" s="138"/>
      <c r="D24" s="138"/>
      <c r="E24" s="138"/>
      <c r="F24" s="138"/>
      <c r="G24" s="138"/>
      <c r="H24" s="138"/>
      <c r="I24" s="138"/>
      <c r="J24" s="138"/>
      <c r="K24" s="138"/>
      <c r="L24" s="715" t="s">
        <v>69</v>
      </c>
      <c r="M24" s="715" t="s">
        <v>58</v>
      </c>
      <c r="N24" s="716">
        <v>9.5660000000000007</v>
      </c>
      <c r="O24" s="717">
        <v>2.0425044925</v>
      </c>
      <c r="P24" s="717">
        <v>0.28698533736474835</v>
      </c>
      <c r="Q24" s="717"/>
      <c r="T24" s="748" t="s">
        <v>65</v>
      </c>
      <c r="U24" s="749">
        <v>0.52017322963229551</v>
      </c>
      <c r="V24" s="750">
        <v>0.63399099681347981</v>
      </c>
      <c r="W24" s="729"/>
      <c r="X24" s="748"/>
      <c r="Y24" s="749"/>
    </row>
    <row r="25" spans="1:25">
      <c r="A25" s="136"/>
      <c r="B25" s="138"/>
      <c r="C25" s="138"/>
      <c r="D25" s="138"/>
      <c r="E25" s="138"/>
      <c r="F25" s="138"/>
      <c r="G25" s="138"/>
      <c r="H25" s="138"/>
      <c r="I25" s="138"/>
      <c r="J25" s="138"/>
      <c r="K25" s="138"/>
      <c r="L25" s="715" t="s">
        <v>67</v>
      </c>
      <c r="M25" s="715" t="s">
        <v>58</v>
      </c>
      <c r="N25" s="716">
        <v>7.4240000000000004</v>
      </c>
      <c r="O25" s="717">
        <v>1.9336297199999999</v>
      </c>
      <c r="P25" s="717">
        <v>0.35007606107480532</v>
      </c>
      <c r="Q25" s="717"/>
      <c r="T25" s="748" t="s">
        <v>70</v>
      </c>
      <c r="U25" s="749">
        <v>0.77080154728381589</v>
      </c>
      <c r="V25" s="750">
        <v>0.70628188572508099</v>
      </c>
      <c r="W25" s="729"/>
      <c r="X25" s="748"/>
      <c r="Y25" s="749"/>
    </row>
    <row r="26" spans="1:25">
      <c r="A26" s="136"/>
      <c r="B26" s="138"/>
      <c r="C26" s="138"/>
      <c r="D26" s="138"/>
      <c r="E26" s="138"/>
      <c r="F26" s="138"/>
      <c r="G26" s="138"/>
      <c r="H26" s="138"/>
      <c r="I26" s="138"/>
      <c r="J26" s="138"/>
      <c r="K26" s="138"/>
      <c r="L26" s="715" t="s">
        <v>74</v>
      </c>
      <c r="M26" s="715" t="s">
        <v>58</v>
      </c>
      <c r="N26" s="716">
        <v>3.964</v>
      </c>
      <c r="O26" s="717">
        <v>1.778</v>
      </c>
      <c r="P26" s="717">
        <v>0.60287208532708358</v>
      </c>
      <c r="Q26" s="717"/>
      <c r="T26" s="748" t="s">
        <v>71</v>
      </c>
      <c r="U26" s="749">
        <v>0.62300353139505316</v>
      </c>
      <c r="V26" s="750">
        <v>0.58791611392514798</v>
      </c>
      <c r="W26" s="729"/>
      <c r="X26" s="748"/>
      <c r="Y26" s="749"/>
    </row>
    <row r="27" spans="1:25">
      <c r="A27" s="136"/>
      <c r="B27" s="138"/>
      <c r="C27" s="138"/>
      <c r="D27" s="138"/>
      <c r="E27" s="138"/>
      <c r="F27" s="138"/>
      <c r="G27" s="138"/>
      <c r="H27" s="138"/>
      <c r="I27" s="138"/>
      <c r="J27" s="138"/>
      <c r="K27" s="138"/>
      <c r="L27" s="715" t="s">
        <v>73</v>
      </c>
      <c r="M27" s="715" t="s">
        <v>58</v>
      </c>
      <c r="N27" s="716">
        <v>3.91621</v>
      </c>
      <c r="O27" s="717">
        <v>1.752275695</v>
      </c>
      <c r="P27" s="717">
        <v>0.60140014643574224</v>
      </c>
      <c r="Q27" s="717"/>
      <c r="T27" s="748" t="s">
        <v>67</v>
      </c>
      <c r="U27" s="749">
        <v>0.4694924762049798</v>
      </c>
      <c r="V27" s="750">
        <v>0.5262232999652634</v>
      </c>
      <c r="W27" s="729"/>
      <c r="X27" s="748"/>
      <c r="Y27" s="749"/>
    </row>
    <row r="28" spans="1:25">
      <c r="A28" s="136"/>
      <c r="B28" s="138"/>
      <c r="C28" s="138"/>
      <c r="D28" s="138"/>
      <c r="E28" s="138"/>
      <c r="F28" s="138"/>
      <c r="G28" s="138"/>
      <c r="H28" s="138"/>
      <c r="I28" s="138"/>
      <c r="J28" s="138"/>
      <c r="K28" s="138"/>
      <c r="L28" s="715" t="s">
        <v>61</v>
      </c>
      <c r="M28" s="715" t="s">
        <v>58</v>
      </c>
      <c r="N28" s="716">
        <v>19.1995</v>
      </c>
      <c r="O28" s="717">
        <v>1.6509693974999999</v>
      </c>
      <c r="P28" s="717">
        <v>0.11557826449193485</v>
      </c>
      <c r="Q28" s="717"/>
      <c r="T28" s="748" t="s">
        <v>74</v>
      </c>
      <c r="U28" s="749">
        <v>0.77474948667359478</v>
      </c>
      <c r="V28" s="750">
        <v>0.72162373033952276</v>
      </c>
      <c r="W28" s="729"/>
      <c r="X28" s="748"/>
      <c r="Y28" s="749"/>
    </row>
    <row r="29" spans="1:25">
      <c r="A29" s="136"/>
      <c r="B29" s="138"/>
      <c r="C29" s="138"/>
      <c r="D29" s="138"/>
      <c r="E29" s="138"/>
      <c r="F29" s="138"/>
      <c r="G29" s="138"/>
      <c r="H29" s="138"/>
      <c r="I29" s="138"/>
      <c r="J29" s="138"/>
      <c r="K29" s="138"/>
      <c r="L29" s="715" t="s">
        <v>68</v>
      </c>
      <c r="M29" s="715" t="s">
        <v>58</v>
      </c>
      <c r="N29" s="716">
        <v>6.9580000000000002</v>
      </c>
      <c r="O29" s="717">
        <v>1.6165722924999999</v>
      </c>
      <c r="P29" s="717">
        <v>0.31227539826130357</v>
      </c>
      <c r="Q29" s="717"/>
      <c r="T29" s="748" t="s">
        <v>68</v>
      </c>
      <c r="U29" s="749">
        <v>0.44041304083384447</v>
      </c>
      <c r="V29" s="750">
        <v>0.50303419712744668</v>
      </c>
      <c r="W29" s="729"/>
      <c r="X29" s="748"/>
      <c r="Y29" s="749"/>
    </row>
    <row r="30" spans="1:25">
      <c r="A30" s="136"/>
      <c r="B30" s="138"/>
      <c r="C30" s="138"/>
      <c r="D30" s="138"/>
      <c r="E30" s="138"/>
      <c r="F30" s="138"/>
      <c r="G30" s="138"/>
      <c r="H30" s="138"/>
      <c r="I30" s="138"/>
      <c r="J30" s="138"/>
      <c r="K30" s="138"/>
      <c r="L30" s="710" t="s">
        <v>64</v>
      </c>
      <c r="M30" s="715" t="s">
        <v>58</v>
      </c>
      <c r="N30" s="716">
        <v>10.222</v>
      </c>
      <c r="O30" s="717">
        <v>1.1925310174999999</v>
      </c>
      <c r="P30" s="717">
        <v>0.15680534834996412</v>
      </c>
      <c r="Q30" s="717"/>
      <c r="T30" s="748" t="s">
        <v>73</v>
      </c>
      <c r="U30" s="749">
        <v>0.72318298280850046</v>
      </c>
      <c r="V30" s="750">
        <v>0.73332706256778946</v>
      </c>
      <c r="W30" s="729"/>
      <c r="X30" s="748"/>
      <c r="Y30" s="749"/>
    </row>
    <row r="31" spans="1:25">
      <c r="A31" s="136"/>
      <c r="B31" s="138"/>
      <c r="C31" s="138"/>
      <c r="D31" s="138"/>
      <c r="E31" s="138"/>
      <c r="F31" s="138"/>
      <c r="G31" s="138"/>
      <c r="H31" s="138"/>
      <c r="I31" s="138"/>
      <c r="J31" s="138"/>
      <c r="K31" s="138"/>
      <c r="L31" s="715" t="s">
        <v>71</v>
      </c>
      <c r="M31" s="715" t="s">
        <v>58</v>
      </c>
      <c r="N31" s="716">
        <v>5.67</v>
      </c>
      <c r="O31" s="717">
        <v>0.87772499999999998</v>
      </c>
      <c r="P31" s="717">
        <v>0.20806664959890769</v>
      </c>
      <c r="Q31" s="717"/>
      <c r="T31" s="748" t="s">
        <v>459</v>
      </c>
      <c r="U31" s="749">
        <v>0.28117740212627335</v>
      </c>
      <c r="V31" s="750">
        <v>0</v>
      </c>
      <c r="W31" s="729"/>
      <c r="X31" s="748"/>
      <c r="Y31" s="749"/>
    </row>
    <row r="32" spans="1:25">
      <c r="A32" s="136"/>
      <c r="B32" s="138"/>
      <c r="C32" s="138"/>
      <c r="D32" s="138"/>
      <c r="E32" s="138"/>
      <c r="F32" s="138"/>
      <c r="G32" s="138"/>
      <c r="H32" s="138"/>
      <c r="I32" s="138"/>
      <c r="J32" s="138"/>
      <c r="K32" s="138"/>
      <c r="L32" s="715" t="s">
        <v>65</v>
      </c>
      <c r="M32" s="715" t="s">
        <v>58</v>
      </c>
      <c r="N32" s="716">
        <v>9.85</v>
      </c>
      <c r="O32" s="717">
        <v>0.85005789749999994</v>
      </c>
      <c r="P32" s="717">
        <v>0.115995019035533</v>
      </c>
      <c r="Q32" s="717"/>
      <c r="T32" s="748" t="s">
        <v>526</v>
      </c>
      <c r="U32" s="749">
        <v>0.22277980535279807</v>
      </c>
      <c r="V32" s="750"/>
      <c r="W32" s="729"/>
      <c r="X32" s="748"/>
      <c r="Y32" s="749"/>
    </row>
    <row r="33" spans="1:25">
      <c r="A33" s="136"/>
      <c r="B33" s="138"/>
      <c r="C33" s="138"/>
      <c r="D33" s="138"/>
      <c r="E33" s="138"/>
      <c r="F33" s="138"/>
      <c r="G33" s="138"/>
      <c r="H33" s="138"/>
      <c r="I33" s="138"/>
      <c r="J33" s="138"/>
      <c r="K33" s="138"/>
      <c r="L33" s="715" t="s">
        <v>72</v>
      </c>
      <c r="M33" s="715" t="s">
        <v>58</v>
      </c>
      <c r="N33" s="716">
        <v>3.48</v>
      </c>
      <c r="O33" s="717">
        <v>0.78010133500000001</v>
      </c>
      <c r="P33" s="717">
        <v>0.30129979877332841</v>
      </c>
      <c r="Q33" s="717"/>
      <c r="T33" s="748" t="s">
        <v>72</v>
      </c>
      <c r="U33" s="749">
        <v>0.49714381504832156</v>
      </c>
      <c r="V33" s="748">
        <v>0.7492302601155445</v>
      </c>
      <c r="W33" s="729"/>
      <c r="X33" s="748"/>
      <c r="Y33" s="749"/>
    </row>
    <row r="34" spans="1:25">
      <c r="B34" s="138"/>
      <c r="C34" s="138"/>
      <c r="D34" s="138"/>
      <c r="E34" s="138"/>
      <c r="F34" s="138"/>
      <c r="G34" s="138"/>
      <c r="H34" s="138"/>
      <c r="I34" s="138"/>
      <c r="J34" s="138"/>
      <c r="K34" s="138"/>
      <c r="L34" s="715" t="s">
        <v>416</v>
      </c>
      <c r="M34" s="715" t="s">
        <v>58</v>
      </c>
      <c r="N34" s="716">
        <v>0.7</v>
      </c>
      <c r="O34" s="717">
        <v>0.41760679499999998</v>
      </c>
      <c r="P34" s="717">
        <v>0.80185636520737325</v>
      </c>
      <c r="Q34" s="717"/>
      <c r="T34" s="748" t="s">
        <v>416</v>
      </c>
      <c r="U34" s="749">
        <v>0.76838950026652464</v>
      </c>
      <c r="V34" s="750">
        <v>0.65441580421146972</v>
      </c>
      <c r="W34" s="729"/>
      <c r="X34" s="748"/>
      <c r="Y34" s="749"/>
    </row>
    <row r="35" spans="1:25">
      <c r="A35" s="136"/>
      <c r="B35" s="138"/>
      <c r="C35" s="138"/>
      <c r="D35" s="138"/>
      <c r="E35" s="138"/>
      <c r="F35" s="138"/>
      <c r="G35" s="138"/>
      <c r="H35" s="138"/>
      <c r="I35" s="138"/>
      <c r="J35" s="138"/>
      <c r="K35" s="138"/>
      <c r="L35" s="715" t="s">
        <v>75</v>
      </c>
      <c r="M35" s="715" t="s">
        <v>58</v>
      </c>
      <c r="N35" s="716">
        <v>1.714</v>
      </c>
      <c r="O35" s="717">
        <v>0.313634945</v>
      </c>
      <c r="P35" s="717">
        <v>0.24594652592188307</v>
      </c>
      <c r="Q35" s="717"/>
      <c r="T35" s="748" t="s">
        <v>75</v>
      </c>
      <c r="U35" s="749">
        <v>0.30650782315813002</v>
      </c>
      <c r="V35" s="750">
        <v>0.1608969420770478</v>
      </c>
      <c r="W35" s="729"/>
      <c r="X35" s="748"/>
      <c r="Y35" s="749"/>
    </row>
    <row r="36" spans="1:25">
      <c r="A36" s="136"/>
      <c r="B36" s="138"/>
      <c r="C36" s="138"/>
      <c r="D36" s="138"/>
      <c r="E36" s="138"/>
      <c r="F36" s="138"/>
      <c r="G36" s="138"/>
      <c r="H36" s="138"/>
      <c r="I36" s="138"/>
      <c r="J36" s="138"/>
      <c r="K36" s="138"/>
      <c r="L36" s="715" t="s">
        <v>426</v>
      </c>
      <c r="M36" s="715" t="s">
        <v>217</v>
      </c>
      <c r="N36" s="716">
        <v>132.30000000000001</v>
      </c>
      <c r="O36" s="717">
        <v>51.766810647500002</v>
      </c>
      <c r="P36" s="717">
        <v>0.52591871934406975</v>
      </c>
      <c r="Q36" s="717"/>
      <c r="S36" s="748" t="s">
        <v>445</v>
      </c>
      <c r="T36" s="748" t="s">
        <v>426</v>
      </c>
      <c r="U36" s="749">
        <v>0.53655190315899726</v>
      </c>
      <c r="V36" s="750">
        <v>0.5974420097030686</v>
      </c>
      <c r="W36" s="729"/>
      <c r="X36" s="748"/>
      <c r="Y36" s="749"/>
    </row>
    <row r="37" spans="1:25">
      <c r="A37" s="136"/>
      <c r="B37" s="138"/>
      <c r="C37" s="138"/>
      <c r="D37" s="138"/>
      <c r="E37" s="138"/>
      <c r="F37" s="138"/>
      <c r="G37" s="138"/>
      <c r="H37" s="138"/>
      <c r="I37" s="138"/>
      <c r="J37" s="138"/>
      <c r="K37" s="138"/>
      <c r="L37" s="715" t="s">
        <v>76</v>
      </c>
      <c r="M37" s="715" t="s">
        <v>217</v>
      </c>
      <c r="N37" s="716">
        <v>97.15</v>
      </c>
      <c r="O37" s="717">
        <v>43.152437152499999</v>
      </c>
      <c r="P37" s="717">
        <v>0.5970209734489399</v>
      </c>
      <c r="Q37" s="717"/>
      <c r="T37" s="748" t="s">
        <v>76</v>
      </c>
      <c r="U37" s="749">
        <v>0.60299022418466075</v>
      </c>
      <c r="V37" s="750">
        <v>0.5447542395555004</v>
      </c>
      <c r="W37" s="729"/>
      <c r="X37" s="748"/>
      <c r="Y37" s="749"/>
    </row>
    <row r="38" spans="1:25" ht="11.25" customHeight="1">
      <c r="A38" s="136"/>
      <c r="B38" s="138"/>
      <c r="C38" s="138"/>
      <c r="D38" s="138"/>
      <c r="E38" s="138"/>
      <c r="F38" s="138"/>
      <c r="G38" s="138"/>
      <c r="H38" s="138"/>
      <c r="I38" s="138"/>
      <c r="J38" s="138"/>
      <c r="K38" s="138"/>
      <c r="L38" s="715" t="s">
        <v>77</v>
      </c>
      <c r="M38" s="715" t="s">
        <v>217</v>
      </c>
      <c r="N38" s="716">
        <v>83.15</v>
      </c>
      <c r="O38" s="717">
        <v>34.156346864999996</v>
      </c>
      <c r="P38" s="717">
        <v>0.55212349208581457</v>
      </c>
      <c r="Q38" s="719"/>
      <c r="T38" s="748" t="s">
        <v>77</v>
      </c>
      <c r="U38" s="749">
        <v>0.49906414191445053</v>
      </c>
      <c r="V38" s="750">
        <v>0.38732725632994386</v>
      </c>
      <c r="W38" s="729"/>
      <c r="X38" s="748"/>
      <c r="Y38" s="749"/>
    </row>
    <row r="39" spans="1:25">
      <c r="A39" s="136"/>
      <c r="B39" s="138"/>
      <c r="C39" s="138"/>
      <c r="D39" s="138"/>
      <c r="E39" s="138"/>
      <c r="F39" s="138"/>
      <c r="G39" s="138"/>
      <c r="H39" s="138"/>
      <c r="I39" s="138"/>
      <c r="J39" s="138"/>
      <c r="K39" s="138"/>
      <c r="L39" s="715" t="s">
        <v>79</v>
      </c>
      <c r="M39" s="715" t="s">
        <v>217</v>
      </c>
      <c r="N39" s="716">
        <v>30.86</v>
      </c>
      <c r="O39" s="717">
        <v>14.245757960000001</v>
      </c>
      <c r="P39" s="717">
        <v>0.62046416525550707</v>
      </c>
      <c r="T39" s="748" t="s">
        <v>78</v>
      </c>
      <c r="U39" s="749">
        <v>0.60360213764186865</v>
      </c>
      <c r="V39" s="750">
        <v>0.52811260096018897</v>
      </c>
      <c r="W39" s="729"/>
      <c r="X39" s="748"/>
      <c r="Y39" s="749"/>
    </row>
    <row r="40" spans="1:25">
      <c r="A40" s="136"/>
      <c r="B40" s="138"/>
      <c r="C40" s="138"/>
      <c r="D40" s="138"/>
      <c r="E40" s="138"/>
      <c r="F40" s="138"/>
      <c r="G40" s="138"/>
      <c r="H40" s="138"/>
      <c r="I40" s="138"/>
      <c r="J40" s="138"/>
      <c r="K40" s="138"/>
      <c r="L40" s="715" t="s">
        <v>78</v>
      </c>
      <c r="M40" s="715" t="s">
        <v>217</v>
      </c>
      <c r="N40" s="716">
        <v>32</v>
      </c>
      <c r="O40" s="717">
        <v>13.346533427500001</v>
      </c>
      <c r="P40" s="717">
        <v>0.56059028173303094</v>
      </c>
      <c r="T40" s="748" t="s">
        <v>79</v>
      </c>
      <c r="U40" s="749">
        <v>0.505108543236507</v>
      </c>
      <c r="V40" s="750">
        <v>0.45235614839463983</v>
      </c>
      <c r="W40" s="729"/>
      <c r="X40" s="748"/>
      <c r="Y40" s="749"/>
    </row>
    <row r="41" spans="1:25">
      <c r="A41" s="136"/>
      <c r="B41" s="138"/>
      <c r="C41" s="138"/>
      <c r="D41" s="138"/>
      <c r="E41" s="138"/>
      <c r="F41" s="138"/>
      <c r="G41" s="138"/>
      <c r="H41" s="138"/>
      <c r="I41" s="138"/>
      <c r="J41" s="138"/>
      <c r="K41" s="138"/>
      <c r="L41" s="715" t="s">
        <v>427</v>
      </c>
      <c r="M41" s="715" t="s">
        <v>80</v>
      </c>
      <c r="N41" s="716">
        <v>144.47999999999999</v>
      </c>
      <c r="O41" s="717">
        <v>46.124559872500001</v>
      </c>
      <c r="P41" s="717">
        <v>0.42909313519321057</v>
      </c>
      <c r="S41" s="748" t="s">
        <v>437</v>
      </c>
      <c r="T41" s="748" t="s">
        <v>427</v>
      </c>
      <c r="U41" s="749">
        <v>0.33928416751806445</v>
      </c>
      <c r="V41" s="750">
        <v>0.29926649614142126</v>
      </c>
      <c r="W41" s="729"/>
      <c r="X41" s="748"/>
      <c r="Y41" s="749"/>
    </row>
    <row r="42" spans="1:25">
      <c r="A42" s="136"/>
      <c r="B42" s="138"/>
      <c r="C42" s="138"/>
      <c r="D42" s="138"/>
      <c r="E42" s="138"/>
      <c r="F42" s="138"/>
      <c r="G42" s="138"/>
      <c r="H42" s="138"/>
      <c r="I42" s="138"/>
      <c r="J42" s="138"/>
      <c r="K42" s="138"/>
      <c r="L42" s="715" t="s">
        <v>428</v>
      </c>
      <c r="M42" s="715" t="s">
        <v>80</v>
      </c>
      <c r="N42" s="716">
        <v>44.54</v>
      </c>
      <c r="O42" s="717">
        <v>11.430280482500001</v>
      </c>
      <c r="P42" s="717">
        <v>0.34493220068284636</v>
      </c>
      <c r="T42" s="748" t="s">
        <v>428</v>
      </c>
      <c r="U42" s="749">
        <v>0.26556768241890005</v>
      </c>
      <c r="V42" s="750">
        <v>0.26852780017541367</v>
      </c>
      <c r="W42" s="729"/>
      <c r="X42" s="748"/>
      <c r="Y42" s="749"/>
    </row>
    <row r="43" spans="1:25" ht="36" customHeight="1">
      <c r="A43" s="922"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noviembre 2020.
Nota: Son consideradas las centrales con operación comercial</v>
      </c>
      <c r="B43" s="922"/>
      <c r="C43" s="922"/>
      <c r="D43" s="922"/>
      <c r="E43" s="922"/>
      <c r="F43" s="922"/>
      <c r="G43" s="922"/>
      <c r="H43" s="922"/>
      <c r="I43" s="922"/>
      <c r="J43" s="922"/>
      <c r="K43" s="922"/>
      <c r="L43" s="715" t="s">
        <v>232</v>
      </c>
      <c r="M43" s="715" t="s">
        <v>80</v>
      </c>
      <c r="N43" s="716">
        <v>20</v>
      </c>
      <c r="O43" s="717">
        <v>5.8455621774999997</v>
      </c>
      <c r="P43" s="717">
        <v>0.39284692053091397</v>
      </c>
      <c r="T43" s="748" t="s">
        <v>232</v>
      </c>
      <c r="U43" s="749">
        <v>0.31209721997823381</v>
      </c>
      <c r="V43" s="750">
        <v>0.29341072397392715</v>
      </c>
      <c r="W43" s="729"/>
      <c r="X43" s="748"/>
      <c r="Y43" s="749"/>
    </row>
    <row r="44" spans="1:25" ht="18" customHeight="1">
      <c r="A44" s="136"/>
      <c r="B44" s="138"/>
      <c r="C44" s="138"/>
      <c r="D44" s="138"/>
      <c r="E44" s="138"/>
      <c r="F44" s="138"/>
      <c r="G44" s="138"/>
      <c r="H44" s="138"/>
      <c r="I44" s="138"/>
      <c r="J44" s="138"/>
      <c r="K44" s="138"/>
      <c r="L44" s="715" t="s">
        <v>231</v>
      </c>
      <c r="M44" s="715" t="s">
        <v>80</v>
      </c>
      <c r="N44" s="716">
        <v>20</v>
      </c>
      <c r="O44" s="717">
        <v>5.4537806250000003</v>
      </c>
      <c r="P44" s="717">
        <v>0.36651751512096775</v>
      </c>
      <c r="T44" s="748" t="s">
        <v>231</v>
      </c>
      <c r="U44" s="749">
        <v>0.27449104581778611</v>
      </c>
      <c r="V44" s="750">
        <v>0.27060434385915666</v>
      </c>
      <c r="W44" s="729"/>
      <c r="X44" s="748"/>
      <c r="Y44" s="749"/>
    </row>
    <row r="45" spans="1:25" ht="12">
      <c r="A45" s="136"/>
      <c r="B45" s="138"/>
      <c r="C45" s="926" t="str">
        <f>"Factor de planta de las centrales RER  Acumulado al "&amp;'1. Resumen'!Q7&amp;" de "&amp;'1. Resumen'!Q4</f>
        <v>Factor de planta de las centrales RER  Acumulado al 30 de noviembre</v>
      </c>
      <c r="D45" s="926"/>
      <c r="E45" s="926"/>
      <c r="F45" s="926"/>
      <c r="G45" s="926"/>
      <c r="H45" s="926"/>
      <c r="I45" s="926"/>
      <c r="J45" s="138"/>
      <c r="K45" s="138"/>
      <c r="L45" s="715" t="s">
        <v>81</v>
      </c>
      <c r="M45" s="715" t="s">
        <v>80</v>
      </c>
      <c r="N45" s="716">
        <v>16</v>
      </c>
      <c r="O45" s="717">
        <v>4.9043414400000005</v>
      </c>
      <c r="P45" s="717">
        <v>0.41199104838709677</v>
      </c>
      <c r="T45" s="748" t="s">
        <v>81</v>
      </c>
      <c r="U45" s="749">
        <v>0.33532084989116917</v>
      </c>
      <c r="V45" s="750">
        <v>0.3371966149926709</v>
      </c>
      <c r="W45" s="729"/>
      <c r="X45" s="748"/>
      <c r="Y45" s="749"/>
    </row>
    <row r="46" spans="1:25" ht="9.75" customHeight="1">
      <c r="A46" s="136"/>
      <c r="B46" s="138"/>
      <c r="C46" s="138"/>
      <c r="D46" s="138"/>
      <c r="E46" s="138"/>
      <c r="F46" s="138"/>
      <c r="G46" s="138"/>
      <c r="H46" s="138"/>
      <c r="I46" s="138"/>
      <c r="J46" s="138"/>
      <c r="K46" s="138"/>
      <c r="L46" s="715" t="s">
        <v>233</v>
      </c>
      <c r="M46" s="715" t="s">
        <v>80</v>
      </c>
      <c r="N46" s="716">
        <v>20</v>
      </c>
      <c r="O46" s="717">
        <v>3.9243125000000001</v>
      </c>
      <c r="P46" s="717">
        <v>0.26373067876344086</v>
      </c>
      <c r="T46" s="748" t="s">
        <v>233</v>
      </c>
      <c r="U46" s="749">
        <v>0.24433041106965173</v>
      </c>
      <c r="V46" s="750">
        <v>0.25173126503243509</v>
      </c>
      <c r="W46" s="729"/>
      <c r="X46" s="748"/>
      <c r="Y46" s="749"/>
    </row>
    <row r="47" spans="1:25" ht="9.75" customHeight="1">
      <c r="A47" s="136"/>
      <c r="B47" s="138"/>
      <c r="C47" s="138"/>
      <c r="D47" s="138"/>
      <c r="E47" s="138"/>
      <c r="F47" s="138"/>
      <c r="G47" s="138"/>
      <c r="H47" s="138"/>
      <c r="I47" s="138"/>
      <c r="J47" s="138"/>
      <c r="K47" s="138"/>
      <c r="L47" s="715" t="s">
        <v>82</v>
      </c>
      <c r="M47" s="715" t="s">
        <v>80</v>
      </c>
      <c r="N47" s="716">
        <v>20</v>
      </c>
      <c r="O47" s="717">
        <v>3.8283818350000001</v>
      </c>
      <c r="P47" s="717">
        <v>0.2572837254704301</v>
      </c>
      <c r="T47" s="748" t="s">
        <v>82</v>
      </c>
      <c r="U47" s="749">
        <v>0.23783256567164182</v>
      </c>
      <c r="V47" s="750">
        <v>0.23309317031561877</v>
      </c>
      <c r="X47" s="748"/>
      <c r="Y47" s="749"/>
    </row>
    <row r="48" spans="1:25" ht="9.75" customHeight="1">
      <c r="A48" s="136"/>
      <c r="B48" s="138"/>
      <c r="C48" s="138"/>
      <c r="D48" s="138"/>
      <c r="E48" s="138"/>
      <c r="F48" s="138"/>
      <c r="G48" s="138"/>
      <c r="H48" s="138"/>
      <c r="I48" s="138"/>
      <c r="J48" s="138"/>
      <c r="K48" s="138"/>
      <c r="L48" s="715" t="s">
        <v>83</v>
      </c>
      <c r="M48" s="715" t="s">
        <v>403</v>
      </c>
      <c r="N48" s="716">
        <v>12.74105</v>
      </c>
      <c r="O48" s="717">
        <v>9.7382155049999994</v>
      </c>
      <c r="P48" s="717">
        <v>1.0273093139637173</v>
      </c>
      <c r="S48" s="748" t="s">
        <v>438</v>
      </c>
      <c r="T48" s="748" t="s">
        <v>83</v>
      </c>
      <c r="U48" s="749">
        <v>0.81676581227997314</v>
      </c>
      <c r="V48" s="750">
        <v>0.811862816733528</v>
      </c>
      <c r="X48" s="748"/>
      <c r="Y48" s="749"/>
    </row>
    <row r="49" spans="1:25" ht="9.75" customHeight="1">
      <c r="A49" s="136"/>
      <c r="B49" s="138"/>
      <c r="C49" s="138"/>
      <c r="D49" s="138"/>
      <c r="E49" s="138"/>
      <c r="F49" s="138"/>
      <c r="G49" s="138"/>
      <c r="H49" s="138"/>
      <c r="I49" s="138"/>
      <c r="J49" s="138"/>
      <c r="K49" s="138"/>
      <c r="L49" s="715" t="s">
        <v>84</v>
      </c>
      <c r="M49" s="715" t="s">
        <v>403</v>
      </c>
      <c r="N49" s="716">
        <v>4.2625000000000002</v>
      </c>
      <c r="O49" s="717">
        <v>2.7067275349999997</v>
      </c>
      <c r="P49" s="717">
        <v>0.85350724781635268</v>
      </c>
      <c r="T49" s="748" t="s">
        <v>84</v>
      </c>
      <c r="U49" s="749">
        <v>0.65948413737762768</v>
      </c>
      <c r="V49" s="748">
        <v>0.81445379095182058</v>
      </c>
      <c r="X49" s="748"/>
      <c r="Y49" s="749"/>
    </row>
    <row r="50" spans="1:25" ht="9.75" customHeight="1">
      <c r="A50" s="136"/>
      <c r="B50" s="138"/>
      <c r="C50" s="138"/>
      <c r="D50" s="138"/>
      <c r="E50" s="138"/>
      <c r="F50" s="138"/>
      <c r="G50" s="138"/>
      <c r="H50" s="138"/>
      <c r="I50" s="138"/>
      <c r="J50" s="138"/>
      <c r="K50" s="138"/>
      <c r="L50" s="715" t="s">
        <v>429</v>
      </c>
      <c r="M50" s="715" t="s">
        <v>403</v>
      </c>
      <c r="N50" s="716">
        <v>2.4</v>
      </c>
      <c r="O50" s="717">
        <v>1.6646106375</v>
      </c>
      <c r="P50" s="717">
        <v>0.93224162046370973</v>
      </c>
      <c r="T50" s="748" t="s">
        <v>429</v>
      </c>
      <c r="U50" s="749">
        <v>0.61062471444859046</v>
      </c>
      <c r="V50" s="750">
        <v>0.25213966156229206</v>
      </c>
    </row>
    <row r="51" spans="1:25" ht="20.25" customHeight="1">
      <c r="A51" s="136"/>
      <c r="B51" s="138"/>
      <c r="C51" s="138"/>
      <c r="D51" s="138"/>
      <c r="E51" s="138"/>
      <c r="F51" s="138"/>
      <c r="G51" s="138"/>
      <c r="H51" s="138"/>
      <c r="I51" s="138"/>
      <c r="J51" s="138"/>
      <c r="K51" s="138"/>
      <c r="L51" s="715" t="s">
        <v>517</v>
      </c>
      <c r="M51" s="715" t="s">
        <v>403</v>
      </c>
      <c r="N51" s="716">
        <v>2.4</v>
      </c>
      <c r="O51" s="717">
        <v>1.6435377325</v>
      </c>
      <c r="P51" s="717">
        <v>0.92044003836245525</v>
      </c>
      <c r="T51" s="867" t="s">
        <v>85</v>
      </c>
      <c r="U51" s="749">
        <v>0.45484719414236668</v>
      </c>
      <c r="V51" s="750">
        <v>0.51540699325525396</v>
      </c>
    </row>
    <row r="52" spans="1:25" ht="9.75" customHeight="1">
      <c r="A52" s="136"/>
      <c r="B52" s="138"/>
      <c r="C52" s="138"/>
      <c r="D52" s="138"/>
      <c r="E52" s="138"/>
      <c r="F52" s="138"/>
      <c r="G52" s="138"/>
      <c r="H52" s="138"/>
      <c r="I52" s="138"/>
      <c r="J52" s="138"/>
      <c r="K52" s="138"/>
      <c r="L52" s="710" t="s">
        <v>85</v>
      </c>
      <c r="M52" s="715" t="s">
        <v>403</v>
      </c>
      <c r="N52" s="716">
        <v>2.9537</v>
      </c>
      <c r="O52" s="717">
        <v>0.88941618249999999</v>
      </c>
      <c r="P52" s="717">
        <v>0.40473029021191209</v>
      </c>
      <c r="T52" s="748" t="s">
        <v>517</v>
      </c>
      <c r="U52" s="749">
        <v>0.88689299541170641</v>
      </c>
      <c r="V52" s="750"/>
    </row>
    <row r="53" spans="1:25" ht="9.75" customHeight="1">
      <c r="B53" s="138"/>
      <c r="C53" s="138"/>
      <c r="D53" s="138"/>
      <c r="E53" s="138"/>
      <c r="F53" s="138"/>
      <c r="G53" s="138"/>
      <c r="H53" s="138"/>
      <c r="I53" s="138"/>
      <c r="J53" s="138"/>
      <c r="K53" s="138"/>
    </row>
    <row r="54" spans="1:25" ht="30.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22"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noviembre.
Nota: Son consideradas las centrales con operación comercial</v>
      </c>
      <c r="B64" s="922"/>
      <c r="C64" s="922"/>
      <c r="D64" s="922"/>
      <c r="E64" s="922"/>
      <c r="F64" s="922"/>
      <c r="G64" s="922"/>
      <c r="H64" s="922"/>
      <c r="I64" s="922"/>
      <c r="J64" s="922"/>
      <c r="K64" s="922"/>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0"/>
  <sheetViews>
    <sheetView showGridLines="0" view="pageBreakPreview" zoomScaleNormal="100" zoomScaleSheetLayoutView="100" zoomScalePageLayoutView="115" workbookViewId="0">
      <selection activeCell="T44" sqref="T44"/>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customWidth="1"/>
    <col min="12" max="12" width="19.140625" style="873" customWidth="1"/>
    <col min="13" max="14" width="9.42578125" style="873" bestFit="1" customWidth="1"/>
  </cols>
  <sheetData>
    <row r="1" spans="1:14" ht="11.25" customHeight="1"/>
    <row r="2" spans="1:14" ht="11.25" customHeight="1">
      <c r="A2" s="923" t="s">
        <v>235</v>
      </c>
      <c r="B2" s="923"/>
      <c r="C2" s="923"/>
      <c r="D2" s="923"/>
      <c r="E2" s="923"/>
      <c r="F2" s="923"/>
      <c r="G2" s="923"/>
      <c r="H2" s="923"/>
      <c r="I2" s="923"/>
      <c r="J2" s="17"/>
    </row>
    <row r="3" spans="1:14" ht="6" customHeight="1">
      <c r="A3" s="17"/>
      <c r="B3" s="17"/>
      <c r="C3" s="17"/>
      <c r="D3" s="17"/>
      <c r="E3" s="17"/>
      <c r="F3" s="17"/>
      <c r="G3" s="17"/>
      <c r="H3" s="17"/>
      <c r="I3" s="17"/>
      <c r="J3" s="17"/>
      <c r="K3" s="329"/>
      <c r="L3" s="874"/>
    </row>
    <row r="4" spans="1:14" ht="11.25" customHeight="1">
      <c r="A4" s="929" t="s">
        <v>245</v>
      </c>
      <c r="B4" s="930" t="str">
        <f>+'1. Resumen'!Q4</f>
        <v>noviembre</v>
      </c>
      <c r="C4" s="931"/>
      <c r="D4" s="931"/>
      <c r="E4" s="138"/>
      <c r="F4" s="138"/>
      <c r="G4" s="932" t="s">
        <v>477</v>
      </c>
      <c r="H4" s="932"/>
      <c r="I4" s="932"/>
      <c r="J4" s="138"/>
      <c r="L4" s="875"/>
      <c r="M4" s="876">
        <v>2020</v>
      </c>
      <c r="N4" s="876">
        <v>2019</v>
      </c>
    </row>
    <row r="5" spans="1:14" ht="11.25" customHeight="1">
      <c r="A5" s="929"/>
      <c r="B5" s="473">
        <f>+'1. Resumen'!Q5</f>
        <v>2020</v>
      </c>
      <c r="C5" s="474">
        <f>+B5-1</f>
        <v>2019</v>
      </c>
      <c r="D5" s="474" t="s">
        <v>35</v>
      </c>
      <c r="E5" s="138"/>
      <c r="F5" s="138"/>
      <c r="G5" s="138"/>
      <c r="H5" s="138"/>
      <c r="I5" s="138"/>
      <c r="J5" s="138"/>
      <c r="K5" s="331"/>
      <c r="L5" s="877" t="s">
        <v>244</v>
      </c>
      <c r="M5" s="878">
        <v>0</v>
      </c>
      <c r="N5" s="878">
        <v>0.38668080999999999</v>
      </c>
    </row>
    <row r="6" spans="1:14" ht="10.5" customHeight="1">
      <c r="A6" s="385" t="s">
        <v>410</v>
      </c>
      <c r="B6" s="402">
        <v>819.39802121750006</v>
      </c>
      <c r="C6" s="403">
        <v>782.59905707999985</v>
      </c>
      <c r="D6" s="386">
        <f>IF(C6=0,"",B6/C6-1)</f>
        <v>4.7021477734464634E-2</v>
      </c>
      <c r="E6" s="138"/>
      <c r="F6" s="138"/>
      <c r="G6" s="138"/>
      <c r="H6" s="138"/>
      <c r="I6" s="138"/>
      <c r="J6" s="138"/>
      <c r="K6" s="332"/>
      <c r="L6" s="877" t="s">
        <v>412</v>
      </c>
      <c r="M6" s="878">
        <v>0</v>
      </c>
      <c r="N6" s="878">
        <v>0.28337299999999999</v>
      </c>
    </row>
    <row r="7" spans="1:14" ht="10.5" customHeight="1">
      <c r="A7" s="387" t="s">
        <v>88</v>
      </c>
      <c r="B7" s="404">
        <v>715.97116107249997</v>
      </c>
      <c r="C7" s="404">
        <v>525.68116585249993</v>
      </c>
      <c r="D7" s="388">
        <f t="shared" ref="D7:D64" si="0">IF(C7=0,"",B7/C7-1)</f>
        <v>0.36198746993608899</v>
      </c>
      <c r="E7" s="398"/>
      <c r="F7" s="138"/>
      <c r="G7" s="138"/>
      <c r="H7" s="138"/>
      <c r="I7" s="138"/>
      <c r="J7" s="138"/>
      <c r="L7" s="878" t="s">
        <v>236</v>
      </c>
      <c r="M7" s="878">
        <v>0</v>
      </c>
      <c r="N7" s="878">
        <v>2.2500000000000003E-8</v>
      </c>
    </row>
    <row r="8" spans="1:14" ht="10.5" customHeight="1">
      <c r="A8" s="385" t="s">
        <v>87</v>
      </c>
      <c r="B8" s="403">
        <v>563.64495270750001</v>
      </c>
      <c r="C8" s="403">
        <v>658.32935513250004</v>
      </c>
      <c r="D8" s="386">
        <f t="shared" si="0"/>
        <v>-0.14382527785950416</v>
      </c>
      <c r="E8" s="138"/>
      <c r="F8" s="138"/>
      <c r="G8" s="138"/>
      <c r="H8" s="138"/>
      <c r="I8" s="138"/>
      <c r="J8" s="138"/>
      <c r="L8" s="877" t="s">
        <v>243</v>
      </c>
      <c r="M8" s="878">
        <v>2.0550174999999999E-3</v>
      </c>
      <c r="N8" s="878">
        <v>2.588E-3</v>
      </c>
    </row>
    <row r="9" spans="1:14" ht="10.5" customHeight="1">
      <c r="A9" s="387" t="s">
        <v>89</v>
      </c>
      <c r="B9" s="404">
        <v>495.86344919999999</v>
      </c>
      <c r="C9" s="404">
        <v>598.03115303999994</v>
      </c>
      <c r="D9" s="388">
        <f t="shared" si="0"/>
        <v>-0.17084010309604447</v>
      </c>
      <c r="E9" s="138"/>
      <c r="F9" s="138"/>
      <c r="G9" s="138"/>
      <c r="H9" s="138"/>
      <c r="I9" s="138"/>
      <c r="J9" s="138"/>
      <c r="L9" s="877" t="s">
        <v>453</v>
      </c>
      <c r="M9" s="878">
        <v>0.313634945</v>
      </c>
      <c r="N9" s="878">
        <v>0.35187152500000002</v>
      </c>
    </row>
    <row r="10" spans="1:14" ht="10.5" customHeight="1">
      <c r="A10" s="385" t="s">
        <v>239</v>
      </c>
      <c r="B10" s="403">
        <v>389.7718950675</v>
      </c>
      <c r="C10" s="403">
        <v>187.75061648249999</v>
      </c>
      <c r="D10" s="386">
        <f t="shared" si="0"/>
        <v>1.076008603166585</v>
      </c>
      <c r="E10" s="138"/>
      <c r="F10" s="138"/>
      <c r="G10" s="138"/>
      <c r="H10" s="138"/>
      <c r="I10" s="138"/>
      <c r="J10" s="138"/>
      <c r="K10" s="331"/>
      <c r="L10" s="878" t="s">
        <v>117</v>
      </c>
      <c r="M10" s="878">
        <v>0.78010133500000001</v>
      </c>
      <c r="N10" s="878">
        <v>1.0079221650000001</v>
      </c>
    </row>
    <row r="11" spans="1:14" ht="10.5" customHeight="1">
      <c r="A11" s="387" t="s">
        <v>100</v>
      </c>
      <c r="B11" s="404">
        <v>186.72839376000002</v>
      </c>
      <c r="C11" s="404">
        <v>13.872878844999999</v>
      </c>
      <c r="D11" s="388">
        <f t="shared" si="0"/>
        <v>12.459959958296604</v>
      </c>
      <c r="E11" s="138"/>
      <c r="F11" s="138"/>
      <c r="G11" s="138"/>
      <c r="H11" s="138"/>
      <c r="I11" s="138"/>
      <c r="J11" s="138"/>
      <c r="K11" s="332"/>
      <c r="L11" s="878" t="s">
        <v>119</v>
      </c>
      <c r="M11" s="878">
        <v>1.1539812725</v>
      </c>
      <c r="N11" s="878">
        <v>2.3326609225000001</v>
      </c>
    </row>
    <row r="12" spans="1:14" ht="10.5" customHeight="1">
      <c r="A12" s="385" t="s">
        <v>90</v>
      </c>
      <c r="B12" s="403">
        <v>116.32503788000001</v>
      </c>
      <c r="C12" s="403">
        <v>199.33547690250001</v>
      </c>
      <c r="D12" s="386">
        <f t="shared" si="0"/>
        <v>-0.41643585132165151</v>
      </c>
      <c r="E12" s="138"/>
      <c r="F12" s="138"/>
      <c r="G12" s="138"/>
      <c r="H12" s="138"/>
      <c r="I12" s="138"/>
      <c r="J12" s="138"/>
      <c r="K12" s="332"/>
      <c r="L12" s="878" t="s">
        <v>104</v>
      </c>
      <c r="M12" s="878">
        <v>1.6509693974999999</v>
      </c>
      <c r="N12" s="878">
        <v>11.053060609999999</v>
      </c>
    </row>
    <row r="13" spans="1:14" ht="10.5" customHeight="1">
      <c r="A13" s="387" t="s">
        <v>241</v>
      </c>
      <c r="B13" s="404">
        <v>112.82320224999998</v>
      </c>
      <c r="C13" s="404">
        <v>197.05011252249997</v>
      </c>
      <c r="D13" s="389">
        <f t="shared" si="0"/>
        <v>-0.42743903667085004</v>
      </c>
      <c r="E13" s="138"/>
      <c r="F13" s="138"/>
      <c r="G13" s="138"/>
      <c r="H13" s="138"/>
      <c r="I13" s="138"/>
      <c r="J13" s="138"/>
      <c r="K13" s="332"/>
      <c r="L13" s="877" t="s">
        <v>102</v>
      </c>
      <c r="M13" s="878">
        <v>1.6593142925</v>
      </c>
      <c r="N13" s="878">
        <v>19.777545910000001</v>
      </c>
    </row>
    <row r="14" spans="1:14" ht="10.5" customHeight="1">
      <c r="A14" s="385" t="s">
        <v>98</v>
      </c>
      <c r="B14" s="403">
        <v>97.891370520000009</v>
      </c>
      <c r="C14" s="403">
        <v>90.175472232499999</v>
      </c>
      <c r="D14" s="386">
        <f t="shared" si="0"/>
        <v>8.5565377108378859E-2</v>
      </c>
      <c r="E14" s="138"/>
      <c r="F14" s="138"/>
      <c r="G14" s="138"/>
      <c r="H14" s="138"/>
      <c r="I14" s="138"/>
      <c r="J14" s="138"/>
      <c r="K14" s="332"/>
      <c r="L14" s="877" t="s">
        <v>115</v>
      </c>
      <c r="M14" s="878">
        <v>1.752275695</v>
      </c>
      <c r="N14" s="878">
        <v>2.2764898775</v>
      </c>
    </row>
    <row r="15" spans="1:14" ht="10.5" customHeight="1">
      <c r="A15" s="387" t="s">
        <v>92</v>
      </c>
      <c r="B15" s="404">
        <v>96.921251457499991</v>
      </c>
      <c r="C15" s="404">
        <v>114.74266646499999</v>
      </c>
      <c r="D15" s="388">
        <f t="shared" si="0"/>
        <v>-0.15531637495051653</v>
      </c>
      <c r="E15" s="138"/>
      <c r="F15" s="138"/>
      <c r="G15" s="138"/>
      <c r="H15" s="138"/>
      <c r="I15" s="138"/>
      <c r="J15" s="138"/>
      <c r="K15" s="332"/>
      <c r="L15" s="878" t="s">
        <v>116</v>
      </c>
      <c r="M15" s="878">
        <v>1.778</v>
      </c>
      <c r="N15" s="878">
        <v>1.7484999999999999</v>
      </c>
    </row>
    <row r="16" spans="1:14" ht="10.5" customHeight="1">
      <c r="A16" s="385" t="s">
        <v>91</v>
      </c>
      <c r="B16" s="403">
        <v>74.674737309999983</v>
      </c>
      <c r="C16" s="403">
        <v>81.070082022500003</v>
      </c>
      <c r="D16" s="386">
        <f t="shared" si="0"/>
        <v>-7.8886619489604959E-2</v>
      </c>
      <c r="E16" s="138"/>
      <c r="F16" s="138"/>
      <c r="G16" s="138"/>
      <c r="H16" s="138"/>
      <c r="I16" s="138"/>
      <c r="J16" s="138" t="s">
        <v>8</v>
      </c>
      <c r="K16" s="332"/>
      <c r="L16" s="878" t="s">
        <v>114</v>
      </c>
      <c r="M16" s="878">
        <v>2.2056392874999999</v>
      </c>
      <c r="N16" s="878">
        <v>1.4731064675000001</v>
      </c>
    </row>
    <row r="17" spans="1:14" ht="10.5" customHeight="1">
      <c r="A17" s="387" t="s">
        <v>96</v>
      </c>
      <c r="B17" s="404">
        <v>67.277693587499996</v>
      </c>
      <c r="C17" s="404">
        <v>61.515422207499995</v>
      </c>
      <c r="D17" s="388">
        <f t="shared" si="0"/>
        <v>9.3671979695808094E-2</v>
      </c>
      <c r="E17" s="138"/>
      <c r="F17" s="138"/>
      <c r="G17" s="138"/>
      <c r="H17" s="138"/>
      <c r="I17" s="138"/>
      <c r="J17" s="138"/>
      <c r="K17" s="332"/>
      <c r="L17" s="878" t="s">
        <v>118</v>
      </c>
      <c r="M17" s="878">
        <v>2.2543161975000001</v>
      </c>
      <c r="N17" s="878">
        <v>3.0829350000000002E-3</v>
      </c>
    </row>
    <row r="18" spans="1:14" ht="10.5" customHeight="1">
      <c r="A18" s="385" t="s">
        <v>237</v>
      </c>
      <c r="B18" s="403">
        <v>52.649373442500007</v>
      </c>
      <c r="C18" s="403">
        <v>178.10191256249999</v>
      </c>
      <c r="D18" s="386">
        <f t="shared" si="0"/>
        <v>-0.70438625456071868</v>
      </c>
      <c r="E18" s="138"/>
      <c r="F18" s="138"/>
      <c r="G18" s="138"/>
      <c r="H18" s="138"/>
      <c r="I18" s="138"/>
      <c r="J18" s="138"/>
      <c r="K18" s="333"/>
      <c r="L18" s="878" t="s">
        <v>421</v>
      </c>
      <c r="M18" s="878">
        <v>2.345134195</v>
      </c>
      <c r="N18" s="878">
        <v>6.1786131849999997</v>
      </c>
    </row>
    <row r="19" spans="1:14" ht="10.5" customHeight="1">
      <c r="A19" s="387" t="s">
        <v>430</v>
      </c>
      <c r="B19" s="404">
        <v>51.060329275000001</v>
      </c>
      <c r="C19" s="404">
        <v>62.29879768</v>
      </c>
      <c r="D19" s="388">
        <f t="shared" si="0"/>
        <v>-0.18039623272870842</v>
      </c>
      <c r="E19" s="138"/>
      <c r="F19" s="138"/>
      <c r="G19" s="138"/>
      <c r="H19" s="138"/>
      <c r="I19" s="138"/>
      <c r="J19" s="138"/>
      <c r="K19" s="332"/>
      <c r="L19" s="877" t="s">
        <v>112</v>
      </c>
      <c r="M19" s="878">
        <v>3.8283818350000001</v>
      </c>
      <c r="N19" s="878">
        <v>3.9040635524999998</v>
      </c>
    </row>
    <row r="20" spans="1:14" ht="10.5" customHeight="1">
      <c r="A20" s="385" t="s">
        <v>94</v>
      </c>
      <c r="B20" s="403">
        <v>48.689485015000002</v>
      </c>
      <c r="C20" s="403">
        <v>68.432944282499989</v>
      </c>
      <c r="D20" s="386">
        <f t="shared" si="0"/>
        <v>-0.28850810782006464</v>
      </c>
      <c r="E20" s="138"/>
      <c r="F20" s="138"/>
      <c r="G20" s="138"/>
      <c r="H20" s="138"/>
      <c r="I20" s="138"/>
      <c r="J20" s="138"/>
      <c r="K20" s="332"/>
      <c r="L20" s="878" t="s">
        <v>111</v>
      </c>
      <c r="M20" s="878">
        <v>3.9243125000000001</v>
      </c>
      <c r="N20" s="878">
        <v>3.9789524000000003</v>
      </c>
    </row>
    <row r="21" spans="1:14" ht="10.5" customHeight="1">
      <c r="A21" s="387" t="s">
        <v>97</v>
      </c>
      <c r="B21" s="404">
        <v>48.402104824999995</v>
      </c>
      <c r="C21" s="404">
        <v>37.061872067500005</v>
      </c>
      <c r="D21" s="388">
        <f t="shared" si="0"/>
        <v>0.30598111009735995</v>
      </c>
      <c r="E21" s="138"/>
      <c r="F21" s="138"/>
      <c r="G21" s="138"/>
      <c r="H21" s="138"/>
      <c r="I21" s="138"/>
      <c r="J21" s="138"/>
      <c r="K21" s="332"/>
      <c r="L21" s="877" t="s">
        <v>486</v>
      </c>
      <c r="M21" s="878">
        <v>4.1305157025000003</v>
      </c>
      <c r="N21" s="878"/>
    </row>
    <row r="22" spans="1:14" ht="10.5" customHeight="1">
      <c r="A22" s="385" t="s">
        <v>238</v>
      </c>
      <c r="B22" s="403">
        <v>47.661424737499999</v>
      </c>
      <c r="C22" s="403">
        <v>29.916616229999999</v>
      </c>
      <c r="D22" s="386">
        <f t="shared" si="0"/>
        <v>0.59314223143009515</v>
      </c>
      <c r="E22" s="138"/>
      <c r="F22" s="138"/>
      <c r="G22" s="138"/>
      <c r="H22" s="138"/>
      <c r="I22" s="138"/>
      <c r="J22" s="138"/>
      <c r="K22" s="333"/>
      <c r="L22" s="878" t="s">
        <v>120</v>
      </c>
      <c r="M22" s="878">
        <v>4.5175307350000002</v>
      </c>
      <c r="N22" s="878">
        <v>13.114157902500001</v>
      </c>
    </row>
    <row r="23" spans="1:14" ht="10.5" customHeight="1">
      <c r="A23" s="387" t="s">
        <v>95</v>
      </c>
      <c r="B23" s="404">
        <v>44.634439122499998</v>
      </c>
      <c r="C23" s="404">
        <v>68.094962222500001</v>
      </c>
      <c r="D23" s="388">
        <f t="shared" si="0"/>
        <v>-0.34452656017845851</v>
      </c>
      <c r="E23" s="138"/>
      <c r="F23" s="138"/>
      <c r="G23" s="138"/>
      <c r="H23" s="138"/>
      <c r="I23" s="138"/>
      <c r="J23" s="138"/>
      <c r="K23" s="332"/>
      <c r="L23" s="877" t="s">
        <v>110</v>
      </c>
      <c r="M23" s="878">
        <v>4.9043414400000005</v>
      </c>
      <c r="N23" s="878">
        <v>4.4904436100000007</v>
      </c>
    </row>
    <row r="24" spans="1:14" ht="10.5" customHeight="1">
      <c r="A24" s="385" t="s">
        <v>99</v>
      </c>
      <c r="B24" s="403">
        <v>43.152437152499999</v>
      </c>
      <c r="C24" s="403">
        <v>32.795808030000003</v>
      </c>
      <c r="D24" s="386">
        <f t="shared" si="0"/>
        <v>0.31579124725410823</v>
      </c>
      <c r="E24" s="138"/>
      <c r="F24" s="138"/>
      <c r="G24" s="138"/>
      <c r="H24" s="138"/>
      <c r="I24" s="138"/>
      <c r="J24" s="138"/>
      <c r="K24" s="332"/>
      <c r="L24" s="877" t="s">
        <v>431</v>
      </c>
      <c r="M24" s="878">
        <v>5.0282716049999996</v>
      </c>
      <c r="N24" s="878">
        <v>4.9165186199999997</v>
      </c>
    </row>
    <row r="25" spans="1:14" ht="10.5" customHeight="1">
      <c r="A25" s="387" t="s">
        <v>105</v>
      </c>
      <c r="B25" s="404">
        <v>42.716016275000001</v>
      </c>
      <c r="C25" s="404">
        <v>15.202934707499999</v>
      </c>
      <c r="D25" s="388">
        <f t="shared" si="0"/>
        <v>1.8097217475996321</v>
      </c>
      <c r="E25" s="138"/>
      <c r="F25" s="138"/>
      <c r="G25" s="138"/>
      <c r="H25" s="138"/>
      <c r="I25" s="138"/>
      <c r="J25" s="138"/>
      <c r="K25" s="332"/>
      <c r="L25" s="877" t="s">
        <v>109</v>
      </c>
      <c r="M25" s="878">
        <v>5.4537806250000003</v>
      </c>
      <c r="N25" s="878">
        <v>4.5346407774999999</v>
      </c>
    </row>
    <row r="26" spans="1:14" ht="10.5" customHeight="1">
      <c r="A26" s="385" t="s">
        <v>93</v>
      </c>
      <c r="B26" s="403">
        <v>41.1438401825</v>
      </c>
      <c r="C26" s="403">
        <v>103.11415135749999</v>
      </c>
      <c r="D26" s="386">
        <f t="shared" si="0"/>
        <v>-0.60098745282931132</v>
      </c>
      <c r="E26" s="138"/>
      <c r="F26" s="138"/>
      <c r="G26" s="138"/>
      <c r="H26" s="138"/>
      <c r="I26" s="138"/>
      <c r="J26" s="138"/>
      <c r="K26" s="332"/>
      <c r="L26" s="878" t="s">
        <v>107</v>
      </c>
      <c r="M26" s="878">
        <v>5.8455621774999997</v>
      </c>
      <c r="N26" s="878">
        <v>4.8791759824999996</v>
      </c>
    </row>
    <row r="27" spans="1:14" ht="10.5" customHeight="1">
      <c r="A27" s="387" t="s">
        <v>101</v>
      </c>
      <c r="B27" s="404">
        <v>19.8778222175</v>
      </c>
      <c r="C27" s="404">
        <v>9.3894855175000007</v>
      </c>
      <c r="D27" s="388">
        <f t="shared" si="0"/>
        <v>1.1170299672385644</v>
      </c>
      <c r="E27" s="138"/>
      <c r="F27" s="138"/>
      <c r="G27" s="138"/>
      <c r="H27" s="138"/>
      <c r="I27" s="138"/>
      <c r="J27" s="138"/>
      <c r="K27" s="332"/>
      <c r="L27" s="877" t="s">
        <v>457</v>
      </c>
      <c r="M27" s="878">
        <v>6.8768999900000001</v>
      </c>
      <c r="N27" s="878">
        <v>6.2546640650000001</v>
      </c>
    </row>
    <row r="28" spans="1:14" ht="10.5" customHeight="1">
      <c r="A28" s="390" t="s">
        <v>108</v>
      </c>
      <c r="B28" s="403">
        <v>14.3064197025</v>
      </c>
      <c r="C28" s="403">
        <v>39.268049037499999</v>
      </c>
      <c r="D28" s="386">
        <f t="shared" si="0"/>
        <v>-0.63567276569208397</v>
      </c>
      <c r="E28" s="138"/>
      <c r="F28" s="138"/>
      <c r="G28" s="138"/>
      <c r="H28" s="138"/>
      <c r="I28" s="138"/>
      <c r="J28" s="138"/>
      <c r="K28" s="332"/>
      <c r="L28" s="877" t="s">
        <v>411</v>
      </c>
      <c r="M28" s="878">
        <v>6.9042920875</v>
      </c>
      <c r="N28" s="878">
        <v>5.6516292825000001</v>
      </c>
    </row>
    <row r="29" spans="1:14" ht="10.5" customHeight="1">
      <c r="A29" s="391" t="s">
        <v>242</v>
      </c>
      <c r="B29" s="404">
        <v>13.346533427500001</v>
      </c>
      <c r="C29" s="404">
        <v>10.998069095</v>
      </c>
      <c r="D29" s="388">
        <f t="shared" si="0"/>
        <v>0.21353424062117154</v>
      </c>
      <c r="E29" s="138"/>
      <c r="F29" s="138"/>
      <c r="G29" s="138"/>
      <c r="H29" s="138"/>
      <c r="I29" s="138"/>
      <c r="J29" s="138"/>
      <c r="K29" s="332"/>
      <c r="L29" s="877" t="s">
        <v>446</v>
      </c>
      <c r="M29" s="878">
        <v>7.3958688199999996</v>
      </c>
      <c r="N29" s="878">
        <v>8.7916483774999996</v>
      </c>
    </row>
    <row r="30" spans="1:14" ht="10.5" customHeight="1">
      <c r="A30" s="392" t="s">
        <v>113</v>
      </c>
      <c r="B30" s="403">
        <v>12.409265780000002</v>
      </c>
      <c r="C30" s="403">
        <v>15.859894465</v>
      </c>
      <c r="D30" s="386">
        <f t="shared" si="0"/>
        <v>-0.21756946066790861</v>
      </c>
      <c r="E30" s="138"/>
      <c r="F30" s="138"/>
      <c r="G30" s="138"/>
      <c r="H30" s="138"/>
      <c r="I30" s="138"/>
      <c r="J30" s="138"/>
      <c r="K30" s="332"/>
      <c r="L30" s="878" t="s">
        <v>458</v>
      </c>
      <c r="M30" s="878">
        <v>8.6701784725000017</v>
      </c>
      <c r="N30" s="878">
        <v>3.5885131550000002</v>
      </c>
    </row>
    <row r="31" spans="1:14" ht="10.5" customHeight="1">
      <c r="A31" s="391" t="s">
        <v>402</v>
      </c>
      <c r="B31" s="404">
        <v>12.1902930775</v>
      </c>
      <c r="C31" s="404">
        <v>14.31847829</v>
      </c>
      <c r="D31" s="388">
        <f t="shared" si="0"/>
        <v>-0.14863208012728002</v>
      </c>
      <c r="E31" s="138"/>
      <c r="F31" s="138"/>
      <c r="G31" s="138"/>
      <c r="H31" s="138"/>
      <c r="I31" s="138"/>
      <c r="J31" s="138"/>
      <c r="K31" s="332"/>
      <c r="L31" s="878" t="s">
        <v>121</v>
      </c>
      <c r="M31" s="878">
        <v>9.4379442725000011</v>
      </c>
      <c r="N31" s="878">
        <v>0</v>
      </c>
    </row>
    <row r="32" spans="1:14" ht="14.25" customHeight="1">
      <c r="A32" s="392" t="s">
        <v>418</v>
      </c>
      <c r="B32" s="403">
        <v>11.46072899</v>
      </c>
      <c r="C32" s="403">
        <v>7.7970269175000002</v>
      </c>
      <c r="D32" s="386">
        <f t="shared" si="0"/>
        <v>0.46988449716353053</v>
      </c>
      <c r="E32" s="138"/>
      <c r="F32" s="138"/>
      <c r="G32" s="138"/>
      <c r="H32" s="138"/>
      <c r="I32" s="138"/>
      <c r="J32" s="138"/>
      <c r="K32" s="332"/>
      <c r="L32" s="878" t="s">
        <v>425</v>
      </c>
      <c r="M32" s="878">
        <v>9.666416032499999</v>
      </c>
      <c r="N32" s="878">
        <v>12.964816942500001</v>
      </c>
    </row>
    <row r="33" spans="1:14">
      <c r="A33" s="705" t="s">
        <v>455</v>
      </c>
      <c r="B33" s="404">
        <v>11.213099254999999</v>
      </c>
      <c r="C33" s="404">
        <v>36.619021704999994</v>
      </c>
      <c r="D33" s="388">
        <f t="shared" si="0"/>
        <v>-0.69379031080262443</v>
      </c>
      <c r="E33" s="138"/>
      <c r="F33" s="138"/>
      <c r="G33" s="138"/>
      <c r="H33" s="138"/>
      <c r="I33" s="138"/>
      <c r="J33" s="138"/>
      <c r="K33" s="332"/>
      <c r="L33" s="877" t="s">
        <v>106</v>
      </c>
      <c r="M33" s="878">
        <v>9.7382155049999994</v>
      </c>
      <c r="N33" s="878">
        <v>8.8531016699999991</v>
      </c>
    </row>
    <row r="34" spans="1:14">
      <c r="A34" s="526" t="s">
        <v>240</v>
      </c>
      <c r="B34" s="403">
        <v>11.098966087499999</v>
      </c>
      <c r="C34" s="403">
        <v>12.17242195</v>
      </c>
      <c r="D34" s="386">
        <f>IF(C34=0,"",B34/C34-1)</f>
        <v>-8.81875330077595E-2</v>
      </c>
      <c r="E34" s="138"/>
      <c r="F34" s="138"/>
      <c r="G34" s="138"/>
      <c r="H34" s="138"/>
      <c r="I34" s="138"/>
      <c r="J34" s="138"/>
      <c r="K34" s="334"/>
      <c r="L34" s="877" t="s">
        <v>103</v>
      </c>
      <c r="M34" s="878">
        <v>9.8461818725000008</v>
      </c>
      <c r="N34" s="878">
        <v>13.3333071825</v>
      </c>
    </row>
    <row r="35" spans="1:14">
      <c r="A35" s="705" t="s">
        <v>103</v>
      </c>
      <c r="B35" s="404">
        <v>9.8461818725000008</v>
      </c>
      <c r="C35" s="404">
        <v>13.3333071825</v>
      </c>
      <c r="D35" s="388">
        <f t="shared" si="0"/>
        <v>-0.26153491120169048</v>
      </c>
      <c r="E35" s="138"/>
      <c r="F35" s="138"/>
      <c r="G35" s="138"/>
      <c r="H35" s="138"/>
      <c r="I35" s="138"/>
      <c r="J35" s="138"/>
      <c r="K35" s="334"/>
      <c r="L35" s="877" t="s">
        <v>240</v>
      </c>
      <c r="M35" s="878">
        <v>11.098966087499999</v>
      </c>
      <c r="N35" s="878">
        <v>12.17242195</v>
      </c>
    </row>
    <row r="36" spans="1:14" ht="12.6" customHeight="1">
      <c r="A36" s="526" t="s">
        <v>106</v>
      </c>
      <c r="B36" s="403">
        <v>9.7382155049999994</v>
      </c>
      <c r="C36" s="403">
        <v>8.8531016699999991</v>
      </c>
      <c r="D36" s="386">
        <f t="shared" si="0"/>
        <v>9.9977823365491769E-2</v>
      </c>
      <c r="E36" s="138"/>
      <c r="F36" s="138"/>
      <c r="G36" s="138"/>
      <c r="H36" s="138"/>
      <c r="I36" s="138"/>
      <c r="J36" s="138"/>
      <c r="K36" s="333"/>
      <c r="L36" s="877" t="s">
        <v>455</v>
      </c>
      <c r="M36" s="878">
        <v>11.213099254999999</v>
      </c>
      <c r="N36" s="878">
        <v>36.619021704999994</v>
      </c>
    </row>
    <row r="37" spans="1:14" ht="24.6" customHeight="1">
      <c r="A37" s="705" t="s">
        <v>425</v>
      </c>
      <c r="B37" s="404">
        <v>9.666416032499999</v>
      </c>
      <c r="C37" s="404">
        <v>12.964816942500001</v>
      </c>
      <c r="D37" s="388">
        <f t="shared" si="0"/>
        <v>-0.25441168391568303</v>
      </c>
      <c r="E37" s="138"/>
      <c r="F37" s="138"/>
      <c r="G37" s="138"/>
      <c r="H37" s="138"/>
      <c r="I37" s="138"/>
      <c r="J37" s="138"/>
      <c r="K37" s="333"/>
      <c r="L37" s="878" t="s">
        <v>418</v>
      </c>
      <c r="M37" s="878">
        <v>11.46072899</v>
      </c>
      <c r="N37" s="878">
        <v>7.7970269175000002</v>
      </c>
    </row>
    <row r="38" spans="1:14" ht="10.5" customHeight="1">
      <c r="A38" s="526" t="s">
        <v>121</v>
      </c>
      <c r="B38" s="403">
        <v>9.4379442725000011</v>
      </c>
      <c r="C38" s="403">
        <v>0</v>
      </c>
      <c r="D38" s="386" t="str">
        <f t="shared" si="0"/>
        <v/>
      </c>
      <c r="E38" s="138"/>
      <c r="F38" s="138"/>
      <c r="G38" s="138"/>
      <c r="H38" s="138"/>
      <c r="I38" s="138"/>
      <c r="J38" s="138"/>
      <c r="K38" s="333"/>
      <c r="L38" s="877" t="s">
        <v>402</v>
      </c>
      <c r="M38" s="878">
        <v>12.1902930775</v>
      </c>
      <c r="N38" s="878">
        <v>14.31847829</v>
      </c>
    </row>
    <row r="39" spans="1:14" ht="10.5" customHeight="1">
      <c r="A39" s="705" t="s">
        <v>458</v>
      </c>
      <c r="B39" s="404">
        <v>8.6701784725000017</v>
      </c>
      <c r="C39" s="404">
        <v>3.5885131550000002</v>
      </c>
      <c r="D39" s="388">
        <f t="shared" si="0"/>
        <v>1.4160921523778005</v>
      </c>
      <c r="E39" s="138"/>
      <c r="F39" s="138"/>
      <c r="G39" s="138"/>
      <c r="H39" s="138"/>
      <c r="I39" s="138"/>
      <c r="J39" s="138"/>
      <c r="K39" s="334"/>
      <c r="L39" s="878" t="s">
        <v>113</v>
      </c>
      <c r="M39" s="878">
        <v>12.409265780000002</v>
      </c>
      <c r="N39" s="878">
        <v>15.859894465</v>
      </c>
    </row>
    <row r="40" spans="1:14" ht="10.5" customHeight="1">
      <c r="A40" s="526" t="s">
        <v>446</v>
      </c>
      <c r="B40" s="403">
        <v>7.3958688199999996</v>
      </c>
      <c r="C40" s="403">
        <v>8.7916483774999996</v>
      </c>
      <c r="D40" s="386">
        <f t="shared" si="0"/>
        <v>-0.15876198609946057</v>
      </c>
      <c r="E40" s="138"/>
      <c r="F40" s="138"/>
      <c r="G40" s="138"/>
      <c r="H40" s="138"/>
      <c r="I40" s="138"/>
      <c r="J40" s="138"/>
      <c r="K40" s="334"/>
      <c r="L40" s="877" t="s">
        <v>242</v>
      </c>
      <c r="M40" s="878">
        <v>13.346533427500001</v>
      </c>
      <c r="N40" s="878">
        <v>10.998069095</v>
      </c>
    </row>
    <row r="41" spans="1:14" ht="10.5" customHeight="1">
      <c r="A41" s="391" t="s">
        <v>411</v>
      </c>
      <c r="B41" s="404">
        <v>6.9042920875</v>
      </c>
      <c r="C41" s="404">
        <v>5.6516292825000001</v>
      </c>
      <c r="D41" s="388">
        <f t="shared" si="0"/>
        <v>0.22164631513939015</v>
      </c>
      <c r="E41" s="138"/>
      <c r="F41" s="138"/>
      <c r="G41" s="138"/>
      <c r="H41" s="138"/>
      <c r="I41" s="138"/>
      <c r="J41" s="138"/>
      <c r="K41" s="334"/>
      <c r="L41" s="878" t="s">
        <v>108</v>
      </c>
      <c r="M41" s="878">
        <v>14.3064197025</v>
      </c>
      <c r="N41" s="878">
        <v>39.268049037499999</v>
      </c>
    </row>
    <row r="42" spans="1:14" ht="10.5" customHeight="1">
      <c r="A42" s="392" t="s">
        <v>457</v>
      </c>
      <c r="B42" s="403">
        <v>6.8768999900000001</v>
      </c>
      <c r="C42" s="403">
        <v>6.2546640650000001</v>
      </c>
      <c r="D42" s="386">
        <f t="shared" si="0"/>
        <v>9.9483508392069098E-2</v>
      </c>
      <c r="E42" s="138"/>
      <c r="F42" s="138"/>
      <c r="G42" s="138"/>
      <c r="H42" s="138"/>
      <c r="I42" s="138"/>
      <c r="J42" s="138"/>
      <c r="L42" s="877" t="s">
        <v>101</v>
      </c>
      <c r="M42" s="878">
        <v>19.8778222175</v>
      </c>
      <c r="N42" s="878">
        <v>9.3894855175000007</v>
      </c>
    </row>
    <row r="43" spans="1:14" ht="10.5" customHeight="1">
      <c r="A43" s="391" t="s">
        <v>107</v>
      </c>
      <c r="B43" s="404">
        <v>5.8455621774999997</v>
      </c>
      <c r="C43" s="404">
        <v>4.8791759824999996</v>
      </c>
      <c r="D43" s="388">
        <f t="shared" si="0"/>
        <v>0.1980634021945733</v>
      </c>
      <c r="E43" s="138"/>
      <c r="F43" s="138"/>
      <c r="G43" s="138"/>
      <c r="H43" s="138"/>
      <c r="I43" s="138"/>
      <c r="J43" s="138"/>
      <c r="L43" s="877" t="s">
        <v>93</v>
      </c>
      <c r="M43" s="878">
        <v>41.1438401825</v>
      </c>
      <c r="N43" s="878">
        <v>103.11415135749999</v>
      </c>
    </row>
    <row r="44" spans="1:14" ht="10.5" customHeight="1">
      <c r="A44" s="392" t="s">
        <v>109</v>
      </c>
      <c r="B44" s="403">
        <v>5.4537806250000003</v>
      </c>
      <c r="C44" s="403">
        <v>4.5346407774999999</v>
      </c>
      <c r="D44" s="386">
        <f t="shared" si="0"/>
        <v>0.2026929789148002</v>
      </c>
      <c r="E44" s="138"/>
      <c r="F44" s="138"/>
      <c r="G44" s="138"/>
      <c r="H44" s="138"/>
      <c r="I44" s="138"/>
      <c r="J44" s="138"/>
      <c r="L44" s="879" t="s">
        <v>105</v>
      </c>
      <c r="M44" s="878">
        <v>42.716016275000001</v>
      </c>
      <c r="N44" s="878">
        <v>15.202934707499999</v>
      </c>
    </row>
    <row r="45" spans="1:14" ht="10.5" customHeight="1">
      <c r="A45" s="391" t="s">
        <v>431</v>
      </c>
      <c r="B45" s="404">
        <v>5.0282716049999996</v>
      </c>
      <c r="C45" s="404">
        <v>4.9165186199999997</v>
      </c>
      <c r="D45" s="388">
        <f t="shared" si="0"/>
        <v>2.273010510839879E-2</v>
      </c>
      <c r="E45" s="138"/>
      <c r="F45" s="138"/>
      <c r="G45" s="138"/>
      <c r="H45" s="138"/>
      <c r="I45" s="138"/>
      <c r="J45" s="138"/>
      <c r="L45" s="877" t="s">
        <v>99</v>
      </c>
      <c r="M45" s="878">
        <v>43.152437152499999</v>
      </c>
      <c r="N45" s="878">
        <v>32.795808030000003</v>
      </c>
    </row>
    <row r="46" spans="1:14" ht="10.5" customHeight="1">
      <c r="A46" s="392" t="s">
        <v>110</v>
      </c>
      <c r="B46" s="403">
        <v>4.9043414400000005</v>
      </c>
      <c r="C46" s="403">
        <v>4.4904436100000007</v>
      </c>
      <c r="D46" s="386">
        <f t="shared" si="0"/>
        <v>9.2173038111038608E-2</v>
      </c>
      <c r="E46" s="138"/>
      <c r="F46" s="138"/>
      <c r="G46" s="138"/>
      <c r="H46" s="138"/>
      <c r="I46" s="138"/>
      <c r="J46" s="138"/>
      <c r="L46" s="877" t="s">
        <v>95</v>
      </c>
      <c r="M46" s="878">
        <v>44.634439122499998</v>
      </c>
      <c r="N46" s="878">
        <v>68.094962222500001</v>
      </c>
    </row>
    <row r="47" spans="1:14" ht="10.5" customHeight="1">
      <c r="A47" s="391" t="s">
        <v>120</v>
      </c>
      <c r="B47" s="404">
        <v>4.5175307350000002</v>
      </c>
      <c r="C47" s="404">
        <v>13.114157902500001</v>
      </c>
      <c r="D47" s="388">
        <f t="shared" si="0"/>
        <v>-0.6555226215372314</v>
      </c>
      <c r="E47" s="138"/>
      <c r="F47" s="138"/>
      <c r="G47" s="138"/>
      <c r="H47" s="138"/>
      <c r="I47" s="138"/>
      <c r="J47" s="138"/>
      <c r="L47" s="877" t="s">
        <v>238</v>
      </c>
      <c r="M47" s="878">
        <v>47.661424737499999</v>
      </c>
      <c r="N47" s="878">
        <v>29.916616229999999</v>
      </c>
    </row>
    <row r="48" spans="1:14" ht="24" customHeight="1">
      <c r="A48" s="526" t="s">
        <v>486</v>
      </c>
      <c r="B48" s="403">
        <v>4.1305157025000003</v>
      </c>
      <c r="C48" s="403"/>
      <c r="D48" s="386" t="str">
        <f t="shared" si="0"/>
        <v/>
      </c>
      <c r="E48" s="138"/>
      <c r="F48" s="138"/>
      <c r="G48" s="138"/>
      <c r="H48" s="138"/>
      <c r="I48" s="138"/>
      <c r="J48" s="138"/>
      <c r="L48" s="878" t="s">
        <v>97</v>
      </c>
      <c r="M48" s="878">
        <v>48.402104824999995</v>
      </c>
      <c r="N48" s="878">
        <v>37.061872067500005</v>
      </c>
    </row>
    <row r="49" spans="1:14" ht="10.5" customHeight="1">
      <c r="A49" s="391" t="s">
        <v>111</v>
      </c>
      <c r="B49" s="404">
        <v>3.9243125000000001</v>
      </c>
      <c r="C49" s="404">
        <v>3.9789524000000003</v>
      </c>
      <c r="D49" s="388">
        <f t="shared" si="0"/>
        <v>-1.3732232634901642E-2</v>
      </c>
      <c r="E49" s="138"/>
      <c r="F49" s="138"/>
      <c r="G49" s="138"/>
      <c r="H49" s="138"/>
      <c r="I49" s="138"/>
      <c r="J49" s="138"/>
      <c r="L49" s="880" t="s">
        <v>94</v>
      </c>
      <c r="M49" s="878">
        <v>48.689485015000002</v>
      </c>
      <c r="N49" s="878">
        <v>68.432944282499989</v>
      </c>
    </row>
    <row r="50" spans="1:14" ht="10.5" customHeight="1">
      <c r="A50" s="392" t="s">
        <v>112</v>
      </c>
      <c r="B50" s="403">
        <v>3.8283818350000001</v>
      </c>
      <c r="C50" s="403">
        <v>3.9040635524999998</v>
      </c>
      <c r="D50" s="386">
        <f t="shared" si="0"/>
        <v>-1.9385370264153656E-2</v>
      </c>
      <c r="E50" s="138"/>
      <c r="F50" s="138"/>
      <c r="G50" s="138"/>
      <c r="H50" s="138"/>
      <c r="I50" s="138"/>
      <c r="J50" s="138"/>
      <c r="L50" s="877" t="s">
        <v>430</v>
      </c>
      <c r="M50" s="878">
        <v>51.060329275000001</v>
      </c>
      <c r="N50" s="878">
        <v>62.29879768</v>
      </c>
    </row>
    <row r="51" spans="1:14" ht="12" customHeight="1">
      <c r="A51" s="705" t="s">
        <v>421</v>
      </c>
      <c r="B51" s="404">
        <v>2.345134195</v>
      </c>
      <c r="C51" s="404">
        <v>6.1786131849999997</v>
      </c>
      <c r="D51" s="388">
        <f t="shared" si="0"/>
        <v>-0.62044327346897998</v>
      </c>
      <c r="E51" s="138"/>
      <c r="F51" s="138"/>
      <c r="G51" s="138"/>
      <c r="H51" s="138"/>
      <c r="I51" s="138"/>
      <c r="J51" s="138"/>
      <c r="L51" s="877" t="s">
        <v>237</v>
      </c>
      <c r="M51" s="878">
        <v>52.649373442500007</v>
      </c>
      <c r="N51" s="878">
        <v>178.10191256249999</v>
      </c>
    </row>
    <row r="52" spans="1:14" ht="10.5" customHeight="1">
      <c r="A52" s="392" t="s">
        <v>118</v>
      </c>
      <c r="B52" s="403">
        <v>2.2543161975000001</v>
      </c>
      <c r="C52" s="403">
        <v>3.0829350000000002E-3</v>
      </c>
      <c r="D52" s="386">
        <f t="shared" si="0"/>
        <v>730.22404380890282</v>
      </c>
      <c r="E52" s="138"/>
      <c r="F52" s="138"/>
      <c r="G52" s="138"/>
      <c r="H52" s="138"/>
      <c r="I52" s="138"/>
      <c r="J52" s="138"/>
      <c r="L52" s="877" t="s">
        <v>96</v>
      </c>
      <c r="M52" s="878">
        <v>67.277693587499996</v>
      </c>
      <c r="N52" s="878">
        <v>61.515422207499995</v>
      </c>
    </row>
    <row r="53" spans="1:14" ht="10.5" customHeight="1">
      <c r="A53" s="391" t="s">
        <v>114</v>
      </c>
      <c r="B53" s="404">
        <v>2.2056392874999999</v>
      </c>
      <c r="C53" s="404">
        <v>1.4731064675000001</v>
      </c>
      <c r="D53" s="388">
        <f t="shared" si="0"/>
        <v>0.49727079213980829</v>
      </c>
      <c r="E53" s="138"/>
      <c r="F53" s="138"/>
      <c r="G53" s="138"/>
      <c r="H53" s="138"/>
      <c r="I53" s="138"/>
      <c r="J53" s="138"/>
      <c r="L53" s="877" t="s">
        <v>91</v>
      </c>
      <c r="M53" s="878">
        <v>74.674737309999983</v>
      </c>
      <c r="N53" s="878">
        <v>81.070082022500003</v>
      </c>
    </row>
    <row r="54" spans="1:14" ht="10.5" customHeight="1">
      <c r="A54" s="392" t="s">
        <v>116</v>
      </c>
      <c r="B54" s="403">
        <v>1.778</v>
      </c>
      <c r="C54" s="403">
        <v>1.7484999999999999</v>
      </c>
      <c r="D54" s="386">
        <f t="shared" si="0"/>
        <v>1.6871604232199022E-2</v>
      </c>
      <c r="E54" s="138"/>
      <c r="F54" s="138"/>
      <c r="G54" s="138"/>
      <c r="H54" s="138"/>
      <c r="I54" s="138"/>
      <c r="J54" s="138"/>
      <c r="L54" s="877" t="s">
        <v>92</v>
      </c>
      <c r="M54" s="878">
        <v>96.921251457499991</v>
      </c>
      <c r="N54" s="878">
        <v>114.74266646499999</v>
      </c>
    </row>
    <row r="55" spans="1:14" ht="10.5" customHeight="1">
      <c r="A55" s="391" t="s">
        <v>115</v>
      </c>
      <c r="B55" s="404">
        <v>1.752275695</v>
      </c>
      <c r="C55" s="404">
        <v>2.2764898775</v>
      </c>
      <c r="D55" s="388">
        <f t="shared" si="0"/>
        <v>-0.23027301271186962</v>
      </c>
      <c r="E55" s="138"/>
      <c r="F55" s="138"/>
      <c r="G55" s="138"/>
      <c r="H55" s="138"/>
      <c r="I55" s="138"/>
      <c r="J55" s="138"/>
      <c r="L55" s="877" t="s">
        <v>98</v>
      </c>
      <c r="M55" s="878">
        <v>97.891370520000009</v>
      </c>
      <c r="N55" s="878">
        <v>90.175472232499999</v>
      </c>
    </row>
    <row r="56" spans="1:14" ht="10.5" customHeight="1">
      <c r="A56" s="526" t="s">
        <v>102</v>
      </c>
      <c r="B56" s="403">
        <v>1.6593142925</v>
      </c>
      <c r="C56" s="403">
        <v>19.777545910000001</v>
      </c>
      <c r="D56" s="386">
        <f t="shared" si="0"/>
        <v>-0.9161011027328213</v>
      </c>
      <c r="E56" s="138"/>
      <c r="F56" s="138"/>
      <c r="G56" s="138"/>
      <c r="H56" s="138"/>
      <c r="I56" s="138"/>
      <c r="J56" s="138"/>
      <c r="L56" s="878" t="s">
        <v>241</v>
      </c>
      <c r="M56" s="878">
        <v>112.82320224999998</v>
      </c>
      <c r="N56" s="878">
        <v>197.05011252249997</v>
      </c>
    </row>
    <row r="57" spans="1:14" ht="10.5" customHeight="1">
      <c r="A57" s="391" t="s">
        <v>104</v>
      </c>
      <c r="B57" s="404">
        <v>1.6509693974999999</v>
      </c>
      <c r="C57" s="404">
        <v>11.053060609999999</v>
      </c>
      <c r="D57" s="388">
        <f t="shared" si="0"/>
        <v>-0.8506323763387017</v>
      </c>
      <c r="E57" s="138"/>
      <c r="F57" s="138"/>
      <c r="G57" s="138"/>
      <c r="H57" s="138"/>
      <c r="I57" s="138"/>
      <c r="J57" s="138"/>
      <c r="L57" s="877" t="s">
        <v>90</v>
      </c>
      <c r="M57" s="878">
        <v>116.32503788000001</v>
      </c>
      <c r="N57" s="878">
        <v>199.33547690250001</v>
      </c>
    </row>
    <row r="58" spans="1:14" ht="10.5" customHeight="1">
      <c r="A58" s="392" t="s">
        <v>119</v>
      </c>
      <c r="B58" s="403">
        <v>1.1539812725</v>
      </c>
      <c r="C58" s="403">
        <v>2.3326609225000001</v>
      </c>
      <c r="D58" s="386">
        <f>IF(C58=0,"",B58/C58-1)</f>
        <v>-0.50529403507851667</v>
      </c>
      <c r="E58" s="138"/>
      <c r="F58" s="138"/>
      <c r="G58" s="138"/>
      <c r="H58" s="138"/>
      <c r="I58" s="138"/>
      <c r="J58" s="138"/>
      <c r="L58" s="877" t="s">
        <v>100</v>
      </c>
      <c r="M58" s="878">
        <v>186.72839376000002</v>
      </c>
      <c r="N58" s="878">
        <v>13.872878844999999</v>
      </c>
    </row>
    <row r="59" spans="1:14" ht="10.5" customHeight="1">
      <c r="A59" s="391" t="s">
        <v>117</v>
      </c>
      <c r="B59" s="404">
        <v>0.78010133500000001</v>
      </c>
      <c r="C59" s="404">
        <v>1.0079221650000001</v>
      </c>
      <c r="D59" s="388">
        <f t="shared" si="0"/>
        <v>-0.2260301816063347</v>
      </c>
      <c r="E59" s="138"/>
      <c r="F59" s="138"/>
      <c r="G59" s="138"/>
      <c r="H59" s="138"/>
      <c r="I59" s="138"/>
      <c r="J59" s="138"/>
      <c r="L59" s="878" t="s">
        <v>239</v>
      </c>
      <c r="M59" s="878">
        <v>389.7718950675</v>
      </c>
      <c r="N59" s="878">
        <v>187.75061648249999</v>
      </c>
    </row>
    <row r="60" spans="1:14" ht="10.5" customHeight="1">
      <c r="A60" s="392" t="s">
        <v>453</v>
      </c>
      <c r="B60" s="405">
        <v>0.313634945</v>
      </c>
      <c r="C60" s="405">
        <v>0.35187152500000002</v>
      </c>
      <c r="D60" s="393">
        <f t="shared" si="0"/>
        <v>-0.10866630938664334</v>
      </c>
      <c r="E60" s="138"/>
      <c r="F60" s="138"/>
      <c r="G60" s="138"/>
      <c r="H60" s="138"/>
      <c r="I60" s="138"/>
      <c r="J60" s="138"/>
      <c r="L60" s="877" t="s">
        <v>89</v>
      </c>
      <c r="M60" s="878">
        <v>495.86344919999999</v>
      </c>
      <c r="N60" s="878">
        <v>598.03115303999994</v>
      </c>
    </row>
    <row r="61" spans="1:14" ht="10.5" customHeight="1">
      <c r="A61" s="394" t="s">
        <v>243</v>
      </c>
      <c r="B61" s="404">
        <v>2.0550174999999999E-3</v>
      </c>
      <c r="C61" s="404">
        <v>2.588E-3</v>
      </c>
      <c r="D61" s="388">
        <f t="shared" si="0"/>
        <v>-0.20594377897990734</v>
      </c>
      <c r="E61" s="138"/>
      <c r="F61" s="138"/>
      <c r="G61" s="138"/>
      <c r="H61" s="138"/>
      <c r="I61" s="138"/>
      <c r="J61" s="138"/>
      <c r="L61" s="877" t="s">
        <v>87</v>
      </c>
      <c r="M61" s="878">
        <v>563.64495270750001</v>
      </c>
      <c r="N61" s="878">
        <v>658.32935513250004</v>
      </c>
    </row>
    <row r="62" spans="1:14" s="725" customFormat="1" ht="10.5" customHeight="1">
      <c r="A62" s="392" t="s">
        <v>236</v>
      </c>
      <c r="B62" s="405">
        <v>0</v>
      </c>
      <c r="C62" s="405">
        <v>2.2500000000000003E-8</v>
      </c>
      <c r="D62" s="393">
        <f t="shared" si="0"/>
        <v>-1</v>
      </c>
      <c r="E62" s="138"/>
      <c r="F62" s="138"/>
      <c r="G62" s="138"/>
      <c r="H62" s="138"/>
      <c r="I62" s="138"/>
      <c r="J62" s="138"/>
      <c r="L62" s="877" t="s">
        <v>88</v>
      </c>
      <c r="M62" s="878">
        <v>715.97116107249997</v>
      </c>
      <c r="N62" s="878">
        <v>525.68116585249993</v>
      </c>
    </row>
    <row r="63" spans="1:14" s="725" customFormat="1" ht="10.5" customHeight="1">
      <c r="A63" s="394" t="s">
        <v>412</v>
      </c>
      <c r="B63" s="404">
        <v>0</v>
      </c>
      <c r="C63" s="404">
        <v>0.28337299999999999</v>
      </c>
      <c r="D63" s="388">
        <f t="shared" si="0"/>
        <v>-1</v>
      </c>
      <c r="E63" s="138"/>
      <c r="F63" s="138"/>
      <c r="G63" s="138"/>
      <c r="H63" s="138"/>
      <c r="I63" s="138"/>
      <c r="J63" s="138"/>
      <c r="L63" s="877" t="s">
        <v>410</v>
      </c>
      <c r="M63" s="878">
        <v>819.39802121750006</v>
      </c>
      <c r="N63" s="878">
        <v>782.59905707999985</v>
      </c>
    </row>
    <row r="64" spans="1:14" s="725" customFormat="1" ht="10.5" customHeight="1">
      <c r="A64" s="829" t="s">
        <v>244</v>
      </c>
      <c r="B64" s="830">
        <v>0</v>
      </c>
      <c r="C64" s="830">
        <v>0.38668080999999999</v>
      </c>
      <c r="D64" s="831">
        <f t="shared" si="0"/>
        <v>-1</v>
      </c>
      <c r="E64" s="138"/>
      <c r="F64" s="138"/>
      <c r="G64" s="138"/>
      <c r="H64" s="138"/>
      <c r="I64" s="138"/>
      <c r="J64" s="138"/>
      <c r="L64" s="877"/>
      <c r="M64" s="878"/>
      <c r="N64" s="878"/>
    </row>
    <row r="65" spans="1:14" ht="10.5" customHeight="1">
      <c r="A65" s="734" t="s">
        <v>42</v>
      </c>
      <c r="B65" s="735">
        <f>+SUM(B6:B64)</f>
        <v>4385.3678599025016</v>
      </c>
      <c r="C65" s="735">
        <f>+SUM(C6:C64)</f>
        <v>4397.7270338524986</v>
      </c>
      <c r="D65" s="359">
        <f>IF(C65=0,"",B65/C65-1)</f>
        <v>-2.8103549526515836E-3</v>
      </c>
      <c r="E65" s="138"/>
      <c r="F65" s="138"/>
      <c r="G65" s="138"/>
      <c r="H65" s="138"/>
      <c r="I65" s="138"/>
      <c r="J65" s="138"/>
      <c r="L65" s="877"/>
      <c r="M65" s="878"/>
      <c r="N65" s="878"/>
    </row>
    <row r="66" spans="1:14" ht="40.5" customHeight="1">
      <c r="A66" s="934" t="str">
        <f>"Cuadro N° 6: Participación de las empresas generadoras del COES en la producción de energía eléctrica (GWh) en "&amp;'1. Resumen'!Q4</f>
        <v>Cuadro N° 6: Participación de las empresas generadoras del COES en la producción de energía eléctrica (GWh) en noviembre</v>
      </c>
      <c r="B66" s="934"/>
      <c r="C66" s="934"/>
      <c r="D66" s="524"/>
      <c r="E66" s="933" t="str">
        <f>"Gráfico N° 10: Comparación de producción energética (GWh) de las empresas generadoras del COES en "&amp;'1. Resumen'!Q4</f>
        <v>Gráfico N° 10: Comparación de producción energética (GWh) de las empresas generadoras del COES en noviembre</v>
      </c>
      <c r="F66" s="933"/>
      <c r="G66" s="933"/>
      <c r="H66" s="933"/>
      <c r="I66" s="933"/>
      <c r="J66" s="933"/>
    </row>
    <row r="67" spans="1:14">
      <c r="A67" s="927"/>
      <c r="B67" s="927"/>
      <c r="C67" s="927"/>
      <c r="D67" s="927"/>
      <c r="E67" s="927"/>
      <c r="F67" s="927"/>
      <c r="G67" s="927"/>
      <c r="H67" s="927"/>
      <c r="I67" s="927"/>
      <c r="J67" s="927"/>
    </row>
    <row r="68" spans="1:14">
      <c r="A68" s="928"/>
      <c r="B68" s="928"/>
      <c r="C68" s="928"/>
      <c r="D68" s="928"/>
      <c r="E68" s="928"/>
      <c r="F68" s="928"/>
      <c r="G68" s="928"/>
      <c r="H68" s="928"/>
      <c r="I68" s="928"/>
      <c r="J68" s="928"/>
    </row>
    <row r="69" spans="1:14">
      <c r="A69" s="927"/>
      <c r="B69" s="927"/>
      <c r="C69" s="927"/>
      <c r="D69" s="927"/>
      <c r="E69" s="927"/>
      <c r="F69" s="927"/>
      <c r="G69" s="927"/>
      <c r="H69" s="927"/>
      <c r="I69" s="927"/>
      <c r="J69" s="927"/>
    </row>
    <row r="70" spans="1:14">
      <c r="A70" s="928"/>
      <c r="B70" s="928"/>
      <c r="C70" s="928"/>
      <c r="D70" s="928"/>
      <c r="E70" s="928"/>
      <c r="F70" s="928"/>
      <c r="G70" s="928"/>
      <c r="H70" s="928"/>
      <c r="I70" s="928"/>
      <c r="J70" s="928"/>
    </row>
  </sheetData>
  <mergeCells count="10">
    <mergeCell ref="A67:J67"/>
    <mergeCell ref="A68:J68"/>
    <mergeCell ref="A69:J69"/>
    <mergeCell ref="A70:J70"/>
    <mergeCell ref="A2:I2"/>
    <mergeCell ref="A4:A5"/>
    <mergeCell ref="B4:D4"/>
    <mergeCell ref="G4:I4"/>
    <mergeCell ref="E66:J66"/>
    <mergeCell ref="A66:C6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Mensual-Noviembre 2020
INFSGI-MES-11-2020
14/12/2020
Versión: 01</oddHeader>
    <oddFooter>&amp;L&amp;7COES, 2020&amp;C7&amp;R&amp;7Dirección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32</vt:i4>
      </vt:variant>
      <vt:variant>
        <vt:lpstr>Rangos con nombre</vt:lpstr>
      </vt:variant>
      <vt:variant>
        <vt:i4>23</vt:i4>
      </vt:variant>
    </vt:vector>
  </HeadingPairs>
  <TitlesOfParts>
    <vt:vector size="55"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'29.ANEXO III-5'!Área_de_impresión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USER</cp:lastModifiedBy>
  <cp:lastPrinted>2020-12-14T06:18:47Z</cp:lastPrinted>
  <dcterms:created xsi:type="dcterms:W3CDTF">2018-02-13T14:18:17Z</dcterms:created>
  <dcterms:modified xsi:type="dcterms:W3CDTF">2020-12-14T06:19:44Z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