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style8.xml" ContentType="application/vnd.ms-office.chartstyle+xml"/>
  <Override PartName="/xl/charts/colors8.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12. Diciembre\"/>
    </mc:Choice>
  </mc:AlternateContent>
  <xr:revisionPtr revIDLastSave="0" documentId="13_ncr:1_{B23C3DF7-D0D3-4F1C-B23B-3276D33BAEE6}"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Contraportada" sheetId="59" r:id="rId30"/>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ANEXOI-3'!$A$1:$G$69</definedName>
    <definedName name="_xlnm.Print_Area" localSheetId="22">'21. ANEXOII-1'!$A$1:$F$84</definedName>
    <definedName name="_xlnm.Print_Area" localSheetId="24">'23. ANEXOII-3'!$A$1:$F$72</definedName>
    <definedName name="_xlnm.Print_Area" localSheetId="26">'25.ANEXO III -1'!$A$1:$F$15</definedName>
    <definedName name="_xlnm.Print_Area" localSheetId="27">'26.ANEXO III-2'!$A$1:$F$15</definedName>
    <definedName name="_xlnm.Print_Area" localSheetId="28">'26.ANEXO III-3'!$A$1:$F$15</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8" i="6" l="1"/>
  <c r="D38" i="6"/>
  <c r="D36" i="6"/>
  <c r="B69" i="11"/>
  <c r="F14" i="7" l="1"/>
  <c r="C69" i="11" l="1"/>
  <c r="I8" i="22" l="1"/>
  <c r="I9" i="22"/>
  <c r="I10" i="22"/>
  <c r="H14" i="21"/>
  <c r="G14" i="21"/>
  <c r="D17" i="21"/>
  <c r="E17" i="21"/>
  <c r="F17" i="21"/>
  <c r="I15" i="6" l="1"/>
  <c r="H15" i="6"/>
  <c r="B11" i="9" l="1"/>
  <c r="C11" i="9"/>
  <c r="D11" i="9"/>
  <c r="E11" i="9"/>
  <c r="A43" i="10" l="1"/>
  <c r="A64" i="10"/>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F54" i="38"/>
  <c r="D70" i="13" l="1"/>
  <c r="D69" i="13"/>
  <c r="D68" i="13"/>
  <c r="D67" i="13"/>
  <c r="D66" i="13"/>
  <c r="D65" i="13"/>
  <c r="D64" i="13"/>
  <c r="D63" i="13"/>
  <c r="D62" i="13"/>
  <c r="D61" i="13"/>
  <c r="D60" i="13"/>
  <c r="D59" i="13"/>
  <c r="D58" i="13"/>
  <c r="D57" i="13"/>
  <c r="D56" i="13"/>
  <c r="D55" i="13"/>
  <c r="D54" i="13"/>
  <c r="D53" i="13"/>
  <c r="D52" i="13"/>
  <c r="D51" i="13"/>
  <c r="D50" i="13"/>
  <c r="D49"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M20" i="6" l="1"/>
  <c r="H19" i="8"/>
  <c r="B19" i="8" l="1"/>
  <c r="D16" i="7" l="1"/>
  <c r="A58" i="12" l="1"/>
  <c r="F70" i="45" l="1"/>
  <c r="F69" i="45"/>
  <c r="F68" i="45"/>
  <c r="F66" i="45"/>
  <c r="F65" i="45"/>
  <c r="B71" i="13" l="1"/>
  <c r="G12" i="7" l="1"/>
  <c r="E12" i="7"/>
  <c r="D33" i="6" l="1"/>
  <c r="J11" i="22"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G54" i="38"/>
  <c r="C11" i="22" l="1"/>
  <c r="D11" i="22"/>
  <c r="E11" i="22"/>
  <c r="F11" i="22"/>
  <c r="G11" i="22"/>
  <c r="H11" i="22"/>
  <c r="B11"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12" i="13" l="1"/>
  <c r="D11" i="13"/>
  <c r="D10" i="13"/>
  <c r="D9" i="13"/>
  <c r="D8" i="13"/>
  <c r="D6" i="11"/>
  <c r="D7" i="13" l="1"/>
  <c r="K12" i="12" l="1"/>
  <c r="K11" i="12"/>
  <c r="F58" i="46" l="1"/>
  <c r="E4" i="45" l="1"/>
  <c r="E4" i="46" s="1"/>
  <c r="B14" i="12" l="1"/>
  <c r="F14" i="8"/>
  <c r="N14" i="18" l="1"/>
  <c r="J11" i="9" l="1"/>
  <c r="H11" i="9"/>
  <c r="G11" i="9"/>
  <c r="D6" i="16" l="1"/>
  <c r="C28" i="14" l="1"/>
  <c r="A36" i="22" l="1"/>
  <c r="F6" i="36" l="1"/>
  <c r="A70" i="11" l="1"/>
  <c r="F22" i="8" l="1"/>
  <c r="C19" i="8"/>
  <c r="D19" i="8"/>
  <c r="E19" i="8"/>
  <c r="E12" i="9" s="1"/>
  <c r="J12" i="7"/>
  <c r="H12" i="7"/>
  <c r="C12" i="7"/>
  <c r="B12" i="7"/>
  <c r="F19" i="8" l="1"/>
  <c r="I18" i="12"/>
  <c r="F18" i="12"/>
  <c r="J14"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7"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2" i="22" l="1"/>
  <c r="B58" i="18"/>
  <c r="B40" i="18"/>
  <c r="B21" i="18"/>
  <c r="F72" i="13"/>
  <c r="B18" i="12" l="1"/>
  <c r="B20" i="12" s="1"/>
  <c r="C18" i="12"/>
  <c r="D18" i="12"/>
  <c r="D20" i="12" s="1"/>
  <c r="E18" i="12"/>
  <c r="E20" i="12" s="1"/>
  <c r="G18" i="12"/>
  <c r="G20" i="12" s="1"/>
  <c r="H18" i="12"/>
  <c r="H20" i="12" s="1"/>
  <c r="J18" i="12"/>
  <c r="J20" i="12" s="1"/>
  <c r="F35" i="6" l="1"/>
  <c r="F37" i="6"/>
  <c r="F11" i="14" l="1"/>
  <c r="F36" i="6" l="1"/>
  <c r="F34" i="6"/>
  <c r="A58" i="7" l="1"/>
  <c r="E33" i="6"/>
  <c r="E70" i="11" l="1"/>
  <c r="C45" i="10"/>
  <c r="D3" i="36" l="1"/>
  <c r="C3" i="36"/>
  <c r="F2" i="37"/>
  <c r="F3" i="23"/>
  <c r="C2" i="23"/>
  <c r="C1" i="37" s="1"/>
  <c r="C1" i="38" s="1"/>
  <c r="E15" i="22"/>
  <c r="A15" i="22"/>
  <c r="A12" i="22"/>
  <c r="A18" i="21"/>
  <c r="F6" i="21"/>
  <c r="E6" i="21"/>
  <c r="D6" i="21"/>
  <c r="B47" i="18"/>
  <c r="B28" i="18"/>
  <c r="B10" i="18"/>
  <c r="C31" i="16"/>
  <c r="E6" i="16"/>
  <c r="A72" i="13"/>
  <c r="B3" i="13"/>
  <c r="B4" i="11"/>
  <c r="C4" i="11" s="1"/>
  <c r="B3" i="11"/>
  <c r="G6" i="7"/>
  <c r="G4" i="8" s="1"/>
  <c r="G4" i="9" s="1"/>
  <c r="D7" i="7"/>
  <c r="E7" i="7" s="1"/>
  <c r="A49" i="6"/>
  <c r="B39"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38"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<sst xmlns="http://schemas.openxmlformats.org/spreadsheetml/2006/main" count="1751" uniqueCount="792">
  <si>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</si>
  <si>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</si>
  <si>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</si>
  <si>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</si>
  <si>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</si>
  <si>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</si>
  <si>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</si>
  <si>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</si>
  <si>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</si>
  <si>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</si>
  <si>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</si>
  <si>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</si>
  <si>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</si>
  <si>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</si>
  <si>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</si>
  <si>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</si>
  <si>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</si>
  <si>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</si>
  <si>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</si>
  <si>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</si>
  <si>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</si>
  <si>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</si>
  <si>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</si>
  <si>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</si>
  <si>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</si>
  <si>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</si>
  <si>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</si>
  <si>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</si>
  <si>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</si>
  <si>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</si>
  <si>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</si>
  <si>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</si>
  <si>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</si>
  <si>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</si>
  <si>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</si>
  <si>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</si>
  <si>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</si>
  <si>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</si>
  <si>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</si>
  <si>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</si>
  <si>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</si>
  <si>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</si>
  <si>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</si>
  <si>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</si>
  <si>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</si>
  <si>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</si>
  <si>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</si>
  <si>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</si>
  <si>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</si>
  <si>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</si>
  <si>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</si>
  <si>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</si>
  <si>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</si>
  <si>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</si>
  <si>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</si>
  <si>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</si>
  <si>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</si>
  <si>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</si>
  <si>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</si>
  <si>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</si>
  <si>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</si>
  <si>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</si>
  <si>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</si>
  <si>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</si>
  <si>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</si>
  <si>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</si>
  <si>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</si>
  <si>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</si>
  <si>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</si>
  <si>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</si>
  <si>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</si>
  <si>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</si>
  <si>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</si>
  <si>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</si>
  <si>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</si>
  <si>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</si>
  <si>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</si>
  <si>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</si>
  <si>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</si>
  <si>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</si>
  <si>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</si>
  <si>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</si>
  <si>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</si>
  <si>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</si>
  <si>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</si>
  <si>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</si>
  <si>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</si>
  <si>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</si>
  <si>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</si>
  <si>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</si>
  <si>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</si>
  <si>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</si>
  <si>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</si>
  <si>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</si>
  <si>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</si>
  <si>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</si>
  <si>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</si>
  <si>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</si>
  <si>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</si>
  <si>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</si>
  <si>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</si>
  <si>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</si>
  <si>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</si>
  <si>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</si>
  <si>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</si>
  <si>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</si>
  <si>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</si>
  <si>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</si>
  <si>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</si>
  <si>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</si>
  <si>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</si>
  <si>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</si>
  <si>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</si>
  <si>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</si>
  <si>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</si>
  <si>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</si>
  <si>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</si>
  <si>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</si>
  <si>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</si>
  <si>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</si>
  <si>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</si>
  <si>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</si>
  <si>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</si>
  <si>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</si>
  <si>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</si>
  <si>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</si>
  <si>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</si>
  <si>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</si>
  <si>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</si>
  <si>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</si>
  <si>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</si>
  <si>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</si>
  <si>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</si>
  <si>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</si>
  <si>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</si>
  <si>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</si>
  <si>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</si>
  <si>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</si>
  <si>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</si>
  <si>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</si>
  <si>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</si>
  <si>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</si>
  <si>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</si>
  <si>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</si>
  <si>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</si>
  <si>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</si>
  <si>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</si>
  <si>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</si>
  <si>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</si>
  <si>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</si>
  <si>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</si>
  <si>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</si>
  <si>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</si>
  <si>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</si>
  <si>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</si>
  <si>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</si>
  <si>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</si>
  <si>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</si>
  <si>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</si>
  <si>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</si>
  <si>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</si>
  <si>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</si>
  <si>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</si>
  <si>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</si>
  <si>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</si>
  <si>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</si>
  <si>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</si>
  <si>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</si>
  <si>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</si>
  <si>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</si>
  <si>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</si>
  <si>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</si>
  <si>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</si>
  <si>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</si>
  <si>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</si>
  <si>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</si>
  <si>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</si>
  <si>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</si>
  <si>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</si>
  <si>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</si>
  <si>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</si>
  <si>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</si>
  <si>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</si>
  <si>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</si>
  <si>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</si>
  <si>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</si>
  <si>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</si>
  <si>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</si>
  <si>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</si>
  <si>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</si>
  <si>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</si>
  <si>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</si>
  <si>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</si>
  <si>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</si>
  <si>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</si>
  <si>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</si>
  <si>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</si>
  <si>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</si>
  <si>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</si>
  <si>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</si>
  <si>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</si>
  <si>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</si>
  <si>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</si>
  <si>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</si>
  <si>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</si>
  <si>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</si>
  <si>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</si>
  <si>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</si>
  <si>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</si>
  <si>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</si>
  <si>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</si>
  <si>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</si>
  <si>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</si>
  <si>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</si>
  <si>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</si>
  <si>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</si>
  <si>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</si>
  <si>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</si>
  <si>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</si>
  <si>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</si>
  <si>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</si>
  <si>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</si>
  <si>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</si>
  <si>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</si>
  <si>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</si>
  <si>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</si>
  <si>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</si>
  <si>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</si>
  <si>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</si>
  <si>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</si>
  <si>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</si>
  <si>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</si>
  <si>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</si>
  <si>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</si>
  <si>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</si>
  <si>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</si>
  <si>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</si>
  <si>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</si>
  <si>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</si>
  <si>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</si>
  <si>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</si>
  <si>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</si>
  <si>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</si>
  <si>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</si>
  <si>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</si>
  <si>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</si>
  <si>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</si>
  <si>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</si>
  <si>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</si>
  <si>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</si>
  <si>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</si>
  <si>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</si>
  <si>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</si>
  <si>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</si>
  <si>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</si>
  <si>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</si>
  <si>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</si>
  <si>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</si>
  <si>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</si>
  <si>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</si>
  <si>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</si>
  <si>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</si>
  <si>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</si>
  <si>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</si>
  <si>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</si>
  <si>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</si>
  <si>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</si>
  <si>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</si>
  <si>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</si>
  <si>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</si>
  <si>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</si>
  <si>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</si>
  <si>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</si>
  <si>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</si>
  <si>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</si>
  <si>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</si>
  <si>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</si>
  <si>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</si>
  <si>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</si>
  <si>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</si>
  <si>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</si>
  <si>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</si>
  <si>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</si>
  <si>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</si>
  <si>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</si>
  <si>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</si>
  <si>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</si>
  <si>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</si>
  <si>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</si>
  <si>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</si>
  <si>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</si>
  <si>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</si>
  <si>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</si>
  <si>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</si>
  <si>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</si>
  <si>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</si>
  <si>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</si>
  <si>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</si>
  <si>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</si>
  <si>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</si>
  <si>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</si>
  <si>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</si>
  <si>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</si>
  <si>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</si>
  <si>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</si>
  <si>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</si>
  <si>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</si>
  <si>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</si>
  <si>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</si>
  <si>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</si>
  <si>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</si>
  <si>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</si>
  <si>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</si>
  <si>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</si>
  <si>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</si>
  <si>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</si>
  <si>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</si>
  <si>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</si>
  <si>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</si>
  <si>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</si>
  <si>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</si>
  <si>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</si>
  <si>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</si>
  <si>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</si>
  <si>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</si>
  <si>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</si>
  <si>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</si>
  <si>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</si>
  <si>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</si>
  <si>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</si>
  <si>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</si>
  <si>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</si>
  <si>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</si>
  <si>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</si>
  <si>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</si>
  <si>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</si>
  <si>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</si>
  <si>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</si>
  <si>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</si>
  <si>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</si>
  <si>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</si>
  <si>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</si>
  <si>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</si>
  <si>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</si>
  <si>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</si>
  <si>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</si>
  <si>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</si>
  <si>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</si>
  <si>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</si>
  <si>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</si>
  <si>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</si>
  <si>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</si>
  <si>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</si>
  <si>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</si>
  <si>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</si>
  <si>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</si>
  <si>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</si>
  <si>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</si>
  <si>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</si>
  <si>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</si>
  <si>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</si>
  <si>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</si>
  <si>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</si>
  <si>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</si>
  <si>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</si>
  <si>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</si>
  <si>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</si>
  <si>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</si>
  <si>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</si>
  <si>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</si>
  <si>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</si>
  <si>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</si>
  <si>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</si>
  <si>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</si>
  <si>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</si>
  <si>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</si>
  <si>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</si>
  <si>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</si>
  <si>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</si>
  <si>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</si>
  <si>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</si>
  <si>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</si>
  <si>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</si>
  <si>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</si>
  <si>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</si>
  <si>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</si>
  <si>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</si>
  <si>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</si>
  <si>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</si>
  <si>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</si>
  <si>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</si>
  <si>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</si>
  <si>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</si>
  <si>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</si>
  <si>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</si>
  <si>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</si>
  <si>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</si>
  <si>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</si>
  <si>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</si>
  <si>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</si>
  <si>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</si>
  <si>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</si>
  <si>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</si>
  <si>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</si>
  <si>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</si>
  <si>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</si>
  <si>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</si>
  <si>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</si>
  <si>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</si>
  <si>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</si>
  <si>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</si>
  <si>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</si>
  <si>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</si>
  <si>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</si>
  <si>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</si>
  <si>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</si>
  <si>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</si>
  <si>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</si>
  <si>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</si>
  <si>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</si>
  <si>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</si>
  <si>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</si>
  <si>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</si>
  <si>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</si>
  <si>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</si>
  <si>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</si>
  <si>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</si>
  <si>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</si>
  <si>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</si>
  <si>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</si>
  <si>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</si>
  <si>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</si>
  <si>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</si>
  <si>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</si>
  <si>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</si>
  <si>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</si>
  <si>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</si>
  <si>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</si>
  <si>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</si>
  <si>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</si>
  <si>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</si>
  <si>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</si>
  <si>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</si>
  <si>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</si>
  <si>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</si>
  <si>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</si>
  <si>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</si>
  <si>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</si>
  <si>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</si>
  <si>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</si>
  <si>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</si>
  <si>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</si>
  <si>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</si>
  <si>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</si>
  <si>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</si>
  <si>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Var (%)
2020/2019</t>
  </si>
  <si>
    <t>Var. (2020/2019)</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</si>
  <si>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</si>
  <si>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</si>
  <si>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</si>
  <si>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</si>
  <si>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</si>
  <si>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</si>
  <si>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</si>
  <si>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</si>
  <si>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</si>
  <si>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</si>
  <si>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</si>
  <si>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</si>
  <si>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</si>
  <si>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</si>
  <si>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C.H. MANTA I</t>
  </si>
  <si>
    <t>HIDRANDINA</t>
  </si>
  <si>
    <t>MAJES</t>
  </si>
  <si>
    <t>REPARTICION</t>
  </si>
  <si>
    <t>GR PAINO</t>
  </si>
  <si>
    <t>GR TARUCA</t>
  </si>
  <si>
    <t>ATRIA</t>
  </si>
  <si>
    <t>EMGE JUNÍN</t>
  </si>
  <si>
    <t>CELEPSA RENOVABLES</t>
  </si>
  <si>
    <t>STATKRAFT S.A</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</si>
  <si>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</si>
  <si>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</si>
  <si>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</si>
  <si>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</si>
  <si>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</si>
  <si>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</si>
  <si>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</si>
  <si>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</si>
  <si>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</si>
  <si>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</si>
  <si>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</si>
  <si>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</si>
  <si>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</si>
  <si>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</si>
  <si>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</si>
  <si>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</si>
  <si>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</si>
  <si>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</si>
  <si>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</si>
  <si>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</si>
  <si>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</si>
  <si>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</si>
  <si>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</si>
  <si>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</si>
  <si>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</si>
  <si>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</si>
  <si>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</si>
  <si>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</si>
  <si>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</si>
  <si>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</si>
  <si>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</si>
  <si>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</si>
  <si>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</si>
  <si>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</si>
  <si>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</si>
  <si>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</si>
  <si>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</si>
  <si>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</si>
  <si>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</si>
  <si>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</si>
  <si>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</si>
  <si>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</si>
  <si>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</si>
  <si>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</si>
  <si>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</si>
  <si>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</si>
  <si>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</si>
  <si>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</si>
  <si>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</si>
  <si>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</si>
  <si>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</si>
  <si>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</si>
  <si>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</si>
  <si>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</si>
  <si>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</si>
  <si>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</si>
  <si>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</si>
  <si>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</si>
  <si>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</si>
  <si>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</si>
  <si>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</si>
  <si>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</si>
  <si>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</si>
  <si>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</si>
  <si>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</si>
  <si>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</si>
  <si>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</si>
  <si>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</si>
  <si>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</si>
  <si>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</si>
  <si>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</si>
  <si>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</si>
  <si>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</si>
  <si>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</si>
  <si>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</si>
  <si>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</si>
  <si>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</si>
  <si>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</si>
  <si>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</si>
  <si>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</si>
  <si>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</si>
  <si>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</si>
  <si>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</si>
  <si>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</si>
  <si>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</si>
  <si>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</si>
  <si>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</si>
  <si>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</si>
  <si>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</si>
  <si>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</si>
  <si>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</si>
  <si>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</si>
  <si>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</si>
  <si>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</si>
  <si>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</si>
  <si>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</si>
  <si>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</si>
  <si>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</si>
  <si>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Pelton</t>
  </si>
  <si>
    <t>C.H. La Virgen</t>
  </si>
  <si>
    <t>G2</t>
  </si>
  <si>
    <t>15.05.2021</t>
  </si>
  <si>
    <t>(3) Inicio de operación comercial del Grupo 2 de la C.H. La Virgen propiedad de LA VIRGEN S.A.C. a las 00:00 horas del 15.05.2021</t>
  </si>
  <si>
    <t>19:45</t>
  </si>
  <si>
    <t>G1</t>
  </si>
  <si>
    <t>26.06.2021</t>
  </si>
  <si>
    <t>(4) Inicio de operación comercial del Grupo 1 de la C.H. La Virgen propiedad de LA VIRGEN S.A.C. a las 00:00 horas del 26.06.2021</t>
  </si>
  <si>
    <t>G3</t>
  </si>
  <si>
    <t>31.07.2021</t>
  </si>
  <si>
    <t>2.2.  CONCLUSIÓN DE OPERACIÓN COMERCIAL EN EL SEIN</t>
  </si>
  <si>
    <t>Diesel / Residual 6</t>
  </si>
  <si>
    <t>MCI</t>
  </si>
  <si>
    <t>C.T. Tumbes</t>
  </si>
  <si>
    <t>G1, G2</t>
  </si>
  <si>
    <t>15.07.2021</t>
  </si>
  <si>
    <t>SUBESTACION</t>
  </si>
  <si>
    <t>19:15</t>
  </si>
  <si>
    <t>Francis</t>
  </si>
  <si>
    <t>C.H. Sta. Rosa I</t>
  </si>
  <si>
    <t>C.H. Sta. Rosa II</t>
  </si>
  <si>
    <t>11.08.2021</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</si>
  <si>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</si>
  <si>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</si>
  <si>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</si>
  <si>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</si>
  <si>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</si>
  <si>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</si>
  <si>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</si>
  <si>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C.H. Zaña</t>
  </si>
  <si>
    <t>07.08.2021</t>
  </si>
  <si>
    <t>(5) Inicio de operación comercial del Grupo 3 de la C.H. La Virgen propiedad de LA VIRGEN S.A.C. a las 00:00 horas del 31.07.2021</t>
  </si>
  <si>
    <t>(6) Conclusión de operación comercial de C.T. Tumbes propiedad de ELECTROPERU a las 24:00 horas del 15.07.2021</t>
  </si>
  <si>
    <t>(8)  Inicio de operación comercial de la C.H. Santa Rosa I propiedad de CENTRALES SANTA ROSA S.A.C. a las 00:00 horas del 11.08.2021</t>
  </si>
  <si>
    <t>(9)  Inicio de operación comercial de la C.H. Santa Rosa II propiedad de CENTRALES SANTA ROSA S.A.C. a las 00:00 horas del 11.08.2021</t>
  </si>
  <si>
    <t>(7) Conclusión de operación comercial de C.H. Zaña propiedad de ELECTRO ZAÑA S.A.C. a las 00:00 horas del 07.08.2021</t>
  </si>
  <si>
    <t>Radiación solar</t>
  </si>
  <si>
    <t>Fotovoltaica</t>
  </si>
  <si>
    <t>C.S. Yarucaya</t>
  </si>
  <si>
    <t>26.09.2021</t>
  </si>
  <si>
    <t>25 mómdulos</t>
  </si>
  <si>
    <t>T-30  T3-261  T4-261</t>
  </si>
  <si>
    <t>ELECTRO PUNO</t>
  </si>
  <si>
    <t>L. AZÁNGARO - PUTINA - LINEA L-6024</t>
  </si>
  <si>
    <t>ELECTRO SUR ESTE</t>
  </si>
  <si>
    <t>L. NEPEÑA - CASMA - LINEA L-1113</t>
  </si>
  <si>
    <t>C.H. SANTA ROSA I  (8)</t>
  </si>
  <si>
    <t>C.H. SANTA ROSA II  (9)</t>
  </si>
  <si>
    <t>C.E. HUAMBOS  (1)</t>
  </si>
  <si>
    <t>C.E. DUNA  (2)</t>
  </si>
  <si>
    <t>(10)  Inicio de operación comercial de la C.S. Yarucaya propiedad de COLCA SOLAR S.A.C. a las 00:00 horas del 26.09.2021</t>
  </si>
  <si>
    <t>C.S. YARUCAYA (10)</t>
  </si>
  <si>
    <t>C.H. ZAÑA  (7)</t>
  </si>
  <si>
    <t>C.T. TUMBES  (6)</t>
  </si>
  <si>
    <t>L-6627  L-6628</t>
  </si>
  <si>
    <t>MARCONA - SAN NICOLÁS</t>
  </si>
  <si>
    <t>INDEPENDENCIA</t>
  </si>
  <si>
    <t>T62-161  T6-261</t>
  </si>
  <si>
    <t>20:15</t>
  </si>
  <si>
    <t>C.H. LA VIRGEN  (3) (4) (5)</t>
  </si>
  <si>
    <t>ELECTRO ORIENTE</t>
  </si>
  <si>
    <t>CONELSUR LT SAC</t>
  </si>
  <si>
    <t>MINERA ARUNTANI</t>
  </si>
  <si>
    <t>L. PUNO - TUCARI - LINEA L-6007</t>
  </si>
  <si>
    <t>L. AZÁNGARO - ANTAUTA - LINEA L-6021</t>
  </si>
  <si>
    <t>L-2222  L-2223</t>
  </si>
  <si>
    <t>PACHACHACA - CALLAHUANCA (REP)</t>
  </si>
  <si>
    <t>L-2090</t>
  </si>
  <si>
    <t>CHILCA - ASIA</t>
  </si>
  <si>
    <t>NORTE</t>
  </si>
  <si>
    <t>C.H. SANTA ROSA I (8)</t>
  </si>
  <si>
    <t>C.S. YARUCAYA  (10)</t>
  </si>
  <si>
    <t>C.T. TUMBES (6)</t>
  </si>
  <si>
    <t>C.E. HUAMBOS (1)</t>
  </si>
  <si>
    <t>C.H. LA VIRGEN (3) (4) (5)</t>
  </si>
  <si>
    <t>(11)  Operación por pruebas de la M.C.H. Tupuri propiedad de SAN GABÁN.</t>
  </si>
  <si>
    <t>M.C.H. TUPURI (11)</t>
  </si>
  <si>
    <t>M.C.H. TUPURI  (11)</t>
  </si>
  <si>
    <t>12:15</t>
  </si>
  <si>
    <t>20:30</t>
  </si>
  <si>
    <t>TRANSMANTARO</t>
  </si>
  <si>
    <t>L. AZÁNGARO - SAN GABÁN II - LINEA L-1010</t>
  </si>
  <si>
    <t>L. PUNO - POMATA - ILAVE - LINEA L-6027</t>
  </si>
  <si>
    <t>L. CARHUAMAYO - YAUPI - LINEA L-1701</t>
  </si>
  <si>
    <t>L. PARAMONGA N. - 09 DE OCTUBRE - LINEA L-6655</t>
  </si>
  <si>
    <t>diciembre</t>
  </si>
  <si>
    <t>La producción de energía eléctrica con centrales eólicas fue de 144,33 GWh y con centrales solares fue de 73,56 GWh, los cuales tuvieron una participación de 3,08% y 1,57% respectivamente.</t>
  </si>
  <si>
    <t>VOLUMEN ÚTIL
31-12-2021</t>
  </si>
  <si>
    <t>VOLUMEN ÚTIL
31-12-2020</t>
  </si>
  <si>
    <t>AT30-211</t>
  </si>
  <si>
    <t>CHIMBOTE 1</t>
  </si>
  <si>
    <t>L-2051 L-2052  L-5034  L-5036</t>
  </si>
  <si>
    <t>ENLACE CENTRO - SUR</t>
  </si>
  <si>
    <t>L-1122</t>
  </si>
  <si>
    <t>TINGO MARÍA - AUCAYACU</t>
  </si>
  <si>
    <t>L-2110</t>
  </si>
  <si>
    <t>HUANZA-CARABAYLLO</t>
  </si>
  <si>
    <t>L-2205  L-2206</t>
  </si>
  <si>
    <t>POMACOCHA - SAN JUAN</t>
  </si>
  <si>
    <t>13/12/2021</t>
  </si>
  <si>
    <t>01/12/2021</t>
  </si>
  <si>
    <t>02/12/2021</t>
  </si>
  <si>
    <t>03/12/2021</t>
  </si>
  <si>
    <t>15:45</t>
  </si>
  <si>
    <t>04/12/2021</t>
  </si>
  <si>
    <t>05/12/2021</t>
  </si>
  <si>
    <t>06/12/2021</t>
  </si>
  <si>
    <t>14:30</t>
  </si>
  <si>
    <t>07/12/2021</t>
  </si>
  <si>
    <t>08/12/2021</t>
  </si>
  <si>
    <t>09/12/2021</t>
  </si>
  <si>
    <t>14:45</t>
  </si>
  <si>
    <t>10/12/2021</t>
  </si>
  <si>
    <t>11/12/2021</t>
  </si>
  <si>
    <t>12/12/2021</t>
  </si>
  <si>
    <t>14/12/2021</t>
  </si>
  <si>
    <t>15/12/2021</t>
  </si>
  <si>
    <t>16/12/2021</t>
  </si>
  <si>
    <t>17/12/2021</t>
  </si>
  <si>
    <t>18/12/2021</t>
  </si>
  <si>
    <t>19/12/2021</t>
  </si>
  <si>
    <t>23:15</t>
  </si>
  <si>
    <t>20/12/2021</t>
  </si>
  <si>
    <t>21/12/2021</t>
  </si>
  <si>
    <t>22/12/2021</t>
  </si>
  <si>
    <t>15:30</t>
  </si>
  <si>
    <t>23/12/2021</t>
  </si>
  <si>
    <t>11:00</t>
  </si>
  <si>
    <t>24/12/2021</t>
  </si>
  <si>
    <t>11:15</t>
  </si>
  <si>
    <t>25/12/2021</t>
  </si>
  <si>
    <t>26/12/2021</t>
  </si>
  <si>
    <t>27/12/2021</t>
  </si>
  <si>
    <t>28/12/2021</t>
  </si>
  <si>
    <t>29/12/2021</t>
  </si>
  <si>
    <t>30/12/2021</t>
  </si>
  <si>
    <t>31/12/2021</t>
  </si>
  <si>
    <t>ATN 1 S.A.</t>
  </si>
  <si>
    <t>L. TINTAYA NUEVA - CONSTANCIA - LINEA L-2024</t>
  </si>
  <si>
    <t>Desconectó la línea L-2024 (Tintaya Nueva - Constancia) de 220 kV por falla monofásica en la fase "T", debido a descargas atmosféricas en la zona, según lo informado por ATN 1, titular de la línea.La falla fue despejada con la apertura tripolar del interruptor en la S.E Tintaya Nueva, en el extremo de la S.E. Constancia la protección realizó el recierre monofásico. Como consecuencia se interrumpió su carga de Minera Constancia con un total de 88.53 MW. A las 17:01 h se conectó la línea y se procedió a coordinar la normalización del suministro interrumpido. A las 17:03 h se energizan los transformadores TP0-1102 y TP0-1103 en la S.E. Constancia.A las 17:45 h, luego de regular la tensión en la S.E. Tintaya Nueva, se energizan las barras de 23 kV en la S.E. Constancia.</t>
  </si>
  <si>
    <t>L. MOROCOCHA - CARLOS FRANCISCO - LINEA L-6532</t>
  </si>
  <si>
    <t>Desconectaron las líneas L-6532 y L-6533 (Morococha - Carlos Francisco) de 60 kV, porfalla monofásica en la fase "T", que instantes después evolucionó a falla bifásica entre las fases "S y T", en la celda CL-6534 de la S.E. Casapalca, cuya causa no ha sido informada por STK, titular de los equipos. Como consecuencia se interrumpieron las subestaciones de Carlos Francisco, Ticlio, Casapalca, Casapalca Norte y San Mateo, con una carga total de 29.83 MW, y salió de servicio la C.H. Huanchor con 18.846 MW. A las 14:06 h, SKP conectó las líneas y se restableció los suministros interrumpidos. A las 14:31 h, sincronizaron los generadores de la C.H. Huanchor.</t>
  </si>
  <si>
    <t>L. HUANCAVELICA - INGENIO - LINEA L-6643</t>
  </si>
  <si>
    <t>Desconectó la línea L-6643 (Huancavelica - Ingenio) en 60 kV, por falla monofásica a tierra en la fase "T" a 14.1 Km de la S.E. Huancavelica, debido a descargas atmosféricas en la zona de falla, según lo informado por Conelsur, titular de la línea.Como consecuencia se interrumpió los suministros de las SS.EE Ingenio, Caudalosa y Minera Kolpa con 9.22 MW. A las 14:25 h, se conectó la línea L-6643 y se procedió a recuperar los suministros interrumpidos. A las 14:35 h se pone en servicio la línea L-6644.</t>
  </si>
  <si>
    <t>Desconectó la línea L-6007 (Puno - Tucari) de 60 kV por falla cuya causa no fue informada por Minera Aruntani, titular de la línea. Como consecuencia se interrumpió el suministro en la S.E. Tucari con aproximadamente 1.21 MW. A las 08:03 h, se conectó la línea L-6007 y se procedió a recuperar la carga interrumpida.</t>
  </si>
  <si>
    <t>Se produjo la desconexión de la línea L-1113 (Nepeña - Casma) de 138 kV por falla bifásica entre las fases "S" y "T" debido a pérdida de aislamiento por falta de mantenimiento en los aisladores y densa neblina en la zona, según lo informado por Hidrandina, titular de la línea. Como consecuencia se interrumpió el suministro de la S.E. Casma con 5.66 MW y Sider Perú redujo su caraga en 4.0 MW. A las 03:53 h, se conectó la línea con lo cual se inició el restablecimiento del suministro interrumpido.</t>
  </si>
  <si>
    <t xml:space="preserve">Se produjo la desconexión de la línea L-1113 (Nepeña - Casma) de 138 kV por falla monofásica en la fase "S", debido a pérdida de aislamiento por falta de mantenimiento en los aisladores y densa neblina en la zona, según lo informado por Hidrandina, titular de la línea. Como consecuencia se interrumpió el suministro de la S.E. Casma con un total de 4.45 MW y Sider Perú redujo su carga en 3.0 MW. A las 04:11 h, se conectó la línea con lo cual se inició el restablecimiento del suministro interrumpido. </t>
  </si>
  <si>
    <t>Se produjo la desconexión de la línea L-1113 (Nepeña - Casma) de 138 kV por falla monofásica en la fase "T", debido a pérdida de aislamiento por falta de mantenimiento en los aisladores y densa neblina en la zona, según lo informado por Hidrandina, titular de la línea. Como consecuencia se interrumpió el suministro de la S.E. Casma con 4.04 MW. A las 08:04 h, se conectó la línea con lo cual se inició el restablecimiento del suministro interrumpido.</t>
  </si>
  <si>
    <t>Desconectó la línea L-6027 (Puno – Pomata) de 60 kV por falla debido a descargas atmosféricas, según lo informado por Electro Puno, titular de la línea. Como consecuencia se interrumpió el suministro de las SS.EE. Pomata e Ilave con un total de 7.50 MW. A las 19:34 h, se energizó la línea y se procedió a normalizar el suministro interrumpido.</t>
  </si>
  <si>
    <t>S.E. MOYOBAMBA - CELDA CL-1049</t>
  </si>
  <si>
    <t>Abrió el interruptor IN-1331 de la línea L-1049 (Belaunde – Moyobamba) de 138 kV en la S.E. Moyobamba por causa que se encuentra en investigación por Electro oriente, titular del equipo. Como consecuencia se interrumpió el suministro de Moyobamba, Rioja, Nueva Cajamarca y al usuario libre Cemento Selva con un total de 12.494 MW. A las 03:27 h, se conectó la línea y se procedió a normalizar el suministro interrumpido.</t>
  </si>
  <si>
    <t>INVERSIONES SHAQSHA S.A.C.</t>
  </si>
  <si>
    <t>L. COBRIZA I - COBRIZA II - LINEA L-6602</t>
  </si>
  <si>
    <t>Se produjo la desconexión de la línea L-6602 (Cobriza I - Cobriza II) de 69 kV por falla trifásica, debido a descargas atmosféricas, según lo informado por Inversiones Shaqsha, titular de la línea. Como consecuencia se interrumpió el suministro de la S.E. Cobriza II con 1.30 MW. A las 18:09 h, se conectó la línea con lo cual se inició el restablecimiento del suministro interrumpido.</t>
  </si>
  <si>
    <t>L. GUADALUPE - GALLITO CIEGO - LINEA L-6646</t>
  </si>
  <si>
    <t>Se produjo la desconexión de las líneas L-6646/6656 (Guadalupe - Gallito Ciego) de 60 kV en la S.E. Gallito Ciego por falla cuya causa no fue informada por Hidrandina y Statkraft, titulares de las líneas y celdas, respectivamente. Como consecuencia se interrumpieron los suministros de las SS.EE. Chilete, Tembladera, Cajamarca y Celendín con un total de 18.1 MW y se produjo la desconexión de la C.H. Gallito Ciego con 36.36 MW. Asimismo, Cementos Pacasmayo redujo su carga en 9.55 MW. A la 01:29 h, el COES autorizó la normalización de la carga de Cementos Pacasmayo. A las 03:46 h, se conectó la línea L-6656. A las 03:47 h, se conectó la línea L-6646 con lo cual se inició el restablecimiento del suministro interrumpido.</t>
  </si>
  <si>
    <t>ELECTROCENTRO</t>
  </si>
  <si>
    <t>L. COBRIZA I - PAMPAS - LINEA L-6066</t>
  </si>
  <si>
    <t>Desconectó la línea L-6066 (Cobriza I – Las Pampas) de 69 kV por falla, debido a descargas atmosféricas en la zona de falla, según lo informado por Electrocentro, titular de la línea. Como consecuencia se interrumpió el suministro de Las Pampas (1.8 MW) y desconectó la CH San Balbín (0.16 MW). A las 19:15 h, se conectó la línea y se procedió a normalizar el suministro interrumpido</t>
  </si>
  <si>
    <t>Se produjo la desconexión de la línea L-6655 (Paramonga Nueva - 9 de Octubre) de 66 kV por falla monofásica en la fase "R", debido a descarga a tierra de cadena de aisladores en la estructura N° 110,según lo informado por Hidrandina, titular de la línea. Como consecuencia se interrumpió la carga de las SS.EE. Huarmey y Puerto Antamina con un total de 5.60 MW. A las 00:57 h se conectó la línea con lo cual se inició el restablecimiento de los suministros interrumpidos.</t>
  </si>
  <si>
    <t>L. SAN GABÁN II - MAZUCO - LINEA L-1014</t>
  </si>
  <si>
    <t xml:space="preserve">Se produjo la desconexión de la línea L-1014 (San Gabán - Mazuco) de 138 kV en la S.E. San Gabán por falla monofásica en la fase "S" debido a descargas atmosféricas, según lo informado por Electro Sur Este, titular de la línea. Como consecuencia se interrumpió el suministro de las SS.EE. Mazuco y Puerto Maldonado con un total de 11.92 MW. Asimismo, desconectaron las CC.HH. Ángel II y III cuando generaban 30.6 MW . A las 02:02 h se conectó la línea L-1014 y se recuperó la carga de la S.E. Mazuco. A las 02:08 h, se conectó la línea L-1015 y se recuperó la carga de la S.E. Puerto Maldonado. A partir de las 02:22 h se inició la sincronización de los grupos de las CC.HH. El Ángel II y III. </t>
  </si>
  <si>
    <t>MARCOBRE S.A.C.</t>
  </si>
  <si>
    <t>L. POROMA - MINA JUSTA - LINEA L-2083</t>
  </si>
  <si>
    <t>Desconectó la línea L-2083 (Poroma - Mina Justa) de 220 kV en la S.E. Mina Justa , por accionamiento del relé auxiliar de disparo, la cual fue originada por el personal que se encontraba realizando trabajos en el tablero de protección de la línea L-2083 en la S.E. Mina Justa, según lo informado por Marcobre, titular de la línea. Como consecuencia se interrumpió el suministro del usuario libre Mina Justa con 39.50 MW. A las 13:59 h se conectó la línea y se procedió a recuperar el suministro interrumpido.</t>
  </si>
  <si>
    <t>Desconectó la línea L-6655 (Paramonga - 09 de Octubre) de 60 kV por falla cuya causa se encuentra en investigación por Hidrandina, titular de la línea. Como consecuencia se interrumpió el suministro de las SS.EE. Huarmey y Puerto Antamina con un total de 4.65 MW. A las 01:42 h, se puso en servicio la línea y se procedió a recuperar la carga interrumpida.</t>
  </si>
  <si>
    <t>MINERA ARES</t>
  </si>
  <si>
    <t>L. CALLALLI - CAYLLOMA - LINEA L-6015</t>
  </si>
  <si>
    <t>Desconectó la línea L-6015 (Callalli – Caylloma) de 66 kV por falla debido a descargas atmosféricas en la zona, según lo informado por Minera Ares, titular de la línea. Como consecuencia se interrumpió el suministro de los usuarios libres Compañía Minera Ares (0.682 MW), Compañía Minera Bateas (6.036 MW) y el pueblo de Caylloma de SEAL (0.107 MW). Asimismo, desconectó la C.H. Huayllacho con 0.22 MW. A las 15:25 h, se conectó la línea y se procedió a normalizar el suministro interrumpido</t>
  </si>
  <si>
    <t>Desconectó la línea L-6027 (Puno – Pomata) de 60 kV por falla debido a descargas atmosféricas en la zona de Pomata, según lo informado por Electropuno, titular de la línea. Como consecuencia se interrumpió el suministro de Ilave y Pomata con un total 4.83 MW. A las 18:14 h, se conectó la línea y se procedió a normalizar el suministro interrumpido.</t>
  </si>
  <si>
    <t>Desconectó nuevamente la línea L-6027 (Puno – Pomata) de 60 kV por falla debido a descargas atmosféricas en la zona de Pomata, según lo informado por Electropuno, titular de la línea. Como consecuencia se interrumpió el suministro de Ilave y Pomata con 3.7 MW. A las 18:53 h, se conectó la línea y se procedió a normalizar el suministro interrumpido.</t>
  </si>
  <si>
    <t>Desconectó la línea L-1014 (San Gabán - Mazuco) de 138 kV por falla bifásica a tierra entre las fases "R" y "S" debido a descargas atmosféricas, según lo informado por Electro Sur Este, titular de la línea. Como consecuencia, se interrumpió el suministro en las SS.EE. Mazuco y Puerto Maldonado con un total de 10.998 MW. Asimismo desconectaron las CC.HH. Ángel I, Ángel II y Ángel III, con una generación de 60 MW. A las 02:10 h, se puso en servicio la línea en 138 kV L-1014 (San Gabán - Mazuco) y la barra de 138 kV de la S.E. Mazuco, y se procedió a recuperar la carga interrumpida. A las 02:12 h, se puso en servicio la línea L-1015 (Mazuco – Puerto Maldonado) y la barra de 138 kV de la S.E. Puerto Maldonado, y se procedió a recuperar la carga interrumpida.</t>
  </si>
  <si>
    <t>L. TRUJILLO NORTE - TRUJILLO NOROESTE - LINEA L-1139</t>
  </si>
  <si>
    <t>Desconectó la línea L-1139 (Trujillo Norte - Trujillo Noroeste) de 138 kV por falla monofásica en la fase "R" debido a descarga a tierra en un aislador soporte adyacente a la barra flexible de 138 kV en la S.E. Trujillo Noroeste, según lo informado por Hidrandina, titular de la línea. Como consecuencia se interrumpió el suministro en la S.E. Trujillo Noroeste con un total de 15 MW. A las 07:36 h entró en servicio la línea y se procedió a normalizar los suministros interrumpidos.</t>
  </si>
  <si>
    <t>Desconectó la línea L-6021 (Azángaro - Antauta) de 60 kV por falla debido a descargas atmosféricas en la zona, según lo informado por Electropuno, titular de la línea. Como consecuencia se interrumpió 1.57 MW en la S.E. Antauta. A las 14:47 h la línea L-6021 entró en servicio y se procedió a recuperar la carga interrumpida.</t>
  </si>
  <si>
    <t>L. COMBAPATA - SICUANI - LINEA L-6001</t>
  </si>
  <si>
    <t>Desconectó la línea L-6001 (Combapata – Sicuani) de 66 kV por falla monofásica en la fase "T" cuya causa no ha sido informada por Electro Sur Este, titular de la línea. Como consecuencia se interrumpió el suministro de la S.E. Sicuani con 0.7 MW. A las 18:23 h, se conectó la línea y se procedió a normalizar el suministro interrumpido.</t>
  </si>
  <si>
    <t>Desconectaron simultáneamente las líneas de 138 kV: L-1010 (Azángaro – San Gabán) en ambos extremos y la L-1009 (San Rafael – Azángaro) en la S.E. Azángaro, por falla monofásica en la fase "S" debido a descargas atmosféricas en la zona, según lo informado por San Gabán, titular de las líneas. Como consecuencia se activó el ERACMF interrumpiendo los suministros de la S.E. San Rafael (23.91 MW), alimentadores MZ-02 de la S.E. Mazuco (2.09 MW) y PM-06 de la S.E. Puerto Maldonado (2.65 MW), asimismo, desconectólas CC.HH. Ángel I, II y III con 60 MW. El generador G1 de la C.H. San Gabán quedó operando en sistema aislado con la carga de Mazuko, Puerto Maldonado y MINSUR. A las 19:18 h la C.H. San Gabán sincronizó con el SEIN. A las 19:34 h, 19:39 h y 19:59 h las CC.HH Ángel I, II y III respectivamente, sincronizaron con el SEIN.</t>
  </si>
  <si>
    <t>CELEPSA RENOVABLES S.R.L.</t>
  </si>
  <si>
    <t>S.E. HUARICASHASH - CELDA CL-6168</t>
  </si>
  <si>
    <t>Desconectó la línea L-6168 (Huaricashash – La Unión) de 60 kV por falla bifásica a tierra entre las fases "S y T", debido a descarga atmosférica en la zona de falla, según lo informado por Electrocentro, titular de la línea. Como consecuencia se interrumpió el suministro de Huaricashash con 1.5 MW. A las 17:14 h, se conectó la línea L-6168 y se procedió a normalizar el suministro interrumpido.</t>
  </si>
  <si>
    <t>ISA PERU</t>
  </si>
  <si>
    <t>L. AGUAYTÍA - TINGO MARÍA - LINEA L-2251</t>
  </si>
  <si>
    <t>Desconecta la línea L-2251 (Aguaytía - Tingo María) de220 kV por falla monofásica en la fase "S" a 36.7 km desde la S.E. Aguaytía debido a descargas atmosféricas, según lo informado por Isa Perú, titular de la línea.Como consecuencia se interrumpió el suministro de las SS.EE Aguaytia y Pucallpa con un total de 28.32 MW. A las 03:36 se dio orden de arranque a la C.T. Reserva Fría Pucallpa. A las 03:54 h se conectó la línea L-2251 y a las 03:55 h se recuperó la carga de la S.E Aguaytia. A las 04:00 h el sistema aislado sincronizó con el SEIN y se procede a recuperar toda la carga.</t>
  </si>
  <si>
    <t>Desconecta la línea L-2251 (Aguaytía - Tingo María) de220 kV, por falla monofásica en la fase "S" a 37 km desde la S.E. Aguaytía debido a descargas atmosféricas, según lo informado por Isa Perú, titular de la línea. Como consecuencia se interrumpió el suministro de las SS.EE Aguaytía y Pucallpa con 26.94 MW . A las 04:27 se dió orden de arranque a la C.T. de Reserva Fría Pucallpa. A las 04:33 h se inició la normalización del suministro interrumpido en sistema aislado. A las 04:46 h se conectó la línea L-2251. A las 04:47 h se recuperó la carga de la SE Aguaytia. A las 04:50 h el sistema aislado sincronizó con el SEIN Pucallpa y se procede a recuperar toda la carga.</t>
  </si>
  <si>
    <t>L. CONOCOCHA - VIZCARRA - LINEA L-2253</t>
  </si>
  <si>
    <t>Desconectó la línea L-2253 (Conococha - Vizcarra) de 220 kV por falla monofásica en fase "T", debido a causa se encuentra en investigación por ISA PERÚ, titular de la línea. Como consecuencia el cliente libre Antamina redujo carga en 40 MW, y el cliente libre Minera Santa Luisa redujo su carga en 4.66 MW. A las 14:58 h, se conectó la línea.</t>
  </si>
  <si>
    <t>COMPAÑIA TRANSMISORA ANDINA S.A.</t>
  </si>
  <si>
    <t>L. HUALLANCA - HUARAZ OESTE - LINEA L-1127</t>
  </si>
  <si>
    <t>Desconectó la línea L-1127 (Huallanca - Huaraz Oeste) de 138 kV por falla monofásica en la fase "S" a 40.9 km desde la S.E. Huallanca, causada por probable descarga atmosférica, segun lo informado por Compañía Transmisora Andina, titular de la línea. Como consecuencia, se interrumpió el suministro de Minera Barrick con 6 MW y de HIDRANDINA con 14 MW. A las 14:32 h, se puso en servicio la línea y se procedió a recuperar el suministro interrumpido.</t>
  </si>
  <si>
    <t>L. CANCHAYLLO - Der. AZULCOCHA - LINEA L-6647 A</t>
  </si>
  <si>
    <t>Se produjo la desconexión de la línea L-6647 (Canchayllo - Azulcocha) de 69 kV por apertura intempestiva del interruptor I06 en la S.E. Canchayllo, cuya causa no fue informada por EGESAC, titular del interruptor I06. Como consecuencia se interrumpió el suministro de las SS.EE. Azulcocha y Chumpe con un total de 7.20 MW. A las 14:34 h, se conectó la línea con lo cual se inició el restablecimiento del suministro interrumpido.</t>
  </si>
  <si>
    <t>EMPRESA DE GENERACION ELECTRICA CANCHAYLLO SAC</t>
  </si>
  <si>
    <t>S.E. CANCHAYLLO - SSEE S.E.</t>
  </si>
  <si>
    <t>Desconectó la línea L-6647 (Canchayllo – Chumpe) de 69 kV en la SE Canchayllo debido a causa no informada por el propietario de la celda EGECSAC. Como consecuencia se interrumpió el suministro de la SE Chumpe (7.2 MW). A las 14:34 h, se conectó la línea y se procedió a normalizar el suministro interrumpido.</t>
  </si>
  <si>
    <t>Desconectaron las líneas L-6532 y L-6533 (Morococha - Ticlio- Casapalca Norte -Carlos Francisco) de 50 kV por falla, originado por descargas atmosféricas en la zona de ticlio, según lo informado por STATKRAFT, titular de los equipos. Como consecuencia se interrumpió el suministro en las subestaciones de Carlos Francisco, Ticlio, Casapalca, Casapalca Norte y San Mateo con un total de 32.22 MW, asimismo desconectó la C.H. Huanchor con 15 MW. A las 15:29 h, STATKRAFT conectó las líneas y se restableció el suministro interrumpido. A las 16:05 h la C.H. Huanchor sincronizó con el SEIN.</t>
  </si>
  <si>
    <t>L. HUANCAVELICA - MOLLEPATA - LINEA L-2145</t>
  </si>
  <si>
    <t>Desconectó la línea L-2145 (Huancavelica - Mollepata) de 220 kV por falla trifásica debido a descargas atmosféricas, según lo informado por Transmantaro, titular de la línea. Como consecuencia, se interrumpió la carga de S.E. Mollepata con 28.89 MW y se produjo reducción de carga de aceros arequipa con un total de 10.60 MW. A las 21:37 h se puso en servicio la línea L-2145. A las 21:40 h se energizó la barra de 60 kV de la S.E. Mollepata y se procedió a recuperar los suministros interrumpidos. A las 21:50 h se autorizó normalizar el suministro de aceros arequipa.</t>
  </si>
  <si>
    <t>Desconectó la línea L-1701 (Santa Isabel – Yaupi) de 138 kV por seccionamiento del conductor de la fase "T" ubicada entre la estructura N° 23 y 24, debido al contacto de un árbol de maguey sobre el conductor, según lo informado por Statkraft, titular de la línea. Como consecuencia desconectó la C.H. Yaupi con 99.16 MW y se interrumpió el suministro eléctrico de Oxapampa, Satipo, Villa Rica, Pichanaki y Puerto Bermúdez con un total 5.5 MW. A las 03:39 h, luego de su inspección, se energizó la línea L-1701 con resultado negativo. A las 03:58 h, se coordinó operar el grupo G4 de la C.H. Yaupi en sistema aislado con la carga de la S.E. Oxapampa. A las 04:43 h, el CC-STK informó que no puede operar en aislado por problemas en el sistema de control de la Central debido a su salida intempestiva. A las 12:40 h, Statkraft informó que la línea L-1701 tiene conductor abierto en la fase "T" del vano entre las estructuras 23 y 24, por lo tanto, los trabajos correctivos tomarán hasta las 13:00 h del 30.12.21. A las 13:52 h, el generador G5 de la C.H. Yaupi inició operación en sistema aislado con la carga de la S.E. Oxapampa. El día 30.12.21 a las 22:05 h se restringió toda la carga de la S.E. Oxapampa para conectar la carga desde el SEIN. A las 22:22 h de puso en servicio la línea L-1203 (Yaupi - Oxapampa) de 138kV, procediéndose a recuperar los suministros interrumpidos.</t>
  </si>
  <si>
    <t>C.H. YAUPI - GH G5</t>
  </si>
  <si>
    <t>Desconectó el generador G5 de la CH Yaupi con 12.69 MW por actuación de su protección de frecuencia, debido al incremento de demanda en Oxapampa (Electrocentro), según lo informado por Statkraft, titular del generador. Previo al evento la unidad se encontraba operando en sistema aislado. Como consecuencia se interrumpió el suministro en la S.E. Oxapampa. A las 17:27 h, el generador G5 sincronizó nuevamente en sistema aislado.</t>
  </si>
  <si>
    <t>Desconectó el generador G5 de la CH Yaupi con 6.25 MW por causa que se encuentra en investigación por Statkraft, titular del generador. La unidad estuvo operando en sistema aislado, como consecuencia se interrumpió el suministro en la S.E. Oxapampa. A las 20:17 h, el generador G5 sincronizó nuevamente en sistema aislado.</t>
  </si>
  <si>
    <t>Desconectó la línea L-6021 (Azángaro - Antauta) de 60 kV, por falla debido a descargas atmosféricas, según lo informado por ELECTRO PUNO, titular de la línea. Como consecuencia se interrumpió el suministro en la S.E. Antauta en 1.35 MW. A las 13:55 h, se conectó la línea L-6021 y se inició el restablecimiento de la carga interrumpida.</t>
  </si>
  <si>
    <t>Desconectó la línea L-6024/L-6025 (Azángaro – Putina – Ananea) de 60 kV por falla originada debido a descargas atmosféricas en la zona de Ananea, según lo informado por Electropuno, titular de la línea. Como consecuencia se interrumpió el suministro de Huancané y Ananea con un total de 8.52 MW. A las 15:25 h, se conectó la línea y se procedió a normalizar el suministro interrumpido</t>
  </si>
  <si>
    <t>L. MALPASO - JUNÍN -CARHUAMAYO - LINEA L-6501</t>
  </si>
  <si>
    <t>Desconectó la línea L-6501B (Carhuamayo - Junín) de 50 kV por falla monofásica en la fase "R", debido a robo de conductor, informada por STATKRAFT S.A, titular de la línea. Como consecuencia, se interrumpió el suministro en la S.E.Junín con un total de 0.67 MW. La línea quedó fuera de servicio para su inspección. El día 31.12.2021 a las 19:23 h la línea entró en servicio.</t>
  </si>
  <si>
    <t>GENERADOR HIDROELÉCTRICO</t>
  </si>
  <si>
    <t>CELDA</t>
  </si>
  <si>
    <t>1.1. Producción de energía eléctrica en diciembre 2021 en comparación al mismo mes del año anterior</t>
  </si>
  <si>
    <t>El total de la producción de energía eléctrica de la empresas generadoras integrantes del COES en el mes de diciembre 2021 fue de 4 687,26  GWh, lo que representa un incremento de 104,01 GWh (2,27%) en comparación con el año 2020.</t>
  </si>
  <si>
    <t>La producción de electricidad con centrales hidroeléctricas durante el mes de diciembre 2021 fue de 2 942,29 GWh (7,08% mayor al registrado durante diciembre del año 2020).</t>
  </si>
  <si>
    <t>La producción de electricidad con centrales termoeléctricas durante el mes de diciembre 2021 fue de 1 527,09 GWh, 5,41% menor al registrado durante diciembre del año 2020. La participación del gas natural de Camisea fue de 30,48%, mientras que las del gas que proviene de los yacimientos de Aguaytía y Malacas fue del 1,33%, la producción con diesel, residual, carbón, biogás y bagazo tuvieron una intervención del 0,02%, 0,01%, 0,13%, 0,11%, 0,50%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</si>
</sst>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vertAlign val="superscript"/>
      <sz val="6"/>
      <color theme="1"/>
      <name val="Arial"/>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9">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4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6" fillId="2" borderId="0" xfId="0" applyFont="1" applyFill="1" applyAlignment="1">
      <alignment vertical="center"/>
    </xf>
    <xf numFmtId="43" fontId="46" fillId="2" borderId="46" xfId="1" applyFont="1" applyFill="1" applyBorder="1" applyAlignment="1">
      <alignment vertical="center"/>
    </xf>
    <xf numFmtId="43" fontId="46" fillId="2" borderId="46" xfId="0" applyNumberFormat="1" applyFont="1" applyFill="1" applyBorder="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43" fontId="46" fillId="4" borderId="46" xfId="0" applyNumberFormat="1" applyFont="1" applyFill="1" applyBorder="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43" fontId="46" fillId="2" borderId="50" xfId="0" applyNumberFormat="1" applyFont="1" applyFill="1" applyBorder="1" applyAlignment="1">
      <alignment vertical="center"/>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70" fontId="46" fillId="2" borderId="61" xfId="0" applyNumberFormat="1"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70" fontId="46" fillId="4" borderId="62" xfId="0" applyNumberFormat="1"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70" fontId="46" fillId="2" borderId="62" xfId="0" applyNumberFormat="1"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70" fontId="46" fillId="2" borderId="63" xfId="0" applyNumberFormat="1"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70" fontId="46" fillId="4" borderId="64" xfId="0" applyNumberFormat="1"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70" fontId="46" fillId="2" borderId="64" xfId="0" applyNumberFormat="1"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166" fontId="46" fillId="0" borderId="62" xfId="0" applyNumberFormat="1" applyFont="1" applyBorder="1" applyAlignment="1">
      <alignment vertical="center"/>
    </xf>
    <xf numFmtId="0" fontId="46" fillId="4" borderId="94" xfId="0" applyFont="1" applyFill="1" applyBorder="1" applyAlignment="1">
      <alignment vertical="center"/>
    </xf>
    <xf numFmtId="170" fontId="46" fillId="4" borderId="94" xfId="0" applyNumberFormat="1"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0" fontId="30" fillId="0" borderId="0" xfId="0" applyFont="1" applyAlignment="1">
      <alignment vertical="center" wrapText="1"/>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58" fillId="6" borderId="0" xfId="3" applyFont="1" applyFill="1"/>
    <xf numFmtId="1" fontId="59" fillId="0" borderId="0" xfId="3" applyNumberFormat="1" applyFont="1" applyAlignment="1">
      <alignment horizontal="center"/>
    </xf>
    <xf numFmtId="172" fontId="59" fillId="0" borderId="0" xfId="3" applyNumberFormat="1" applyFont="1" applyAlignment="1">
      <alignment horizontal="center"/>
    </xf>
    <xf numFmtId="2" fontId="60" fillId="0" borderId="0" xfId="3" applyNumberFormat="1" applyFont="1"/>
    <xf numFmtId="43" fontId="41" fillId="0" borderId="0" xfId="1" applyFont="1" applyAlignment="1">
      <alignment vertical="center"/>
    </xf>
    <xf numFmtId="2" fontId="60" fillId="2" borderId="0" xfId="3" applyNumberFormat="1" applyFont="1" applyFill="1"/>
    <xf numFmtId="2" fontId="61" fillId="0" borderId="0" xfId="0" applyNumberFormat="1" applyFont="1"/>
    <xf numFmtId="166" fontId="41" fillId="0" borderId="0" xfId="0" applyNumberFormat="1" applyFont="1" applyAlignment="1">
      <alignment vertical="center"/>
    </xf>
    <xf numFmtId="2" fontId="60"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3" fillId="0" borderId="0" xfId="0" applyNumberFormat="1" applyFont="1" applyAlignment="1">
      <alignment horizontal="right"/>
    </xf>
    <xf numFmtId="2" fontId="41"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4" fontId="41" fillId="0" borderId="0" xfId="0" applyNumberFormat="1" applyFont="1" applyAlignment="1">
      <alignment vertical="center" wrapText="1"/>
    </xf>
    <xf numFmtId="14" fontId="30" fillId="2" borderId="151" xfId="0" applyNumberFormat="1" applyFont="1" applyFill="1" applyBorder="1" applyAlignment="1">
      <alignment horizontal="center" vertical="center" wrapText="1"/>
    </xf>
    <xf numFmtId="0" fontId="64" fillId="0" borderId="0" xfId="0" applyFont="1"/>
    <xf numFmtId="43" fontId="56" fillId="0" borderId="0" xfId="11" applyFont="1"/>
    <xf numFmtId="0" fontId="65" fillId="0" borderId="0" xfId="0" applyFont="1" applyAlignment="1">
      <alignment vertical="center"/>
    </xf>
    <xf numFmtId="0" fontId="64" fillId="0" borderId="0" xfId="0" applyFont="1" applyAlignment="1">
      <alignment vertical="center"/>
    </xf>
    <xf numFmtId="0" fontId="47" fillId="0" borderId="30" xfId="0" applyFont="1" applyBorder="1" applyAlignment="1">
      <alignment vertical="center"/>
    </xf>
    <xf numFmtId="43" fontId="30" fillId="0" borderId="31" xfId="1"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58" xfId="9" applyFont="1" applyBorder="1" applyAlignment="1">
      <alignment horizontal="center" vertical="center" wrapText="1"/>
    </xf>
    <xf numFmtId="22" fontId="30" fillId="0" borderId="158" xfId="9" applyNumberFormat="1" applyFont="1" applyBorder="1" applyAlignment="1">
      <alignment horizontal="center" vertical="center" wrapText="1"/>
    </xf>
    <xf numFmtId="0" fontId="44" fillId="0" borderId="158" xfId="9" applyFont="1" applyBorder="1" applyAlignment="1">
      <alignment horizontal="justify" vertical="center" wrapText="1"/>
    </xf>
    <xf numFmtId="0" fontId="44" fillId="0" borderId="158" xfId="9" applyFont="1" applyBorder="1" applyAlignment="1">
      <alignment horizontal="center" vertical="center" wrapText="1"/>
    </xf>
    <xf numFmtId="0" fontId="30" fillId="0" borderId="0" xfId="0" applyFont="1" applyAlignment="1">
      <alignment horizontal="left" vertical="center"/>
    </xf>
    <xf numFmtId="0" fontId="66" fillId="0" borderId="0" xfId="0" applyFont="1" applyAlignment="1">
      <alignment vertical="center"/>
    </xf>
    <xf numFmtId="0" fontId="67" fillId="0" borderId="0" xfId="0" applyFont="1" applyAlignment="1">
      <alignment vertical="center"/>
    </xf>
    <xf numFmtId="0" fontId="67" fillId="0" borderId="0" xfId="0" applyFont="1" applyAlignment="1">
      <alignment horizontal="right" vertical="center"/>
    </xf>
    <xf numFmtId="14" fontId="66" fillId="0" borderId="0" xfId="0" applyNumberFormat="1" applyFont="1" applyAlignment="1">
      <alignment vertical="center"/>
    </xf>
    <xf numFmtId="0" fontId="66" fillId="0" borderId="0" xfId="0" applyFont="1" applyAlignment="1">
      <alignment horizontal="center" vertical="center"/>
    </xf>
    <xf numFmtId="0" fontId="67" fillId="0" borderId="0" xfId="0" applyFont="1" applyAlignment="1">
      <alignment horizontal="justify" vertical="center"/>
    </xf>
    <xf numFmtId="0" fontId="68" fillId="0" borderId="0" xfId="0" applyFont="1" applyAlignment="1">
      <alignment vertical="center"/>
    </xf>
    <xf numFmtId="17" fontId="68" fillId="0" borderId="0" xfId="0" applyNumberFormat="1" applyFont="1" applyAlignment="1">
      <alignment horizontal="center" vertical="center"/>
    </xf>
    <xf numFmtId="2" fontId="68" fillId="0" borderId="0" xfId="0" applyNumberFormat="1" applyFont="1" applyAlignment="1">
      <alignment horizontal="center" vertical="center"/>
    </xf>
    <xf numFmtId="0" fontId="68" fillId="0" borderId="0" xfId="0" quotePrefix="1" applyFont="1" applyAlignment="1">
      <alignment vertical="center" wrapText="1"/>
    </xf>
    <xf numFmtId="2" fontId="68" fillId="0" borderId="0" xfId="0" quotePrefix="1" applyNumberFormat="1" applyFont="1" applyAlignment="1">
      <alignment horizontal="center" vertical="center" wrapText="1"/>
    </xf>
    <xf numFmtId="2" fontId="68" fillId="0" borderId="0" xfId="0" applyNumberFormat="1" applyFont="1" applyAlignment="1">
      <alignment vertical="center"/>
    </xf>
    <xf numFmtId="2" fontId="67" fillId="0" borderId="0" xfId="0" applyNumberFormat="1" applyFont="1" applyAlignment="1">
      <alignment vertical="center"/>
    </xf>
    <xf numFmtId="0" fontId="69" fillId="0" borderId="0" xfId="0" applyFont="1" applyAlignment="1">
      <alignment vertical="center"/>
    </xf>
    <xf numFmtId="174" fontId="30" fillId="2" borderId="151" xfId="0" applyNumberFormat="1" applyFont="1" applyFill="1" applyBorder="1" applyAlignment="1">
      <alignment horizontal="center" vertical="center" wrapText="1"/>
    </xf>
    <xf numFmtId="174" fontId="35" fillId="8" borderId="151" xfId="0" applyNumberFormat="1" applyFont="1" applyFill="1" applyBorder="1" applyAlignment="1">
      <alignment horizontal="center" vertical="center"/>
    </xf>
    <xf numFmtId="0" fontId="70" fillId="2" borderId="0" xfId="0" applyFont="1" applyFill="1" applyAlignment="1">
      <alignment vertical="center" wrapText="1"/>
    </xf>
    <xf numFmtId="49" fontId="64" fillId="0" borderId="0" xfId="0" applyNumberFormat="1" applyFont="1" applyAlignment="1">
      <alignment horizontal="right" vertical="center"/>
    </xf>
    <xf numFmtId="1" fontId="64" fillId="0" borderId="0" xfId="0" applyNumberFormat="1" applyFont="1" applyAlignment="1">
      <alignment horizontal="right" vertical="center" wrapText="1"/>
    </xf>
    <xf numFmtId="0" fontId="64" fillId="0" borderId="0" xfId="0" applyFont="1" applyAlignment="1">
      <alignment vertical="center" wrapText="1"/>
    </xf>
    <xf numFmtId="49" fontId="64" fillId="0" borderId="0" xfId="0" applyNumberFormat="1" applyFont="1" applyAlignment="1">
      <alignment horizontal="center" vertical="center"/>
    </xf>
    <xf numFmtId="0" fontId="64" fillId="2" borderId="0" xfId="0" applyFont="1" applyFill="1"/>
    <xf numFmtId="0" fontId="71" fillId="0" borderId="0" xfId="0" applyFont="1"/>
    <xf numFmtId="0" fontId="13" fillId="0" borderId="93" xfId="0" applyFont="1" applyBorder="1"/>
    <xf numFmtId="174" fontId="13" fillId="0" borderId="93" xfId="0" applyNumberFormat="1" applyFont="1" applyBorder="1"/>
    <xf numFmtId="174" fontId="13" fillId="11" borderId="93" xfId="0" applyNumberFormat="1" applyFont="1" applyFill="1" applyBorder="1"/>
    <xf numFmtId="1" fontId="0" fillId="0" borderId="0" xfId="0" applyNumberFormat="1" applyFont="1"/>
    <xf numFmtId="165" fontId="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0" fontId="0" fillId="0" borderId="0" xfId="0" applyFont="1" applyAlignment="1">
      <alignment horizontal="right"/>
    </xf>
    <xf numFmtId="43" fontId="46" fillId="0" borderId="78" xfId="1" applyFont="1" applyBorder="1" applyAlignment="1">
      <alignment horizontal="center" vertical="center" wrapText="1"/>
    </xf>
    <xf numFmtId="1" fontId="72" fillId="0" borderId="0" xfId="0" applyNumberFormat="1" applyFont="1" applyAlignment="1">
      <alignment horizontal="center" vertical="center"/>
    </xf>
    <xf numFmtId="165" fontId="72" fillId="0" borderId="0" xfId="0" applyNumberFormat="1" applyFont="1" applyAlignment="1">
      <alignment horizontal="right" vertical="center"/>
    </xf>
    <xf numFmtId="166" fontId="72" fillId="0" borderId="0" xfId="0" applyNumberFormat="1" applyFont="1" applyAlignment="1">
      <alignment horizontal="right" vertical="center"/>
    </xf>
    <xf numFmtId="167" fontId="72" fillId="0" borderId="0" xfId="2" applyNumberFormat="1" applyFont="1" applyAlignment="1">
      <alignment horizontal="right" vertical="center"/>
    </xf>
    <xf numFmtId="0" fontId="72" fillId="0" borderId="0" xfId="0" applyFont="1" applyAlignment="1">
      <alignment vertical="center"/>
    </xf>
    <xf numFmtId="175" fontId="73" fillId="0" borderId="0" xfId="0" applyNumberFormat="1" applyFont="1"/>
    <xf numFmtId="172" fontId="58" fillId="6" borderId="0" xfId="3" applyNumberFormat="1" applyFont="1" applyFill="1"/>
    <xf numFmtId="2" fontId="60" fillId="0" borderId="0" xfId="3" applyNumberFormat="1" applyFont="1" applyAlignment="1">
      <alignment horizontal="center"/>
    </xf>
    <xf numFmtId="43" fontId="41" fillId="0" borderId="0" xfId="1" applyFont="1"/>
    <xf numFmtId="172" fontId="59" fillId="7" borderId="0" xfId="3" applyNumberFormat="1" applyFont="1" applyFill="1" applyAlignment="1">
      <alignment horizontal="center"/>
    </xf>
    <xf numFmtId="0" fontId="74" fillId="0" borderId="0" xfId="0" applyFont="1"/>
    <xf numFmtId="175" fontId="41" fillId="0" borderId="0" xfId="0" applyNumberFormat="1" applyFont="1" applyAlignment="1">
      <alignment vertical="center"/>
    </xf>
    <xf numFmtId="2" fontId="75" fillId="0" borderId="0" xfId="4" applyNumberFormat="1" applyFont="1"/>
    <xf numFmtId="0" fontId="76" fillId="0" borderId="0" xfId="0" applyFont="1" applyAlignment="1">
      <alignment vertical="center"/>
    </xf>
    <xf numFmtId="49" fontId="77" fillId="0" borderId="0" xfId="0" applyNumberFormat="1" applyFont="1" applyAlignment="1">
      <alignment horizontal="center"/>
    </xf>
    <xf numFmtId="0" fontId="77" fillId="0" borderId="0" xfId="0" applyFont="1"/>
    <xf numFmtId="49" fontId="77" fillId="0" borderId="0" xfId="0" applyNumberFormat="1" applyFont="1" applyAlignment="1">
      <alignment horizontal="right"/>
    </xf>
    <xf numFmtId="0" fontId="77" fillId="0" borderId="0" xfId="0" applyFont="1" applyAlignment="1">
      <alignment horizontal="right"/>
    </xf>
    <xf numFmtId="165" fontId="77" fillId="0" borderId="0" xfId="0" applyNumberFormat="1" applyFont="1" applyAlignment="1">
      <alignment horizontal="right"/>
    </xf>
    <xf numFmtId="1" fontId="77" fillId="0" borderId="0" xfId="0" applyNumberFormat="1" applyFont="1" applyAlignment="1">
      <alignment horizontal="right"/>
    </xf>
    <xf numFmtId="0" fontId="71" fillId="0" borderId="0" xfId="0" applyFont="1" applyAlignment="1">
      <alignment horizontal="center"/>
    </xf>
    <xf numFmtId="175" fontId="71" fillId="0" borderId="0" xfId="0" applyNumberFormat="1" applyFont="1" applyAlignment="1">
      <alignment horizontal="center"/>
    </xf>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78"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2942.2881527525005</c:v>
                </c:pt>
                <c:pt idx="1">
                  <c:v>1491.1456843575002</c:v>
                </c:pt>
                <c:pt idx="2">
                  <c:v>5.8992881600000002</c:v>
                </c:pt>
                <c:pt idx="3">
                  <c:v>1.4685850899999999</c:v>
                </c:pt>
                <c:pt idx="4">
                  <c:v>28.574972872500002</c:v>
                </c:pt>
                <c:pt idx="5">
                  <c:v>144.32565196250002</c:v>
                </c:pt>
                <c:pt idx="6">
                  <c:v>73.559578087499986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1491.1456843575002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5.8992881600000002</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1.4685850899999999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28.574972872500002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144.32565196250002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73.559578087499986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CUPISNIQUE</c:v>
                </c:pt>
                <c:pt idx="2">
                  <c:v>C.E. TRES HERMANAS</c:v>
                </c:pt>
                <c:pt idx="3">
                  <c:v>C.E. TALARA</c:v>
                </c:pt>
                <c:pt idx="4">
                  <c:v>C.E. MARCONA</c:v>
                </c:pt>
                <c:pt idx="5">
                  <c:v>C.E. DUNA</c:v>
                </c:pt>
                <c:pt idx="6">
                  <c:v>C.E. HUAMBOS</c:v>
                </c:pt>
              </c:strCache>
            </c:strRef>
          </c:cat>
          <c:val>
            <c:numRef>
              <c:f>'6. FP RER'!$O$36:$O$42</c:f>
              <c:numCache>
                <c:formatCode>0.00</c:formatCode>
                <c:ptCount val="7"/>
                <c:pt idx="0">
                  <c:v>45.526507500000001</c:v>
                </c:pt>
                <c:pt idx="1">
                  <c:v>33.62020888</c:v>
                </c:pt>
                <c:pt idx="2">
                  <c:v>33.152793812500001</c:v>
                </c:pt>
                <c:pt idx="3">
                  <c:v>14.0354384625</c:v>
                </c:pt>
                <c:pt idx="4">
                  <c:v>10.640418127499998</c:v>
                </c:pt>
                <c:pt idx="5">
                  <c:v>3.9115265300000002</c:v>
                </c:pt>
                <c:pt idx="6">
                  <c:v>3.43875865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CUPISNIQUE</c:v>
                </c:pt>
                <c:pt idx="2">
                  <c:v>C.E. TRES HERMANAS</c:v>
                </c:pt>
                <c:pt idx="3">
                  <c:v>C.E. TALARA</c:v>
                </c:pt>
                <c:pt idx="4">
                  <c:v>C.E. MARCONA</c:v>
                </c:pt>
                <c:pt idx="5">
                  <c:v>C.E. DUNA</c:v>
                </c:pt>
                <c:pt idx="6">
                  <c:v>C.E. HUAMBOS</c:v>
                </c:pt>
              </c:strCache>
            </c:strRef>
          </c:cat>
          <c:val>
            <c:numRef>
              <c:f>'6. FP RER'!$P$36:$P$42</c:f>
              <c:numCache>
                <c:formatCode>0.00</c:formatCode>
                <c:ptCount val="7"/>
                <c:pt idx="0">
                  <c:v>0.47793847631645242</c:v>
                </c:pt>
                <c:pt idx="1">
                  <c:v>0.56157227366873774</c:v>
                </c:pt>
                <c:pt idx="2">
                  <c:v>0.47396342729599122</c:v>
                </c:pt>
                <c:pt idx="3">
                  <c:v>0.63168063937945562</c:v>
                </c:pt>
                <c:pt idx="4">
                  <c:v>0.46182370345052082</c:v>
                </c:pt>
                <c:pt idx="5">
                  <c:v>0.29573629483457331</c:v>
                </c:pt>
                <c:pt idx="6">
                  <c:v>0.25999203486965466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RER'!$O$43:$O$49</c:f>
              <c:numCache>
                <c:formatCode>0.00</c:formatCode>
                <c:ptCount val="7"/>
                <c:pt idx="0">
                  <c:v>41.169368750000004</c:v>
                </c:pt>
                <c:pt idx="1">
                  <c:v>10.0633290725</c:v>
                </c:pt>
                <c:pt idx="2">
                  <c:v>5.2292854174999999</c:v>
                </c:pt>
                <c:pt idx="3">
                  <c:v>4.6951015150000002</c:v>
                </c:pt>
                <c:pt idx="4">
                  <c:v>4.3039525049999998</c:v>
                </c:pt>
                <c:pt idx="5">
                  <c:v>4.0446451000000003</c:v>
                </c:pt>
                <c:pt idx="6">
                  <c:v>3.8163535849999999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RER'!$P$43:$P$49</c:f>
              <c:numCache>
                <c:formatCode>0.00</c:formatCode>
                <c:ptCount val="7"/>
                <c:pt idx="0">
                  <c:v>0.39576189659083921</c:v>
                </c:pt>
                <c:pt idx="1">
                  <c:v>0.3138043541541935</c:v>
                </c:pt>
                <c:pt idx="2">
                  <c:v>0.36314482065972226</c:v>
                </c:pt>
                <c:pt idx="3">
                  <c:v>0.32604871631944449</c:v>
                </c:pt>
                <c:pt idx="4">
                  <c:v>0.37360698828125</c:v>
                </c:pt>
                <c:pt idx="5">
                  <c:v>0.28087813194444444</c:v>
                </c:pt>
                <c:pt idx="6">
                  <c:v>0.2650245545138889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DOÑA CATALINA</c:v>
                </c:pt>
                <c:pt idx="3">
                  <c:v>C.T. CALLAO</c:v>
                </c:pt>
                <c:pt idx="4">
                  <c:v>C.T. LA GRINGA</c:v>
                </c:pt>
              </c:strCache>
            </c:strRef>
          </c:cat>
          <c:val>
            <c:numRef>
              <c:f>'6. FP RER'!$O$50:$O$54</c:f>
              <c:numCache>
                <c:formatCode>0.00</c:formatCode>
                <c:ptCount val="5"/>
                <c:pt idx="0">
                  <c:v>7.9140445250000004</c:v>
                </c:pt>
                <c:pt idx="1">
                  <c:v>2.9651850749999999</c:v>
                </c:pt>
                <c:pt idx="2">
                  <c:v>1.1631754000000001</c:v>
                </c:pt>
                <c:pt idx="3">
                  <c:v>0.6370411749999999</c:v>
                </c:pt>
                <c:pt idx="4">
                  <c:v>0.55689762499999995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DOÑA CATALINA</c:v>
                </c:pt>
                <c:pt idx="3">
                  <c:v>C.T. CALLAO</c:v>
                </c:pt>
              </c:strCache>
            </c:strRef>
          </c:cat>
          <c:val>
            <c:numRef>
              <c:f>'6. FP RER'!$P$50:$P$54</c:f>
              <c:numCache>
                <c:formatCode>0.00</c:formatCode>
                <c:ptCount val="5"/>
                <c:pt idx="0">
                  <c:v>0.86270193641375292</c:v>
                </c:pt>
                <c:pt idx="1">
                  <c:v>0.96617304496578671</c:v>
                </c:pt>
                <c:pt idx="2">
                  <c:v>0.67313391203703721</c:v>
                </c:pt>
                <c:pt idx="3">
                  <c:v>0.36865808738425926</c:v>
                </c:pt>
                <c:pt idx="4">
                  <c:v>0.26186441534722921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RER'!$S$6:$T$53</c:f>
              <c:multiLvlStrCache>
                <c:ptCount val="48"/>
                <c:lvl>
                  <c:pt idx="0">
                    <c:v>C.H. YARUCAYA</c:v>
                  </c:pt>
                  <c:pt idx="1">
                    <c:v>C.H. RENOVANDES H1</c:v>
                  </c:pt>
                  <c:pt idx="2">
                    <c:v>C.H. CHANCAY</c:v>
                  </c:pt>
                  <c:pt idx="3">
                    <c:v>C.H. CARHUAQUERO IV</c:v>
                  </c:pt>
                  <c:pt idx="4">
                    <c:v>C.H. CAÑA BRAVA</c:v>
                  </c:pt>
                  <c:pt idx="5">
                    <c:v>C.H. YANAPAMPA</c:v>
                  </c:pt>
                  <c:pt idx="6">
                    <c:v>C.H. IMPERIAL</c:v>
                  </c:pt>
                  <c:pt idx="7">
                    <c:v>C.H. RUCUY</c:v>
                  </c:pt>
                  <c:pt idx="8">
                    <c:v>C.H. LAS PIZARRAS</c:v>
                  </c:pt>
                  <c:pt idx="9">
                    <c:v>C.H. LA JOYA</c:v>
                  </c:pt>
                  <c:pt idx="10">
                    <c:v>C.H. POTRERO</c:v>
                  </c:pt>
                  <c:pt idx="11">
                    <c:v>C.H. CARHUAC</c:v>
                  </c:pt>
                  <c:pt idx="12">
                    <c:v>C.H. RUNATULLO III</c:v>
                  </c:pt>
                  <c:pt idx="13">
                    <c:v>C.H. ÁNGEL II</c:v>
                  </c:pt>
                  <c:pt idx="14">
                    <c:v>C.H. EL CARMEN</c:v>
                  </c:pt>
                  <c:pt idx="15">
                    <c:v>C.H. ÁNGEL III</c:v>
                  </c:pt>
                  <c:pt idx="16">
                    <c:v>C.H. CANCHAYLLO</c:v>
                  </c:pt>
                  <c:pt idx="17">
                    <c:v>C.H. HUASAHUASI II</c:v>
                  </c:pt>
                  <c:pt idx="18">
                    <c:v>C.H. POECHOS II</c:v>
                  </c:pt>
                  <c:pt idx="19">
                    <c:v>C.H. HUASAHUASI I</c:v>
                  </c:pt>
                  <c:pt idx="20">
                    <c:v>C.H. ÁNGEL I</c:v>
                  </c:pt>
                  <c:pt idx="21">
                    <c:v>C.H. 8 DE AGOSTO</c:v>
                  </c:pt>
                  <c:pt idx="22">
                    <c:v>C.H. RONCADOR</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4">
                    <c:v>SOLARES</c:v>
                  </c:pt>
                  <c:pt idx="43">
                    <c:v>TERMOELÉCTRICAS</c:v>
                  </c:pt>
                </c:lvl>
              </c:multiLvlStrCache>
            </c:multiLvlStrRef>
          </c:cat>
          <c:val>
            <c:numRef>
              <c:f>'6. FP RER'!$U$6:$U$53</c:f>
              <c:numCache>
                <c:formatCode>0.000</c:formatCode>
                <c:ptCount val="48"/>
                <c:pt idx="0">
                  <c:v>1.0559285414003046</c:v>
                </c:pt>
                <c:pt idx="1">
                  <c:v>0.95221957021610626</c:v>
                </c:pt>
                <c:pt idx="2">
                  <c:v>0.92592408025114159</c:v>
                </c:pt>
                <c:pt idx="3">
                  <c:v>0.88188978032060894</c:v>
                </c:pt>
                <c:pt idx="4">
                  <c:v>0.80540697006394313</c:v>
                </c:pt>
                <c:pt idx="5">
                  <c:v>0.79364305157865145</c:v>
                </c:pt>
                <c:pt idx="6">
                  <c:v>0.7834523266475909</c:v>
                </c:pt>
                <c:pt idx="7">
                  <c:v>0.7804139150827627</c:v>
                </c:pt>
                <c:pt idx="8">
                  <c:v>0.77109950091748725</c:v>
                </c:pt>
                <c:pt idx="9">
                  <c:v>0.75352185339923383</c:v>
                </c:pt>
                <c:pt idx="10">
                  <c:v>0.71734962833574256</c:v>
                </c:pt>
                <c:pt idx="11">
                  <c:v>0.69059359389269404</c:v>
                </c:pt>
                <c:pt idx="12">
                  <c:v>0.6615113412693131</c:v>
                </c:pt>
                <c:pt idx="13">
                  <c:v>0.64665844931689687</c:v>
                </c:pt>
                <c:pt idx="14">
                  <c:v>0.62281746222765055</c:v>
                </c:pt>
                <c:pt idx="15">
                  <c:v>0.62805558451126997</c:v>
                </c:pt>
                <c:pt idx="16">
                  <c:v>0.6150243170044466</c:v>
                </c:pt>
                <c:pt idx="17">
                  <c:v>0.6061992868962971</c:v>
                </c:pt>
                <c:pt idx="18">
                  <c:v>0.60060379646164064</c:v>
                </c:pt>
                <c:pt idx="19">
                  <c:v>0.58401664954337917</c:v>
                </c:pt>
                <c:pt idx="20">
                  <c:v>0.59007613506188861</c:v>
                </c:pt>
                <c:pt idx="21">
                  <c:v>0.57974201445744633</c:v>
                </c:pt>
                <c:pt idx="22">
                  <c:v>0.57826622062470479</c:v>
                </c:pt>
                <c:pt idx="23">
                  <c:v>0.55038311387970396</c:v>
                </c:pt>
                <c:pt idx="24">
                  <c:v>0.5454725750970838</c:v>
                </c:pt>
                <c:pt idx="25">
                  <c:v>0.53039945802505839</c:v>
                </c:pt>
                <c:pt idx="26">
                  <c:v>0.49554217401541095</c:v>
                </c:pt>
                <c:pt idx="27">
                  <c:v>0.44542265574037831</c:v>
                </c:pt>
                <c:pt idx="28">
                  <c:v>0.18515066711556188</c:v>
                </c:pt>
                <c:pt idx="29">
                  <c:v>0.60505089350563623</c:v>
                </c:pt>
                <c:pt idx="30">
                  <c:v>0.54109624860757621</c:v>
                </c:pt>
                <c:pt idx="31">
                  <c:v>0.53395713680639678</c:v>
                </c:pt>
                <c:pt idx="32">
                  <c:v>0.49840232326836176</c:v>
                </c:pt>
                <c:pt idx="33">
                  <c:v>0.43633370449578107</c:v>
                </c:pt>
                <c:pt idx="34">
                  <c:v>0.34805734607994471</c:v>
                </c:pt>
                <c:pt idx="35">
                  <c:v>0.26808538500520745</c:v>
                </c:pt>
                <c:pt idx="36">
                  <c:v>0.3505180172529449</c:v>
                </c:pt>
                <c:pt idx="37">
                  <c:v>0.3468297833725742</c:v>
                </c:pt>
                <c:pt idx="38">
                  <c:v>0.33546716649543379</c:v>
                </c:pt>
                <c:pt idx="39">
                  <c:v>0.30575682642694069</c:v>
                </c:pt>
                <c:pt idx="40">
                  <c:v>0.27842555002250297</c:v>
                </c:pt>
                <c:pt idx="41">
                  <c:v>0.25239760102739722</c:v>
                </c:pt>
                <c:pt idx="42">
                  <c:v>0.24830017655536529</c:v>
                </c:pt>
                <c:pt idx="43" formatCode="_(* #,##0.00_);_(* \(#,##0.00\);_(* &quot;-&quot;??_);_(@_)">
                  <c:v>0.87867288715819658</c:v>
                </c:pt>
                <c:pt idx="44" formatCode="_(* #,##0.00_);_(* \(#,##0.00\);_(* &quot;-&quot;??_);_(@_)">
                  <c:v>0.87261125677901408</c:v>
                </c:pt>
                <c:pt idx="45" formatCode="_(* #,##0.00_);_(* \(#,##0.00\);_(* &quot;-&quot;??_);_(@_)">
                  <c:v>0.74515967025780083</c:v>
                </c:pt>
                <c:pt idx="46" formatCode="_(* #,##0.00_);_(* \(#,##0.00\);_(* &quot;-&quot;??_);_(@_)">
                  <c:v>0.66519038658200158</c:v>
                </c:pt>
                <c:pt idx="47" formatCode="_(* #,##0.00_);_(* \(#,##0.00\);_(* &quot;-&quot;??_);_(@_)">
                  <c:v>0.6430163616858231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RER'!$S$6:$T$53</c:f>
              <c:multiLvlStrCache>
                <c:ptCount val="48"/>
                <c:lvl>
                  <c:pt idx="0">
                    <c:v>C.H. YARUCAYA</c:v>
                  </c:pt>
                  <c:pt idx="1">
                    <c:v>C.H. RENOVANDES H1</c:v>
                  </c:pt>
                  <c:pt idx="2">
                    <c:v>C.H. CHANCAY</c:v>
                  </c:pt>
                  <c:pt idx="3">
                    <c:v>C.H. CARHUAQUERO IV</c:v>
                  </c:pt>
                  <c:pt idx="4">
                    <c:v>C.H. CAÑA BRAVA</c:v>
                  </c:pt>
                  <c:pt idx="5">
                    <c:v>C.H. YANAPAMPA</c:v>
                  </c:pt>
                  <c:pt idx="6">
                    <c:v>C.H. IMPERIAL</c:v>
                  </c:pt>
                  <c:pt idx="7">
                    <c:v>C.H. RUCUY</c:v>
                  </c:pt>
                  <c:pt idx="8">
                    <c:v>C.H. LAS PIZARRAS</c:v>
                  </c:pt>
                  <c:pt idx="9">
                    <c:v>C.H. LA JOYA</c:v>
                  </c:pt>
                  <c:pt idx="10">
                    <c:v>C.H. POTRERO</c:v>
                  </c:pt>
                  <c:pt idx="11">
                    <c:v>C.H. CARHUAC</c:v>
                  </c:pt>
                  <c:pt idx="12">
                    <c:v>C.H. RUNATULLO III</c:v>
                  </c:pt>
                  <c:pt idx="13">
                    <c:v>C.H. ÁNGEL II</c:v>
                  </c:pt>
                  <c:pt idx="14">
                    <c:v>C.H. EL CARMEN</c:v>
                  </c:pt>
                  <c:pt idx="15">
                    <c:v>C.H. ÁNGEL III</c:v>
                  </c:pt>
                  <c:pt idx="16">
                    <c:v>C.H. CANCHAYLLO</c:v>
                  </c:pt>
                  <c:pt idx="17">
                    <c:v>C.H. HUASAHUASI II</c:v>
                  </c:pt>
                  <c:pt idx="18">
                    <c:v>C.H. POECHOS II</c:v>
                  </c:pt>
                  <c:pt idx="19">
                    <c:v>C.H. HUASAHUASI I</c:v>
                  </c:pt>
                  <c:pt idx="20">
                    <c:v>C.H. ÁNGEL I</c:v>
                  </c:pt>
                  <c:pt idx="21">
                    <c:v>C.H. 8 DE AGOSTO</c:v>
                  </c:pt>
                  <c:pt idx="22">
                    <c:v>C.H. RONCADOR</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4">
                    <c:v>SOLARES</c:v>
                  </c:pt>
                  <c:pt idx="43">
                    <c:v>TERMOELÉCTRICAS</c:v>
                  </c:pt>
                </c:lvl>
              </c:multiLvlStrCache>
            </c:multiLvlStrRef>
          </c:cat>
          <c:val>
            <c:numRef>
              <c:f>'6. FP RER'!$V$6:$V$53</c:f>
              <c:numCache>
                <c:formatCode>0.000</c:formatCode>
                <c:ptCount val="48"/>
                <c:pt idx="0">
                  <c:v>1</c:v>
                </c:pt>
                <c:pt idx="1">
                  <c:v>0.95366052769079113</c:v>
                </c:pt>
                <c:pt idx="2">
                  <c:v>0.8945672371357013</c:v>
                </c:pt>
                <c:pt idx="3">
                  <c:v>0.89913722701885546</c:v>
                </c:pt>
                <c:pt idx="4">
                  <c:v>0.65010066974826786</c:v>
                </c:pt>
                <c:pt idx="5">
                  <c:v>0.73128983430094541</c:v>
                </c:pt>
                <c:pt idx="6">
                  <c:v>0.77987003707318514</c:v>
                </c:pt>
                <c:pt idx="7">
                  <c:v>0.74734200150842434</c:v>
                </c:pt>
                <c:pt idx="8">
                  <c:v>0.54737899878367069</c:v>
                </c:pt>
                <c:pt idx="9">
                  <c:v>0.86977375596189332</c:v>
                </c:pt>
                <c:pt idx="10">
                  <c:v>0.52320437912181572</c:v>
                </c:pt>
                <c:pt idx="11">
                  <c:v>0.67349523670878886</c:v>
                </c:pt>
                <c:pt idx="12">
                  <c:v>0.56770042088969286</c:v>
                </c:pt>
                <c:pt idx="13">
                  <c:v>0.59259269285492921</c:v>
                </c:pt>
                <c:pt idx="14">
                  <c:v>0.3287962164365405</c:v>
                </c:pt>
                <c:pt idx="15">
                  <c:v>0.54869568791200463</c:v>
                </c:pt>
                <c:pt idx="16">
                  <c:v>0.74344026227542426</c:v>
                </c:pt>
                <c:pt idx="17">
                  <c:v>0.52446770011193233</c:v>
                </c:pt>
                <c:pt idx="18">
                  <c:v>0.61391878758520513</c:v>
                </c:pt>
                <c:pt idx="19">
                  <c:v>0.52272099661474958</c:v>
                </c:pt>
                <c:pt idx="20">
                  <c:v>0.54127880685730001</c:v>
                </c:pt>
                <c:pt idx="21">
                  <c:v>0.56357501011108713</c:v>
                </c:pt>
                <c:pt idx="22">
                  <c:v>0.5244136795054487</c:v>
                </c:pt>
                <c:pt idx="23">
                  <c:v>0.50226346095657604</c:v>
                </c:pt>
                <c:pt idx="24">
                  <c:v>0.45693374670722625</c:v>
                </c:pt>
                <c:pt idx="25">
                  <c:v>0.47607102611931007</c:v>
                </c:pt>
                <c:pt idx="26">
                  <c:v>0.43840743669394838</c:v>
                </c:pt>
                <c:pt idx="27">
                  <c:v>0.7481113656323185</c:v>
                </c:pt>
                <c:pt idx="28">
                  <c:v>0.31313439722402892</c:v>
                </c:pt>
                <c:pt idx="29">
                  <c:v>0.59618869303385402</c:v>
                </c:pt>
                <c:pt idx="30">
                  <c:v>0.59618374666731355</c:v>
                </c:pt>
                <c:pt idx="31">
                  <c:v>0.53285819264041878</c:v>
                </c:pt>
                <c:pt idx="32">
                  <c:v>0.51343444820688233</c:v>
                </c:pt>
                <c:pt idx="33">
                  <c:v>0.50401101321472808</c:v>
                </c:pt>
                <c:pt idx="36">
                  <c:v>0.34317650992466925</c:v>
                </c:pt>
                <c:pt idx="37">
                  <c:v>0.33925853611680329</c:v>
                </c:pt>
                <c:pt idx="38">
                  <c:v>0.31673415015938061</c:v>
                </c:pt>
                <c:pt idx="39">
                  <c:v>0.28192118041325143</c:v>
                </c:pt>
                <c:pt idx="40">
                  <c:v>0.2678452555042008</c:v>
                </c:pt>
                <c:pt idx="41">
                  <c:v>0.24399892657103822</c:v>
                </c:pt>
                <c:pt idx="42">
                  <c:v>0.23805144512750459</c:v>
                </c:pt>
                <c:pt idx="43">
                  <c:v>0.82096648561561436</c:v>
                </c:pt>
                <c:pt idx="44">
                  <c:v>0.68738353818459574</c:v>
                </c:pt>
                <c:pt idx="45">
                  <c:v>0.62692446873102625</c:v>
                </c:pt>
                <c:pt idx="46">
                  <c:v>0.89079349821312548</c:v>
                </c:pt>
                <c:pt idx="47">
                  <c:v>0.48743483203324434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ELECTRO ZAÑA</c:v>
                </c:pt>
                <c:pt idx="1">
                  <c:v>CERRO VERDE</c:v>
                </c:pt>
                <c:pt idx="2">
                  <c:v>PLANTA  ETEN</c:v>
                </c:pt>
                <c:pt idx="3">
                  <c:v>IYEPSA</c:v>
                </c:pt>
                <c:pt idx="4">
                  <c:v>COLCA SOLAR</c:v>
                </c:pt>
                <c:pt idx="5">
                  <c:v>ATRIA</c:v>
                </c:pt>
                <c:pt idx="6">
                  <c:v>SAMAY I</c:v>
                </c:pt>
                <c:pt idx="7">
                  <c:v>HYDRO PATAPO</c:v>
                </c:pt>
                <c:pt idx="8">
                  <c:v>SHOUGESA</c:v>
                </c:pt>
                <c:pt idx="9">
                  <c:v>CENTRALES SANTA ROSA</c:v>
                </c:pt>
                <c:pt idx="10">
                  <c:v>TERMOSELVA</c:v>
                </c:pt>
                <c:pt idx="11">
                  <c:v>EGECSAC</c:v>
                </c:pt>
                <c:pt idx="12">
                  <c:v>MAJA ENERGIA</c:v>
                </c:pt>
                <c:pt idx="13">
                  <c:v>HIDROCAÑETE</c:v>
                </c:pt>
                <c:pt idx="14">
                  <c:v>ELECTRICA YANAPAMPA</c:v>
                </c:pt>
                <c:pt idx="15">
                  <c:v>GR PAINO</c:v>
                </c:pt>
                <c:pt idx="16">
                  <c:v>REPARTICION</c:v>
                </c:pt>
                <c:pt idx="17">
                  <c:v>GR TARUCA</c:v>
                </c:pt>
                <c:pt idx="18">
                  <c:v>MAJES</c:v>
                </c:pt>
                <c:pt idx="19">
                  <c:v>MOQUEGUA FV</c:v>
                </c:pt>
                <c:pt idx="20">
                  <c:v>SAN JACINTO</c:v>
                </c:pt>
                <c:pt idx="21">
                  <c:v>AGROAURORA</c:v>
                </c:pt>
                <c:pt idx="22">
                  <c:v>TACNA SOLAR</c:v>
                </c:pt>
                <c:pt idx="23">
                  <c:v>PANAMERICANA SOLAR</c:v>
                </c:pt>
                <c:pt idx="24">
                  <c:v>PETRAMAS</c:v>
                </c:pt>
                <c:pt idx="25">
                  <c:v>BIOENERGIA</c:v>
                </c:pt>
                <c:pt idx="26">
                  <c:v>AIPSA</c:v>
                </c:pt>
                <c:pt idx="27">
                  <c:v>ANDEAN POWER</c:v>
                </c:pt>
                <c:pt idx="28">
                  <c:v>P.E. MARCONA</c:v>
                </c:pt>
                <c:pt idx="29">
                  <c:v>RIO BAÑOS</c:v>
                </c:pt>
                <c:pt idx="30">
                  <c:v>INVERSION DE ENERGÍA RENOVABLES</c:v>
                </c:pt>
                <c:pt idx="31">
                  <c:v>HIDROELECTRICA HUANCHOR</c:v>
                </c:pt>
                <c:pt idx="32">
                  <c:v>HUAURA POWER</c:v>
                </c:pt>
                <c:pt idx="33">
                  <c:v>RIO DOBLE</c:v>
                </c:pt>
                <c:pt idx="34">
                  <c:v>AGUA AZUL</c:v>
                </c:pt>
                <c:pt idx="35">
                  <c:v>SANTA ANA</c:v>
                </c:pt>
                <c:pt idx="36">
                  <c:v>CELEPSA RENOVABLES</c:v>
                </c:pt>
                <c:pt idx="37">
                  <c:v>SINERSA</c:v>
                </c:pt>
                <c:pt idx="38">
                  <c:v>SDF ENERGIA</c:v>
                </c:pt>
                <c:pt idx="39">
                  <c:v>GENERACIÓN ANDINA</c:v>
                </c:pt>
                <c:pt idx="40">
                  <c:v>EGESUR</c:v>
                </c:pt>
                <c:pt idx="41">
                  <c:v>TERMOCHILCA</c:v>
                </c:pt>
                <c:pt idx="42">
                  <c:v>EMGE HUANZA</c:v>
                </c:pt>
                <c:pt idx="43">
                  <c:v>P.E. TRES HERMANAS</c:v>
                </c:pt>
                <c:pt idx="44">
                  <c:v>LA VIRGEN</c:v>
                </c:pt>
                <c:pt idx="45">
                  <c:v>GEPSA</c:v>
                </c:pt>
                <c:pt idx="46">
                  <c:v>SAN GABAN</c:v>
                </c:pt>
                <c:pt idx="47">
                  <c:v>EMGE JUNÍN</c:v>
                </c:pt>
                <c:pt idx="48">
                  <c:v>ENERGÍA EÓLICA</c:v>
                </c:pt>
                <c:pt idx="49">
                  <c:v>ENEL GENERACION PIURA</c:v>
                </c:pt>
                <c:pt idx="50">
                  <c:v>INLAND</c:v>
                </c:pt>
                <c:pt idx="51">
                  <c:v>EGASA</c:v>
                </c:pt>
                <c:pt idx="52">
                  <c:v>ENEL GREEN POWER PERU</c:v>
                </c:pt>
                <c:pt idx="53">
                  <c:v>CHINANGO</c:v>
                </c:pt>
                <c:pt idx="54">
                  <c:v>EGEMSA</c:v>
                </c:pt>
                <c:pt idx="55">
                  <c:v>CELEPSA</c:v>
                </c:pt>
                <c:pt idx="56">
                  <c:v>ORAZUL ENERGY PERÚ</c:v>
                </c:pt>
                <c:pt idx="57">
                  <c:v>FENIX POWER</c:v>
                </c:pt>
                <c:pt idx="58">
                  <c:v>STATKRAFT</c:v>
                </c:pt>
                <c:pt idx="59">
                  <c:v>EMGE HUALLAGA</c:v>
                </c:pt>
                <c:pt idx="60">
                  <c:v>ENEL GENERACION PERU</c:v>
                </c:pt>
                <c:pt idx="61">
                  <c:v>ELECTROPERU</c:v>
                </c:pt>
              </c:strCache>
            </c:strRef>
          </c:cat>
          <c:val>
            <c:numRef>
              <c:f>'7. Generacion empresa'!$M$4:$M$65</c:f>
              <c:numCache>
                <c:formatCode>General</c:formatCode>
                <c:ptCount val="62"/>
                <c:pt idx="1">
                  <c:v>0</c:v>
                </c:pt>
                <c:pt idx="2">
                  <c:v>1.7090524999999999E-2</c:v>
                </c:pt>
                <c:pt idx="3">
                  <c:v>2.56850975E-2</c:v>
                </c:pt>
                <c:pt idx="4">
                  <c:v>0.2375421425</c:v>
                </c:pt>
                <c:pt idx="5">
                  <c:v>0.28534678000000002</c:v>
                </c:pt>
                <c:pt idx="6">
                  <c:v>0.38599749999999999</c:v>
                </c:pt>
                <c:pt idx="7">
                  <c:v>0.44842274999999998</c:v>
                </c:pt>
                <c:pt idx="8">
                  <c:v>0.52959690000000004</c:v>
                </c:pt>
                <c:pt idx="9">
                  <c:v>1.5782827975</c:v>
                </c:pt>
                <c:pt idx="10">
                  <c:v>1.6097044149999999</c:v>
                </c:pt>
                <c:pt idx="11">
                  <c:v>1.6373590149999999</c:v>
                </c:pt>
                <c:pt idx="12">
                  <c:v>2.1960478749999996</c:v>
                </c:pt>
                <c:pt idx="13">
                  <c:v>2.5636999999999999</c:v>
                </c:pt>
                <c:pt idx="14">
                  <c:v>2.5747787</c:v>
                </c:pt>
                <c:pt idx="15">
                  <c:v>3.43875865</c:v>
                </c:pt>
                <c:pt idx="16">
                  <c:v>3.8163535849999999</c:v>
                </c:pt>
                <c:pt idx="17">
                  <c:v>3.9115265300000002</c:v>
                </c:pt>
                <c:pt idx="18">
                  <c:v>4.0446451000000003</c:v>
                </c:pt>
                <c:pt idx="19">
                  <c:v>4.3039525049999998</c:v>
                </c:pt>
                <c:pt idx="20">
                  <c:v>4.3576411225000005</c:v>
                </c:pt>
                <c:pt idx="21">
                  <c:v>4.6430189374999999</c:v>
                </c:pt>
                <c:pt idx="22">
                  <c:v>4.6951015150000002</c:v>
                </c:pt>
                <c:pt idx="23">
                  <c:v>5.2292854174999999</c:v>
                </c:pt>
                <c:pt idx="24">
                  <c:v>5.3222992750000007</c:v>
                </c:pt>
                <c:pt idx="25">
                  <c:v>6.3379690125000003</c:v>
                </c:pt>
                <c:pt idx="26">
                  <c:v>7.9140445250000004</c:v>
                </c:pt>
                <c:pt idx="27">
                  <c:v>9.0792737849999998</c:v>
                </c:pt>
                <c:pt idx="28">
                  <c:v>10.640418127499998</c:v>
                </c:pt>
                <c:pt idx="29">
                  <c:v>12.304577705</c:v>
                </c:pt>
                <c:pt idx="30">
                  <c:v>12.693727214999999</c:v>
                </c:pt>
                <c:pt idx="31">
                  <c:v>13.10998283</c:v>
                </c:pt>
                <c:pt idx="32">
                  <c:v>13.4149835225</c:v>
                </c:pt>
                <c:pt idx="33">
                  <c:v>13.66837333</c:v>
                </c:pt>
                <c:pt idx="34">
                  <c:v>14.45381546</c:v>
                </c:pt>
                <c:pt idx="35">
                  <c:v>14.564628515000001</c:v>
                </c:pt>
                <c:pt idx="36">
                  <c:v>14.627545285</c:v>
                </c:pt>
                <c:pt idx="37">
                  <c:v>16.274510257499998</c:v>
                </c:pt>
                <c:pt idx="38">
                  <c:v>18.861131887500001</c:v>
                </c:pt>
                <c:pt idx="39">
                  <c:v>19.116591110000002</c:v>
                </c:pt>
                <c:pt idx="40">
                  <c:v>20.852845134999999</c:v>
                </c:pt>
                <c:pt idx="41">
                  <c:v>30.0757875125</c:v>
                </c:pt>
                <c:pt idx="42">
                  <c:v>32.627229999999997</c:v>
                </c:pt>
                <c:pt idx="43">
                  <c:v>33.152793812500001</c:v>
                </c:pt>
                <c:pt idx="44">
                  <c:v>40.21735125</c:v>
                </c:pt>
                <c:pt idx="45">
                  <c:v>44.363724619999999</c:v>
                </c:pt>
                <c:pt idx="46">
                  <c:v>45.082415705000003</c:v>
                </c:pt>
                <c:pt idx="47">
                  <c:v>46.499323855000007</c:v>
                </c:pt>
                <c:pt idx="48">
                  <c:v>47.655647342500004</c:v>
                </c:pt>
                <c:pt idx="49">
                  <c:v>60.695053250000001</c:v>
                </c:pt>
                <c:pt idx="50">
                  <c:v>65.904089449999987</c:v>
                </c:pt>
                <c:pt idx="51">
                  <c:v>82.240458047499985</c:v>
                </c:pt>
                <c:pt idx="52">
                  <c:v>86.695876249999998</c:v>
                </c:pt>
                <c:pt idx="53">
                  <c:v>113.357798</c:v>
                </c:pt>
                <c:pt idx="54">
                  <c:v>119.98859774999998</c:v>
                </c:pt>
                <c:pt idx="55">
                  <c:v>125.86830449999999</c:v>
                </c:pt>
                <c:pt idx="56">
                  <c:v>229.47994849999998</c:v>
                </c:pt>
                <c:pt idx="57">
                  <c:v>236.51407881749998</c:v>
                </c:pt>
                <c:pt idx="58">
                  <c:v>243.442861975</c:v>
                </c:pt>
                <c:pt idx="59">
                  <c:v>262.49282283750006</c:v>
                </c:pt>
                <c:pt idx="60">
                  <c:v>544.11249599999996</c:v>
                </c:pt>
                <c:pt idx="61">
                  <c:v>566.86458719999996</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ELECTRO ZAÑA</c:v>
                </c:pt>
                <c:pt idx="1">
                  <c:v>CERRO VERDE</c:v>
                </c:pt>
                <c:pt idx="2">
                  <c:v>PLANTA  ETEN</c:v>
                </c:pt>
                <c:pt idx="3">
                  <c:v>IYEPSA</c:v>
                </c:pt>
                <c:pt idx="4">
                  <c:v>COLCA SOLAR</c:v>
                </c:pt>
                <c:pt idx="5">
                  <c:v>ATRIA</c:v>
                </c:pt>
                <c:pt idx="6">
                  <c:v>SAMAY I</c:v>
                </c:pt>
                <c:pt idx="7">
                  <c:v>HYDRO PATAPO</c:v>
                </c:pt>
                <c:pt idx="8">
                  <c:v>SHOUGESA</c:v>
                </c:pt>
                <c:pt idx="9">
                  <c:v>CENTRALES SANTA ROSA</c:v>
                </c:pt>
                <c:pt idx="10">
                  <c:v>TERMOSELVA</c:v>
                </c:pt>
                <c:pt idx="11">
                  <c:v>EGECSAC</c:v>
                </c:pt>
                <c:pt idx="12">
                  <c:v>MAJA ENERGIA</c:v>
                </c:pt>
                <c:pt idx="13">
                  <c:v>HIDROCAÑETE</c:v>
                </c:pt>
                <c:pt idx="14">
                  <c:v>ELECTRICA YANAPAMPA</c:v>
                </c:pt>
                <c:pt idx="15">
                  <c:v>GR PAINO</c:v>
                </c:pt>
                <c:pt idx="16">
                  <c:v>REPARTICION</c:v>
                </c:pt>
                <c:pt idx="17">
                  <c:v>GR TARUCA</c:v>
                </c:pt>
                <c:pt idx="18">
                  <c:v>MAJES</c:v>
                </c:pt>
                <c:pt idx="19">
                  <c:v>MOQUEGUA FV</c:v>
                </c:pt>
                <c:pt idx="20">
                  <c:v>SAN JACINTO</c:v>
                </c:pt>
                <c:pt idx="21">
                  <c:v>AGROAURORA</c:v>
                </c:pt>
                <c:pt idx="22">
                  <c:v>TACNA SOLAR</c:v>
                </c:pt>
                <c:pt idx="23">
                  <c:v>PANAMERICANA SOLAR</c:v>
                </c:pt>
                <c:pt idx="24">
                  <c:v>PETRAMAS</c:v>
                </c:pt>
                <c:pt idx="25">
                  <c:v>BIOENERGIA</c:v>
                </c:pt>
                <c:pt idx="26">
                  <c:v>AIPSA</c:v>
                </c:pt>
                <c:pt idx="27">
                  <c:v>ANDEAN POWER</c:v>
                </c:pt>
                <c:pt idx="28">
                  <c:v>P.E. MARCONA</c:v>
                </c:pt>
                <c:pt idx="29">
                  <c:v>RIO BAÑOS</c:v>
                </c:pt>
                <c:pt idx="30">
                  <c:v>INVERSION DE ENERGÍA RENOVABLES</c:v>
                </c:pt>
                <c:pt idx="31">
                  <c:v>HIDROELECTRICA HUANCHOR</c:v>
                </c:pt>
                <c:pt idx="32">
                  <c:v>HUAURA POWER</c:v>
                </c:pt>
                <c:pt idx="33">
                  <c:v>RIO DOBLE</c:v>
                </c:pt>
                <c:pt idx="34">
                  <c:v>AGUA AZUL</c:v>
                </c:pt>
                <c:pt idx="35">
                  <c:v>SANTA ANA</c:v>
                </c:pt>
                <c:pt idx="36">
                  <c:v>CELEPSA RENOVABLES</c:v>
                </c:pt>
                <c:pt idx="37">
                  <c:v>SINERSA</c:v>
                </c:pt>
                <c:pt idx="38">
                  <c:v>SDF ENERGIA</c:v>
                </c:pt>
                <c:pt idx="39">
                  <c:v>GENERACIÓN ANDINA</c:v>
                </c:pt>
                <c:pt idx="40">
                  <c:v>EGESUR</c:v>
                </c:pt>
                <c:pt idx="41">
                  <c:v>TERMOCHILCA</c:v>
                </c:pt>
                <c:pt idx="42">
                  <c:v>EMGE HUANZA</c:v>
                </c:pt>
                <c:pt idx="43">
                  <c:v>P.E. TRES HERMANAS</c:v>
                </c:pt>
                <c:pt idx="44">
                  <c:v>LA VIRGEN</c:v>
                </c:pt>
                <c:pt idx="45">
                  <c:v>GEPSA</c:v>
                </c:pt>
                <c:pt idx="46">
                  <c:v>SAN GABAN</c:v>
                </c:pt>
                <c:pt idx="47">
                  <c:v>EMGE JUNÍN</c:v>
                </c:pt>
                <c:pt idx="48">
                  <c:v>ENERGÍA EÓLICA</c:v>
                </c:pt>
                <c:pt idx="49">
                  <c:v>ENEL GENERACION PIURA</c:v>
                </c:pt>
                <c:pt idx="50">
                  <c:v>INLAND</c:v>
                </c:pt>
                <c:pt idx="51">
                  <c:v>EGASA</c:v>
                </c:pt>
                <c:pt idx="52">
                  <c:v>ENEL GREEN POWER PERU</c:v>
                </c:pt>
                <c:pt idx="53">
                  <c:v>CHINANGO</c:v>
                </c:pt>
                <c:pt idx="54">
                  <c:v>EGEMSA</c:v>
                </c:pt>
                <c:pt idx="55">
                  <c:v>CELEPSA</c:v>
                </c:pt>
                <c:pt idx="56">
                  <c:v>ORAZUL ENERGY PERÚ</c:v>
                </c:pt>
                <c:pt idx="57">
                  <c:v>FENIX POWER</c:v>
                </c:pt>
                <c:pt idx="58">
                  <c:v>STATKRAFT</c:v>
                </c:pt>
                <c:pt idx="59">
                  <c:v>EMGE HUALLAGA</c:v>
                </c:pt>
                <c:pt idx="60">
                  <c:v>ENEL GENERACION PERU</c:v>
                </c:pt>
                <c:pt idx="61">
                  <c:v>ELECTROPERU</c:v>
                </c:pt>
              </c:strCache>
            </c:strRef>
          </c:cat>
          <c:val>
            <c:numRef>
              <c:f>'7. Generacion empresa'!$N$4:$N$65</c:f>
              <c:numCache>
                <c:formatCode>General</c:formatCode>
                <c:ptCount val="62"/>
                <c:pt idx="0">
                  <c:v>8.2314067800000004</c:v>
                </c:pt>
                <c:pt idx="1">
                  <c:v>0</c:v>
                </c:pt>
                <c:pt idx="2">
                  <c:v>2.2231E-3</c:v>
                </c:pt>
                <c:pt idx="3">
                  <c:v>0.82901806500000008</c:v>
                </c:pt>
                <c:pt idx="5">
                  <c:v>0.49063189499999998</c:v>
                </c:pt>
                <c:pt idx="6">
                  <c:v>0.80239053999999999</c:v>
                </c:pt>
                <c:pt idx="7">
                  <c:v>0.21446850000000001</c:v>
                </c:pt>
                <c:pt idx="8">
                  <c:v>1.308844235</c:v>
                </c:pt>
                <c:pt idx="10">
                  <c:v>1.996748505</c:v>
                </c:pt>
                <c:pt idx="11">
                  <c:v>1.7286366</c:v>
                </c:pt>
                <c:pt idx="12">
                  <c:v>2.1207589374999998</c:v>
                </c:pt>
                <c:pt idx="13">
                  <c:v>2.4631999999999996</c:v>
                </c:pt>
                <c:pt idx="14">
                  <c:v>2.3859851025000003</c:v>
                </c:pt>
                <c:pt idx="15">
                  <c:v>0.2372264925</c:v>
                </c:pt>
                <c:pt idx="16">
                  <c:v>3.5774013199999999</c:v>
                </c:pt>
                <c:pt idx="17">
                  <c:v>6.4391925000000003E-2</c:v>
                </c:pt>
                <c:pt idx="18">
                  <c:v>3.5774013199999999</c:v>
                </c:pt>
                <c:pt idx="19">
                  <c:v>4.5450775700000001</c:v>
                </c:pt>
                <c:pt idx="20">
                  <c:v>5.4216976849999998</c:v>
                </c:pt>
                <c:pt idx="21">
                  <c:v>4.5409642175</c:v>
                </c:pt>
                <c:pt idx="22">
                  <c:v>5.3897528074999999</c:v>
                </c:pt>
                <c:pt idx="23">
                  <c:v>5.4586225274999993</c:v>
                </c:pt>
                <c:pt idx="24">
                  <c:v>8.0370835374999992</c:v>
                </c:pt>
                <c:pt idx="25">
                  <c:v>6.7875031200000002</c:v>
                </c:pt>
                <c:pt idx="26">
                  <c:v>8.2125301825000001</c:v>
                </c:pt>
                <c:pt idx="27">
                  <c:v>10.3061835275</c:v>
                </c:pt>
                <c:pt idx="28">
                  <c:v>12.286729375</c:v>
                </c:pt>
                <c:pt idx="29">
                  <c:v>13.542620700000001</c:v>
                </c:pt>
                <c:pt idx="30">
                  <c:v>10.8058693125</c:v>
                </c:pt>
                <c:pt idx="31">
                  <c:v>11.629535032500002</c:v>
                </c:pt>
                <c:pt idx="32">
                  <c:v>13.184042685000001</c:v>
                </c:pt>
                <c:pt idx="33">
                  <c:v>13.20743465</c:v>
                </c:pt>
                <c:pt idx="34">
                  <c:v>14.53891076</c:v>
                </c:pt>
                <c:pt idx="35">
                  <c:v>14.853014829999999</c:v>
                </c:pt>
                <c:pt idx="36">
                  <c:v>13.5052720475</c:v>
                </c:pt>
                <c:pt idx="37">
                  <c:v>16.800372995</c:v>
                </c:pt>
                <c:pt idx="38">
                  <c:v>0</c:v>
                </c:pt>
                <c:pt idx="39">
                  <c:v>18.0545910775</c:v>
                </c:pt>
                <c:pt idx="40">
                  <c:v>9.9054714175000012</c:v>
                </c:pt>
                <c:pt idx="41">
                  <c:v>25.53489416</c:v>
                </c:pt>
                <c:pt idx="42">
                  <c:v>27.037825014999999</c:v>
                </c:pt>
                <c:pt idx="43">
                  <c:v>37.775478437499999</c:v>
                </c:pt>
                <c:pt idx="45">
                  <c:v>42.849027795000005</c:v>
                </c:pt>
                <c:pt idx="46">
                  <c:v>73.615050230000008</c:v>
                </c:pt>
                <c:pt idx="47">
                  <c:v>34.355303450000001</c:v>
                </c:pt>
                <c:pt idx="48">
                  <c:v>48.341197497499998</c:v>
                </c:pt>
                <c:pt idx="49">
                  <c:v>63.907956690000006</c:v>
                </c:pt>
                <c:pt idx="50">
                  <c:v>65.552950757499985</c:v>
                </c:pt>
                <c:pt idx="51">
                  <c:v>82.686959577499991</c:v>
                </c:pt>
                <c:pt idx="52">
                  <c:v>89.931434437500002</c:v>
                </c:pt>
                <c:pt idx="53">
                  <c:v>96.457754245000004</c:v>
                </c:pt>
                <c:pt idx="54">
                  <c:v>120.73721523250001</c:v>
                </c:pt>
                <c:pt idx="55">
                  <c:v>127.23365951</c:v>
                </c:pt>
                <c:pt idx="56">
                  <c:v>253.33119499999998</c:v>
                </c:pt>
                <c:pt idx="57">
                  <c:v>221.78918948999996</c:v>
                </c:pt>
                <c:pt idx="58">
                  <c:v>196.0444516725</c:v>
                </c:pt>
                <c:pt idx="59">
                  <c:v>196.95824636999998</c:v>
                </c:pt>
                <c:pt idx="60">
                  <c:v>591.48818378250019</c:v>
                </c:pt>
                <c:pt idx="61">
                  <c:v>573.34540391999997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4547.4343099999996</c:v>
                </c:pt>
                <c:pt idx="1">
                  <c:v>4604.1638600000006</c:v>
                </c:pt>
                <c:pt idx="2">
                  <c:v>4580.6239199999991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2340.8349700000008</c:v>
                </c:pt>
                <c:pt idx="1">
                  <c:v>2265.9101700000001</c:v>
                </c:pt>
                <c:pt idx="2">
                  <c:v>2106.5043700000006</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284.76387999999997</c:v>
                </c:pt>
                <c:pt idx="1">
                  <c:v>255.22534999999999</c:v>
                </c:pt>
                <c:pt idx="2">
                  <c:v>303.54068999999998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2021</c:v>
                </c:pt>
              </c:strCache>
            </c:strRef>
          </c:tx>
          <c:spPr>
            <a:solidFill>
              <a:srgbClr val="0077A5"/>
            </a:solidFill>
          </c:spPr>
          <c:invertIfNegative val="0"/>
          <c:cat>
            <c:strRef>
              <c:f>'9. Pot. Empresa'!$L$7:$L$70</c:f>
              <c:strCache>
                <c:ptCount val="64"/>
                <c:pt idx="0">
                  <c:v>ELECTRO ZAÑA</c:v>
                </c:pt>
                <c:pt idx="1">
                  <c:v>COLCA SOLAR</c:v>
                </c:pt>
                <c:pt idx="2">
                  <c:v>ATRIA</c:v>
                </c:pt>
                <c:pt idx="3">
                  <c:v>REPARTICION</c:v>
                </c:pt>
                <c:pt idx="4">
                  <c:v>MAJES</c:v>
                </c:pt>
                <c:pt idx="5">
                  <c:v>TERMOSELVA</c:v>
                </c:pt>
                <c:pt idx="6">
                  <c:v>TACNA SOLAR</c:v>
                </c:pt>
                <c:pt idx="7">
                  <c:v>SHOUGESA</c:v>
                </c:pt>
                <c:pt idx="8">
                  <c:v>SAMAY I</c:v>
                </c:pt>
                <c:pt idx="9">
                  <c:v>PLANTA  ETEN</c:v>
                </c:pt>
                <c:pt idx="10">
                  <c:v>PANAMERICANA SOLAR</c:v>
                </c:pt>
                <c:pt idx="11">
                  <c:v>MOQUEGUA FV</c:v>
                </c:pt>
                <c:pt idx="12">
                  <c:v>IYEPSA</c:v>
                </c:pt>
                <c:pt idx="13">
                  <c:v>CERRO VERDE</c:v>
                </c:pt>
                <c:pt idx="14">
                  <c:v>HYDRO PATAPO</c:v>
                </c:pt>
                <c:pt idx="15">
                  <c:v>EGECSAC</c:v>
                </c:pt>
                <c:pt idx="16">
                  <c:v>CENTRALES SANTA ROSA</c:v>
                </c:pt>
                <c:pt idx="17">
                  <c:v>HIDROCAÑETE</c:v>
                </c:pt>
                <c:pt idx="18">
                  <c:v>ELECTRICA YANAPAMPA</c:v>
                </c:pt>
                <c:pt idx="19">
                  <c:v>MAJA ENERGIA</c:v>
                </c:pt>
                <c:pt idx="20">
                  <c:v>PETRAMAS</c:v>
                </c:pt>
                <c:pt idx="21">
                  <c:v>SAN JACINTO</c:v>
                </c:pt>
                <c:pt idx="22">
                  <c:v>GR TARUCA</c:v>
                </c:pt>
                <c:pt idx="23">
                  <c:v>BIOENERGIA</c:v>
                </c:pt>
                <c:pt idx="24">
                  <c:v>AGROAURORA</c:v>
                </c:pt>
                <c:pt idx="25">
                  <c:v>ANDEAN POWER</c:v>
                </c:pt>
                <c:pt idx="26">
                  <c:v>GR PAINO</c:v>
                </c:pt>
                <c:pt idx="27">
                  <c:v>AIPSA</c:v>
                </c:pt>
                <c:pt idx="28">
                  <c:v>HIDROELECTRICA HUANCHOR</c:v>
                </c:pt>
                <c:pt idx="29">
                  <c:v>HUAURA POWER</c:v>
                </c:pt>
                <c:pt idx="30">
                  <c:v>RIO DOBLE</c:v>
                </c:pt>
                <c:pt idx="31">
                  <c:v>RIO BAÑOS</c:v>
                </c:pt>
                <c:pt idx="32">
                  <c:v>CELEPSA RENOVABLES</c:v>
                </c:pt>
                <c:pt idx="33">
                  <c:v>AGUA AZUL</c:v>
                </c:pt>
                <c:pt idx="34">
                  <c:v>INVERSION DE ENERGÍA RENOVABLES</c:v>
                </c:pt>
                <c:pt idx="35">
                  <c:v>SANTA ANA</c:v>
                </c:pt>
                <c:pt idx="36">
                  <c:v>P.E. MARCONA</c:v>
                </c:pt>
                <c:pt idx="37">
                  <c:v>SINERSA</c:v>
                </c:pt>
                <c:pt idx="38">
                  <c:v>SDF ENERGIA</c:v>
                </c:pt>
                <c:pt idx="39">
                  <c:v>GENERACIÓN ANDINA</c:v>
                </c:pt>
                <c:pt idx="40">
                  <c:v>EGESUR</c:v>
                </c:pt>
                <c:pt idx="41">
                  <c:v>EMGE HUANZA</c:v>
                </c:pt>
                <c:pt idx="42">
                  <c:v>ENERGÍA EÓLICA</c:v>
                </c:pt>
                <c:pt idx="43">
                  <c:v>SAN GABAN</c:v>
                </c:pt>
                <c:pt idx="44">
                  <c:v>LA VIRGEN</c:v>
                </c:pt>
                <c:pt idx="45">
                  <c:v>EMGE JUNÍN</c:v>
                </c:pt>
                <c:pt idx="46">
                  <c:v>GEPSA</c:v>
                </c:pt>
                <c:pt idx="47">
                  <c:v>P.E. TRES HERMANAS</c:v>
                </c:pt>
                <c:pt idx="48">
                  <c:v>INLAND</c:v>
                </c:pt>
                <c:pt idx="49">
                  <c:v>ENEL GENERACION PIURA</c:v>
                </c:pt>
                <c:pt idx="50">
                  <c:v>ENEL GREEN POWER PERU</c:v>
                </c:pt>
                <c:pt idx="51">
                  <c:v>EGEMSA</c:v>
                </c:pt>
                <c:pt idx="52">
                  <c:v>EGASA</c:v>
                </c:pt>
                <c:pt idx="53">
                  <c:v>CHINANGO</c:v>
                </c:pt>
                <c:pt idx="54">
                  <c:v>TERMOCHILCA</c:v>
                </c:pt>
                <c:pt idx="55">
                  <c:v>CELEPSA</c:v>
                </c:pt>
                <c:pt idx="56">
                  <c:v>FENIX POWER</c:v>
                </c:pt>
                <c:pt idx="57">
                  <c:v>ORAZUL ENERGY PERÚ</c:v>
                </c:pt>
                <c:pt idx="58">
                  <c:v>STATKRAFT</c:v>
                </c:pt>
                <c:pt idx="59">
                  <c:v>EMGE HUALLAGA</c:v>
                </c:pt>
                <c:pt idx="60">
                  <c:v>ENEL GENERACION PERU</c:v>
                </c:pt>
                <c:pt idx="61">
                  <c:v>ELECTROPERU</c:v>
                </c:pt>
                <c:pt idx="62">
                  <c:v>ENGIE</c:v>
                </c:pt>
                <c:pt idx="63">
                  <c:v>KALLPA</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0.77500000000000002</c:v>
                </c:pt>
                <c:pt idx="15">
                  <c:v>2.3924099999999999</c:v>
                </c:pt>
                <c:pt idx="16">
                  <c:v>2.9917400000000001</c:v>
                </c:pt>
                <c:pt idx="17">
                  <c:v>3.2</c:v>
                </c:pt>
                <c:pt idx="18">
                  <c:v>3.391</c:v>
                </c:pt>
                <c:pt idx="19">
                  <c:v>3.4080000000000004</c:v>
                </c:pt>
                <c:pt idx="20">
                  <c:v>6.8939000000000004</c:v>
                </c:pt>
                <c:pt idx="21">
                  <c:v>8.4873499999999993</c:v>
                </c:pt>
                <c:pt idx="22">
                  <c:v>9.1332599999999999</c:v>
                </c:pt>
                <c:pt idx="23">
                  <c:v>9.7611799999999995</c:v>
                </c:pt>
                <c:pt idx="24">
                  <c:v>10.801080000000001</c:v>
                </c:pt>
                <c:pt idx="25">
                  <c:v>12.058070000000001</c:v>
                </c:pt>
                <c:pt idx="26">
                  <c:v>14.09769</c:v>
                </c:pt>
                <c:pt idx="27">
                  <c:v>15.353859999999999</c:v>
                </c:pt>
                <c:pt idx="28">
                  <c:v>17.979219999999998</c:v>
                </c:pt>
                <c:pt idx="29">
                  <c:v>18.21219</c:v>
                </c:pt>
                <c:pt idx="30">
                  <c:v>18.505229999999997</c:v>
                </c:pt>
                <c:pt idx="31">
                  <c:v>19.097290000000001</c:v>
                </c:pt>
                <c:pt idx="32">
                  <c:v>19.745669999999997</c:v>
                </c:pt>
                <c:pt idx="33">
                  <c:v>19.947469999999999</c:v>
                </c:pt>
                <c:pt idx="34">
                  <c:v>20.059730000000002</c:v>
                </c:pt>
                <c:pt idx="35">
                  <c:v>20.0623</c:v>
                </c:pt>
                <c:pt idx="36">
                  <c:v>23.052240000000001</c:v>
                </c:pt>
                <c:pt idx="37">
                  <c:v>24.530100000000001</c:v>
                </c:pt>
                <c:pt idx="38">
                  <c:v>26.591609999999999</c:v>
                </c:pt>
                <c:pt idx="39">
                  <c:v>27.368369999999999</c:v>
                </c:pt>
                <c:pt idx="40">
                  <c:v>35.069090000000003</c:v>
                </c:pt>
                <c:pt idx="41">
                  <c:v>40.86</c:v>
                </c:pt>
                <c:pt idx="42">
                  <c:v>42.108710000000002</c:v>
                </c:pt>
                <c:pt idx="43">
                  <c:v>46.0807</c:v>
                </c:pt>
                <c:pt idx="44">
                  <c:v>50</c:v>
                </c:pt>
                <c:pt idx="45">
                  <c:v>65.569630000000004</c:v>
                </c:pt>
                <c:pt idx="46">
                  <c:v>67.621760000000009</c:v>
                </c:pt>
                <c:pt idx="47">
                  <c:v>69.834980000000002</c:v>
                </c:pt>
                <c:pt idx="48">
                  <c:v>90.458650000000006</c:v>
                </c:pt>
                <c:pt idx="49">
                  <c:v>90.474000000000004</c:v>
                </c:pt>
                <c:pt idx="50">
                  <c:v>126.53700000000001</c:v>
                </c:pt>
                <c:pt idx="51">
                  <c:v>165.25199999999998</c:v>
                </c:pt>
                <c:pt idx="52">
                  <c:v>170.90086000000002</c:v>
                </c:pt>
                <c:pt idx="53">
                  <c:v>176.57</c:v>
                </c:pt>
                <c:pt idx="54">
                  <c:v>194.47380999999999</c:v>
                </c:pt>
                <c:pt idx="55">
                  <c:v>210.72300000000001</c:v>
                </c:pt>
                <c:pt idx="56">
                  <c:v>271.44031000000001</c:v>
                </c:pt>
                <c:pt idx="57">
                  <c:v>343.30500000000001</c:v>
                </c:pt>
                <c:pt idx="58">
                  <c:v>414.53339999999997</c:v>
                </c:pt>
                <c:pt idx="59">
                  <c:v>466.14035000000001</c:v>
                </c:pt>
                <c:pt idx="60">
                  <c:v>634.50299999999993</c:v>
                </c:pt>
                <c:pt idx="61">
                  <c:v>801.22800000000007</c:v>
                </c:pt>
                <c:pt idx="62">
                  <c:v>1000.8829499999999</c:v>
                </c:pt>
                <c:pt idx="63" formatCode="0.00">
                  <c:v>1240.5700000000002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2020</c:v>
                </c:pt>
              </c:strCache>
            </c:strRef>
          </c:tx>
          <c:spPr>
            <a:solidFill>
              <a:srgbClr val="FF6600"/>
            </a:solidFill>
          </c:spPr>
          <c:invertIfNegative val="0"/>
          <c:cat>
            <c:strRef>
              <c:f>'9. Pot. Empresa'!$L$7:$L$70</c:f>
              <c:strCache>
                <c:ptCount val="64"/>
                <c:pt idx="0">
                  <c:v>ELECTRO ZAÑA</c:v>
                </c:pt>
                <c:pt idx="1">
                  <c:v>COLCA SOLAR</c:v>
                </c:pt>
                <c:pt idx="2">
                  <c:v>ATRIA</c:v>
                </c:pt>
                <c:pt idx="3">
                  <c:v>REPARTICION</c:v>
                </c:pt>
                <c:pt idx="4">
                  <c:v>MAJES</c:v>
                </c:pt>
                <c:pt idx="5">
                  <c:v>TERMOSELVA</c:v>
                </c:pt>
                <c:pt idx="6">
                  <c:v>TACNA SOLAR</c:v>
                </c:pt>
                <c:pt idx="7">
                  <c:v>SHOUGESA</c:v>
                </c:pt>
                <c:pt idx="8">
                  <c:v>SAMAY I</c:v>
                </c:pt>
                <c:pt idx="9">
                  <c:v>PLANTA  ETEN</c:v>
                </c:pt>
                <c:pt idx="10">
                  <c:v>PANAMERICANA SOLAR</c:v>
                </c:pt>
                <c:pt idx="11">
                  <c:v>MOQUEGUA FV</c:v>
                </c:pt>
                <c:pt idx="12">
                  <c:v>IYEPSA</c:v>
                </c:pt>
                <c:pt idx="13">
                  <c:v>CERRO VERDE</c:v>
                </c:pt>
                <c:pt idx="14">
                  <c:v>HYDRO PATAPO</c:v>
                </c:pt>
                <c:pt idx="15">
                  <c:v>EGECSAC</c:v>
                </c:pt>
                <c:pt idx="16">
                  <c:v>CENTRALES SANTA ROSA</c:v>
                </c:pt>
                <c:pt idx="17">
                  <c:v>HIDROCAÑETE</c:v>
                </c:pt>
                <c:pt idx="18">
                  <c:v>ELECTRICA YANAPAMPA</c:v>
                </c:pt>
                <c:pt idx="19">
                  <c:v>MAJA ENERGIA</c:v>
                </c:pt>
                <c:pt idx="20">
                  <c:v>PETRAMAS</c:v>
                </c:pt>
                <c:pt idx="21">
                  <c:v>SAN JACINTO</c:v>
                </c:pt>
                <c:pt idx="22">
                  <c:v>GR TARUCA</c:v>
                </c:pt>
                <c:pt idx="23">
                  <c:v>BIOENERGIA</c:v>
                </c:pt>
                <c:pt idx="24">
                  <c:v>AGROAURORA</c:v>
                </c:pt>
                <c:pt idx="25">
                  <c:v>ANDEAN POWER</c:v>
                </c:pt>
                <c:pt idx="26">
                  <c:v>GR PAINO</c:v>
                </c:pt>
                <c:pt idx="27">
                  <c:v>AIPSA</c:v>
                </c:pt>
                <c:pt idx="28">
                  <c:v>HIDROELECTRICA HUANCHOR</c:v>
                </c:pt>
                <c:pt idx="29">
                  <c:v>HUAURA POWER</c:v>
                </c:pt>
                <c:pt idx="30">
                  <c:v>RIO DOBLE</c:v>
                </c:pt>
                <c:pt idx="31">
                  <c:v>RIO BAÑOS</c:v>
                </c:pt>
                <c:pt idx="32">
                  <c:v>CELEPSA RENOVABLES</c:v>
                </c:pt>
                <c:pt idx="33">
                  <c:v>AGUA AZUL</c:v>
                </c:pt>
                <c:pt idx="34">
                  <c:v>INVERSION DE ENERGÍA RENOVABLES</c:v>
                </c:pt>
                <c:pt idx="35">
                  <c:v>SANTA ANA</c:v>
                </c:pt>
                <c:pt idx="36">
                  <c:v>P.E. MARCONA</c:v>
                </c:pt>
                <c:pt idx="37">
                  <c:v>SINERSA</c:v>
                </c:pt>
                <c:pt idx="38">
                  <c:v>SDF ENERGIA</c:v>
                </c:pt>
                <c:pt idx="39">
                  <c:v>GENERACIÓN ANDINA</c:v>
                </c:pt>
                <c:pt idx="40">
                  <c:v>EGESUR</c:v>
                </c:pt>
                <c:pt idx="41">
                  <c:v>EMGE HUANZA</c:v>
                </c:pt>
                <c:pt idx="42">
                  <c:v>ENERGÍA EÓLICA</c:v>
                </c:pt>
                <c:pt idx="43">
                  <c:v>SAN GABAN</c:v>
                </c:pt>
                <c:pt idx="44">
                  <c:v>LA VIRGEN</c:v>
                </c:pt>
                <c:pt idx="45">
                  <c:v>EMGE JUNÍN</c:v>
                </c:pt>
                <c:pt idx="46">
                  <c:v>GEPSA</c:v>
                </c:pt>
                <c:pt idx="47">
                  <c:v>P.E. TRES HERMANAS</c:v>
                </c:pt>
                <c:pt idx="48">
                  <c:v>INLAND</c:v>
                </c:pt>
                <c:pt idx="49">
                  <c:v>ENEL GENERACION PIURA</c:v>
                </c:pt>
                <c:pt idx="50">
                  <c:v>ENEL GREEN POWER PERU</c:v>
                </c:pt>
                <c:pt idx="51">
                  <c:v>EGEMSA</c:v>
                </c:pt>
                <c:pt idx="52">
                  <c:v>EGASA</c:v>
                </c:pt>
                <c:pt idx="53">
                  <c:v>CHINANGO</c:v>
                </c:pt>
                <c:pt idx="54">
                  <c:v>TERMOCHILCA</c:v>
                </c:pt>
                <c:pt idx="55">
                  <c:v>CELEPSA</c:v>
                </c:pt>
                <c:pt idx="56">
                  <c:v>FENIX POWER</c:v>
                </c:pt>
                <c:pt idx="57">
                  <c:v>ORAZUL ENERGY PERÚ</c:v>
                </c:pt>
                <c:pt idx="58">
                  <c:v>STATKRAFT</c:v>
                </c:pt>
                <c:pt idx="59">
                  <c:v>EMGE HUALLAGA</c:v>
                </c:pt>
                <c:pt idx="60">
                  <c:v>ENEL GENERACION PERU</c:v>
                </c:pt>
                <c:pt idx="61">
                  <c:v>ELECTROPERU</c:v>
                </c:pt>
                <c:pt idx="62">
                  <c:v>ENGIE</c:v>
                </c:pt>
                <c:pt idx="63">
                  <c:v>KALLPA</c:v>
                </c:pt>
              </c:strCache>
            </c:strRef>
          </c:cat>
          <c:val>
            <c:numRef>
              <c:f>'9. Pot. Empresa'!$N$7:$N$70</c:f>
              <c:numCache>
                <c:formatCode>0</c:formatCode>
                <c:ptCount val="64"/>
                <c:pt idx="0">
                  <c:v>13.188829999999999</c:v>
                </c:pt>
                <c:pt idx="2">
                  <c:v>0.94384999999999997</c:v>
                </c:pt>
                <c:pt idx="3">
                  <c:v>0</c:v>
                </c:pt>
                <c:pt idx="4">
                  <c:v>0</c:v>
                </c:pt>
                <c:pt idx="5">
                  <c:v>0</c:v>
                </c:pt>
                <c:pt idx="6">
                  <c:v>0</c:v>
                </c:pt>
                <c:pt idx="7">
                  <c:v>0</c:v>
                </c:pt>
                <c:pt idx="8">
                  <c:v>0</c:v>
                </c:pt>
                <c:pt idx="9">
                  <c:v>0</c:v>
                </c:pt>
                <c:pt idx="10">
                  <c:v>0</c:v>
                </c:pt>
                <c:pt idx="11">
                  <c:v>0</c:v>
                </c:pt>
                <c:pt idx="12">
                  <c:v>0</c:v>
                </c:pt>
                <c:pt idx="13">
                  <c:v>0</c:v>
                </c:pt>
                <c:pt idx="14">
                  <c:v>0</c:v>
                </c:pt>
                <c:pt idx="15">
                  <c:v>2.55423</c:v>
                </c:pt>
                <c:pt idx="17">
                  <c:v>2</c:v>
                </c:pt>
                <c:pt idx="18">
                  <c:v>3.6905999999999999</c:v>
                </c:pt>
                <c:pt idx="19">
                  <c:v>3.3750900000000001</c:v>
                </c:pt>
                <c:pt idx="20">
                  <c:v>11.1656</c:v>
                </c:pt>
                <c:pt idx="21">
                  <c:v>7.8680000000000003</c:v>
                </c:pt>
                <c:pt idx="22">
                  <c:v>2.3000000000000001E-4</c:v>
                </c:pt>
                <c:pt idx="23">
                  <c:v>11.21875</c:v>
                </c:pt>
                <c:pt idx="24">
                  <c:v>4.4065399999999997</c:v>
                </c:pt>
                <c:pt idx="25">
                  <c:v>20.672249999999998</c:v>
                </c:pt>
                <c:pt idx="26">
                  <c:v>0</c:v>
                </c:pt>
                <c:pt idx="27">
                  <c:v>15.58447</c:v>
                </c:pt>
                <c:pt idx="28">
                  <c:v>16.19857</c:v>
                </c:pt>
                <c:pt idx="29">
                  <c:v>17.975740000000002</c:v>
                </c:pt>
                <c:pt idx="30">
                  <c:v>18.2193</c:v>
                </c:pt>
                <c:pt idx="31">
                  <c:v>19.991619999999998</c:v>
                </c:pt>
                <c:pt idx="32">
                  <c:v>18.79166</c:v>
                </c:pt>
                <c:pt idx="33">
                  <c:v>19.93477</c:v>
                </c:pt>
                <c:pt idx="34">
                  <c:v>20.662599999999998</c:v>
                </c:pt>
                <c:pt idx="35">
                  <c:v>20.359120000000001</c:v>
                </c:pt>
                <c:pt idx="36">
                  <c:v>24.551310000000001</c:v>
                </c:pt>
                <c:pt idx="37">
                  <c:v>23.05659</c:v>
                </c:pt>
                <c:pt idx="38">
                  <c:v>0</c:v>
                </c:pt>
                <c:pt idx="39">
                  <c:v>28.058979999999998</c:v>
                </c:pt>
                <c:pt idx="40">
                  <c:v>16.23</c:v>
                </c:pt>
                <c:pt idx="41">
                  <c:v>82.747150000000005</c:v>
                </c:pt>
                <c:pt idx="42">
                  <c:v>93.473610000000008</c:v>
                </c:pt>
                <c:pt idx="43">
                  <c:v>104.30265</c:v>
                </c:pt>
                <c:pt idx="45">
                  <c:v>36.180460000000004</c:v>
                </c:pt>
                <c:pt idx="46">
                  <c:v>56.976130000000005</c:v>
                </c:pt>
                <c:pt idx="47">
                  <c:v>73.04316</c:v>
                </c:pt>
                <c:pt idx="48">
                  <c:v>87.003410000000002</c:v>
                </c:pt>
                <c:pt idx="49">
                  <c:v>85.880380000000002</c:v>
                </c:pt>
                <c:pt idx="50">
                  <c:v>121.05459</c:v>
                </c:pt>
                <c:pt idx="51">
                  <c:v>159.37803</c:v>
                </c:pt>
                <c:pt idx="52">
                  <c:v>147.86265000000003</c:v>
                </c:pt>
                <c:pt idx="53">
                  <c:v>121.84123</c:v>
                </c:pt>
                <c:pt idx="54">
                  <c:v>0</c:v>
                </c:pt>
                <c:pt idx="55">
                  <c:v>202.54908</c:v>
                </c:pt>
                <c:pt idx="56">
                  <c:v>550.70608000000004</c:v>
                </c:pt>
                <c:pt idx="57">
                  <c:v>315.82000000000005</c:v>
                </c:pt>
                <c:pt idx="58">
                  <c:v>321.89309000000003</c:v>
                </c:pt>
                <c:pt idx="59">
                  <c:v>235.27550000000002</c:v>
                </c:pt>
                <c:pt idx="60">
                  <c:v>936.82871999999998</c:v>
                </c:pt>
                <c:pt idx="61">
                  <c:v>799.27391999999998</c:v>
                </c:pt>
                <c:pt idx="62">
                  <c:v>1055.23831</c:v>
                </c:pt>
                <c:pt idx="63" formatCode="0.00">
                  <c:v>1032.06926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pt idx="26" formatCode="0.0">
                  <c:v>209.19900509999999</c:v>
                </c:pt>
                <c:pt idx="27" formatCode="0.0">
                  <c:v>207.8560028</c:v>
                </c:pt>
                <c:pt idx="28" formatCode="0.0">
                  <c:v>200.68699649999999</c:v>
                </c:pt>
                <c:pt idx="29" formatCode="0.0">
                  <c:v>197.3999939</c:v>
                </c:pt>
                <c:pt idx="30" formatCode="0.0">
                  <c:v>193.71000670000001</c:v>
                </c:pt>
                <c:pt idx="31" formatCode="General">
                  <c:v>187.46000670000001</c:v>
                </c:pt>
                <c:pt idx="32" formatCode="General">
                  <c:v>186.17300420000001</c:v>
                </c:pt>
                <c:pt idx="33" formatCode="General">
                  <c:v>181.1710052</c:v>
                </c:pt>
                <c:pt idx="34" formatCode="General">
                  <c:v>176.38999939999999</c:v>
                </c:pt>
                <c:pt idx="35" formatCode="General">
                  <c:v>173.66999820000001</c:v>
                </c:pt>
                <c:pt idx="36" formatCode="General">
                  <c:v>170.7400055</c:v>
                </c:pt>
                <c:pt idx="37" formatCode="General">
                  <c:v>167.64599609999999</c:v>
                </c:pt>
                <c:pt idx="38" formatCode="General">
                  <c:v>157.6900024</c:v>
                </c:pt>
                <c:pt idx="39" formatCode="General">
                  <c:v>154.1900024</c:v>
                </c:pt>
                <c:pt idx="40" formatCode="General">
                  <c:v>148.9620056</c:v>
                </c:pt>
                <c:pt idx="41" formatCode="General">
                  <c:v>144.58599849999999</c:v>
                </c:pt>
                <c:pt idx="42" formatCode="General">
                  <c:v>140.38000489999999</c:v>
                </c:pt>
                <c:pt idx="43" formatCode="General">
                  <c:v>133.1060028</c:v>
                </c:pt>
                <c:pt idx="44" formatCode="General">
                  <c:v>128.5500031</c:v>
                </c:pt>
                <c:pt idx="45" formatCode="General">
                  <c:v>123.4499969</c:v>
                </c:pt>
                <c:pt idx="46" formatCode="General">
                  <c:v>121.12899779999999</c:v>
                </c:pt>
                <c:pt idx="47" formatCode="General">
                  <c:v>122.5419998</c:v>
                </c:pt>
                <c:pt idx="48" formatCode="General">
                  <c:v>129.1600037</c:v>
                </c:pt>
                <c:pt idx="49" formatCode="General">
                  <c:v>131.85099790000001</c:v>
                </c:pt>
                <c:pt idx="50" formatCode="General">
                  <c:v>128.24499510000001</c:v>
                </c:pt>
                <c:pt idx="51" formatCode="General">
                  <c:v>127.295997619628</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pt idx="26" formatCode="0.000">
                  <c:v>251.32600400000001</c:v>
                </c:pt>
                <c:pt idx="27" formatCode="0.000">
                  <c:v>243.66999820000001</c:v>
                </c:pt>
                <c:pt idx="28" formatCode="0.000">
                  <c:v>236.0899963</c:v>
                </c:pt>
                <c:pt idx="29" formatCode="0.000">
                  <c:v>223.80499270000001</c:v>
                </c:pt>
                <c:pt idx="30" formatCode="0.000">
                  <c:v>211.72599790000001</c:v>
                </c:pt>
                <c:pt idx="31" formatCode="General">
                  <c:v>200.36700440000001</c:v>
                </c:pt>
                <c:pt idx="32" formatCode="General">
                  <c:v>187.18600459999999</c:v>
                </c:pt>
                <c:pt idx="33" formatCode="General">
                  <c:v>176.73300169999999</c:v>
                </c:pt>
                <c:pt idx="34" formatCode="General">
                  <c:v>168.8840027</c:v>
                </c:pt>
                <c:pt idx="35" formatCode="General">
                  <c:v>158.2559967</c:v>
                </c:pt>
                <c:pt idx="36" formatCode="General">
                  <c:v>147.34800720000001</c:v>
                </c:pt>
                <c:pt idx="37" formatCode="General">
                  <c:v>131.14500430000001</c:v>
                </c:pt>
                <c:pt idx="38" formatCode="General">
                  <c:v>117.1940002</c:v>
                </c:pt>
                <c:pt idx="39" formatCode="General">
                  <c:v>113.2139969</c:v>
                </c:pt>
                <c:pt idx="40" formatCode="General">
                  <c:v>105.78199770000001</c:v>
                </c:pt>
                <c:pt idx="41" formatCode="General">
                  <c:v>94.636001590000006</c:v>
                </c:pt>
                <c:pt idx="42" formatCode="General">
                  <c:v>83.753997799999993</c:v>
                </c:pt>
                <c:pt idx="43" formatCode="General">
                  <c:v>73.136001590000006</c:v>
                </c:pt>
                <c:pt idx="44" formatCode="General">
                  <c:v>72.33000183</c:v>
                </c:pt>
                <c:pt idx="45" formatCode="General">
                  <c:v>66.33699799</c:v>
                </c:pt>
                <c:pt idx="46" formatCode="General">
                  <c:v>59.261001589999999</c:v>
                </c:pt>
                <c:pt idx="47" formatCode="General">
                  <c:v>59.261001589999999</c:v>
                </c:pt>
                <c:pt idx="48" formatCode="General">
                  <c:v>47.749000549999998</c:v>
                </c:pt>
                <c:pt idx="49" formatCode="General">
                  <c:v>46.993999479999999</c:v>
                </c:pt>
                <c:pt idx="50" formatCode="General">
                  <c:v>35.858001710000003</c:v>
                </c:pt>
                <c:pt idx="51" formatCode="General">
                  <c:v>31.502000809999998</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pt idx="26" formatCode="General">
                  <c:v>358.46099474000005</c:v>
                </c:pt>
                <c:pt idx="27" formatCode="General">
                  <c:v>352.90699958999994</c:v>
                </c:pt>
                <c:pt idx="28" formatCode="General">
                  <c:v>346.83199694000007</c:v>
                </c:pt>
                <c:pt idx="29" formatCode="General">
                  <c:v>340.42700004</c:v>
                </c:pt>
                <c:pt idx="30" formatCode="General">
                  <c:v>333.77900123000001</c:v>
                </c:pt>
                <c:pt idx="31" formatCode="General">
                  <c:v>326.91499899999997</c:v>
                </c:pt>
                <c:pt idx="32" formatCode="General">
                  <c:v>320.04999731999993</c:v>
                </c:pt>
                <c:pt idx="33" formatCode="General">
                  <c:v>312.22399334000005</c:v>
                </c:pt>
                <c:pt idx="34" formatCode="General">
                  <c:v>304.73300071000006</c:v>
                </c:pt>
                <c:pt idx="35" formatCode="General">
                  <c:v>297.47899814000004</c:v>
                </c:pt>
                <c:pt idx="36" formatCode="General">
                  <c:v>289.18600270099995</c:v>
                </c:pt>
                <c:pt idx="37" formatCode="General">
                  <c:v>281.63800617199996</c:v>
                </c:pt>
                <c:pt idx="38" formatCode="General">
                  <c:v>274.41000078900004</c:v>
                </c:pt>
                <c:pt idx="39" formatCode="General">
                  <c:v>267.74887463900001</c:v>
                </c:pt>
                <c:pt idx="40" formatCode="General">
                  <c:v>261.11699532200004</c:v>
                </c:pt>
                <c:pt idx="41" formatCode="General">
                  <c:v>255.18400193299999</c:v>
                </c:pt>
                <c:pt idx="42" formatCode="General">
                  <c:v>247.82599997900002</c:v>
                </c:pt>
                <c:pt idx="43" formatCode="General">
                  <c:v>240.19699645200001</c:v>
                </c:pt>
                <c:pt idx="44" formatCode="General">
                  <c:v>232.069998986</c:v>
                </c:pt>
                <c:pt idx="45" formatCode="General">
                  <c:v>224.04500101899998</c:v>
                </c:pt>
                <c:pt idx="46" formatCode="General">
                  <c:v>219.29099989100001</c:v>
                </c:pt>
                <c:pt idx="47" formatCode="General">
                  <c:v>216.02500223999999</c:v>
                </c:pt>
                <c:pt idx="48" formatCode="General">
                  <c:v>215.407995212</c:v>
                </c:pt>
                <c:pt idx="49" formatCode="General">
                  <c:v>212.33400107200001</c:v>
                </c:pt>
                <c:pt idx="50" formatCode="General">
                  <c:v>207.130002496</c:v>
                </c:pt>
                <c:pt idx="51" formatCode="General">
                  <c:v>207.130002496</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2747.8717605600013</c:v>
                </c:pt>
                <c:pt idx="1">
                  <c:v>1578.4128581125003</c:v>
                </c:pt>
                <c:pt idx="2">
                  <c:v>0</c:v>
                </c:pt>
                <c:pt idx="3">
                  <c:v>3.0961315425000002</c:v>
                </c:pt>
                <c:pt idx="4">
                  <c:v>32.999778742500006</c:v>
                </c:pt>
                <c:pt idx="5">
                  <c:v>147.22592473</c:v>
                </c:pt>
                <c:pt idx="6">
                  <c:v>73.650183339999998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1491.1456843575002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5.8992881600000002</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1.4685850899999999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28.574972872500002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144.32565196250002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73.559578087499986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'12.Caudales'!$J$4:$K$213</c:f>
              <c:multiLvlStrCache>
                <c:ptCount val="209"/>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pt idx="204">
                    <c:v>48</c:v>
                  </c:pt>
                  <c:pt idx="208">
                    <c:v>52</c:v>
                  </c:pt>
                </c:lvl>
                <c:lvl>
                  <c:pt idx="0">
                    <c:v>2018</c:v>
                  </c:pt>
                  <c:pt idx="52">
                    <c:v>2019</c:v>
                  </c:pt>
                  <c:pt idx="105">
                    <c:v>2020</c:v>
                  </c:pt>
                  <c:pt idx="157">
                    <c:v>2021</c:v>
                  </c:pt>
                </c:lvl>
              </c:multiLvlStrCache>
            </c:multiLvlStrRef>
          </c:cat>
          <c:val>
            <c:numRef>
              <c:f>'12.Caudales'!$N$4:$N$212</c:f>
              <c:numCache>
                <c:formatCode>0.0</c:formatCode>
                <c:ptCount val="209"/>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pt idx="183">
                  <c:v>26.386999947142861</c:v>
                </c:pt>
                <c:pt idx="184">
                  <c:v>26.172000340000004</c:v>
                </c:pt>
                <c:pt idx="185">
                  <c:v>25.836714065714286</c:v>
                </c:pt>
                <c:pt idx="186">
                  <c:v>25.251428605714288</c:v>
                </c:pt>
                <c:pt idx="187">
                  <c:v>27.221714565714283</c:v>
                </c:pt>
                <c:pt idx="188">
                  <c:v>26.08357157</c:v>
                </c:pt>
                <c:pt idx="189">
                  <c:v>25.724999837142857</c:v>
                </c:pt>
                <c:pt idx="190">
                  <c:v>26.040285657142856</c:v>
                </c:pt>
                <c:pt idx="191">
                  <c:v>26.61128562</c:v>
                </c:pt>
                <c:pt idx="192">
                  <c:v>31.371142795714288</c:v>
                </c:pt>
                <c:pt idx="193">
                  <c:v>34.193142751428567</c:v>
                </c:pt>
                <c:pt idx="194">
                  <c:v>24.62042835714286</c:v>
                </c:pt>
                <c:pt idx="195">
                  <c:v>21.341285980000002</c:v>
                </c:pt>
                <c:pt idx="196">
                  <c:v>39.983428410000002</c:v>
                </c:pt>
                <c:pt idx="197">
                  <c:v>51.178142545714287</c:v>
                </c:pt>
                <c:pt idx="198">
                  <c:v>58.491857255714294</c:v>
                </c:pt>
                <c:pt idx="199">
                  <c:v>49.28842871714285</c:v>
                </c:pt>
                <c:pt idx="200">
                  <c:v>50.456999099999997</c:v>
                </c:pt>
                <c:pt idx="201">
                  <c:v>55.461713520000004</c:v>
                </c:pt>
                <c:pt idx="202">
                  <c:v>52.329856329999991</c:v>
                </c:pt>
                <c:pt idx="203">
                  <c:v>73.723714555714295</c:v>
                </c:pt>
                <c:pt idx="204">
                  <c:v>112.8014285714287</c:v>
                </c:pt>
                <c:pt idx="205">
                  <c:v>251.49200183333332</c:v>
                </c:pt>
                <c:pt idx="206">
                  <c:v>142.42614309857143</c:v>
                </c:pt>
                <c:pt idx="207">
                  <c:v>77.181571959999999</c:v>
                </c:pt>
                <c:pt idx="208">
                  <c:v>62.12314333285714</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'12.Caudales'!$J$4:$K$213</c:f>
              <c:multiLvlStrCache>
                <c:ptCount val="209"/>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pt idx="204">
                    <c:v>48</c:v>
                  </c:pt>
                  <c:pt idx="208">
                    <c:v>52</c:v>
                  </c:pt>
                </c:lvl>
                <c:lvl>
                  <c:pt idx="0">
                    <c:v>2018</c:v>
                  </c:pt>
                  <c:pt idx="52">
                    <c:v>2019</c:v>
                  </c:pt>
                  <c:pt idx="105">
                    <c:v>2020</c:v>
                  </c:pt>
                  <c:pt idx="157">
                    <c:v>2021</c:v>
                  </c:pt>
                </c:lvl>
              </c:multiLvlStrCache>
            </c:multiLvlStrRef>
          </c:cat>
          <c:val>
            <c:numRef>
              <c:f>'12.Caudales'!$O$4:$O$212</c:f>
              <c:numCache>
                <c:formatCode>0.0</c:formatCode>
                <c:ptCount val="209"/>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pt idx="183">
                  <c:v>23.356142859999999</c:v>
                </c:pt>
                <c:pt idx="184">
                  <c:v>19.029285704285716</c:v>
                </c:pt>
                <c:pt idx="185">
                  <c:v>17.854285240000003</c:v>
                </c:pt>
                <c:pt idx="186">
                  <c:v>12.897285600000002</c:v>
                </c:pt>
                <c:pt idx="187">
                  <c:v>10.959428514999999</c:v>
                </c:pt>
                <c:pt idx="188">
                  <c:v>9.4098570685714282</c:v>
                </c:pt>
                <c:pt idx="189">
                  <c:v>11.666285786000001</c:v>
                </c:pt>
                <c:pt idx="190">
                  <c:v>14.739857265714283</c:v>
                </c:pt>
                <c:pt idx="191">
                  <c:v>23.257428305714285</c:v>
                </c:pt>
                <c:pt idx="192">
                  <c:v>24.894000052857141</c:v>
                </c:pt>
                <c:pt idx="193">
                  <c:v>23.149857660000002</c:v>
                </c:pt>
                <c:pt idx="194">
                  <c:v>13.527142932857144</c:v>
                </c:pt>
                <c:pt idx="195">
                  <c:v>10.351999963428572</c:v>
                </c:pt>
                <c:pt idx="196">
                  <c:v>63.700570922857146</c:v>
                </c:pt>
                <c:pt idx="197">
                  <c:v>63.922285895714289</c:v>
                </c:pt>
                <c:pt idx="198">
                  <c:v>72.515429361428573</c:v>
                </c:pt>
                <c:pt idx="199">
                  <c:v>61.990286690000005</c:v>
                </c:pt>
                <c:pt idx="200">
                  <c:v>58.057570867142864</c:v>
                </c:pt>
                <c:pt idx="201">
                  <c:v>51.101286207142849</c:v>
                </c:pt>
                <c:pt idx="202">
                  <c:v>29.017713818571433</c:v>
                </c:pt>
                <c:pt idx="203">
                  <c:v>26.885714667142853</c:v>
                </c:pt>
                <c:pt idx="204">
                  <c:v>24.753715515714301</c:v>
                </c:pt>
                <c:pt idx="205">
                  <c:v>44.843001048333328</c:v>
                </c:pt>
                <c:pt idx="206">
                  <c:v>60.681712559999994</c:v>
                </c:pt>
                <c:pt idx="207">
                  <c:v>114.8148585642857</c:v>
                </c:pt>
                <c:pt idx="208">
                  <c:v>50.073429108571432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'12.Caudales'!$J$4:$K$213</c:f>
              <c:multiLvlStrCache>
                <c:ptCount val="209"/>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pt idx="204">
                    <c:v>48</c:v>
                  </c:pt>
                  <c:pt idx="208">
                    <c:v>52</c:v>
                  </c:pt>
                </c:lvl>
                <c:lvl>
                  <c:pt idx="0">
                    <c:v>2018</c:v>
                  </c:pt>
                  <c:pt idx="52">
                    <c:v>2019</c:v>
                  </c:pt>
                  <c:pt idx="105">
                    <c:v>2020</c:v>
                  </c:pt>
                  <c:pt idx="157">
                    <c:v>2021</c:v>
                  </c:pt>
                </c:lvl>
              </c:multiLvlStrCache>
            </c:multiLvlStrRef>
          </c:cat>
          <c:val>
            <c:numRef>
              <c:f>'12.Caudales'!$M$4:$M$212</c:f>
              <c:numCache>
                <c:formatCode>0.0</c:formatCode>
                <c:ptCount val="209"/>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pt idx="183">
                  <c:v>15.06657137</c:v>
                </c:pt>
                <c:pt idx="184">
                  <c:v>14.248142924285716</c:v>
                </c:pt>
                <c:pt idx="185">
                  <c:v>13.477857045714286</c:v>
                </c:pt>
                <c:pt idx="186">
                  <c:v>12.691000122857146</c:v>
                </c:pt>
                <c:pt idx="187">
                  <c:v>13.016714095714283</c:v>
                </c:pt>
                <c:pt idx="188">
                  <c:v>11.867571422857141</c:v>
                </c:pt>
                <c:pt idx="189">
                  <c:v>11.566857065714288</c:v>
                </c:pt>
                <c:pt idx="190">
                  <c:v>13.598856790000001</c:v>
                </c:pt>
                <c:pt idx="191">
                  <c:v>18.389285224285715</c:v>
                </c:pt>
                <c:pt idx="192">
                  <c:v>17.729570935714285</c:v>
                </c:pt>
                <c:pt idx="193">
                  <c:v>17.365428380000001</c:v>
                </c:pt>
                <c:pt idx="194">
                  <c:v>17.876142775714285</c:v>
                </c:pt>
                <c:pt idx="195">
                  <c:v>17.151999882857144</c:v>
                </c:pt>
                <c:pt idx="196">
                  <c:v>24.65814318</c:v>
                </c:pt>
                <c:pt idx="197">
                  <c:v>24.683571132857143</c:v>
                </c:pt>
                <c:pt idx="198">
                  <c:v>30.132285525714284</c:v>
                </c:pt>
                <c:pt idx="199">
                  <c:v>21.635857172857147</c:v>
                </c:pt>
                <c:pt idx="200">
                  <c:v>18.680143085714285</c:v>
                </c:pt>
                <c:pt idx="201">
                  <c:v>19.11199978285714</c:v>
                </c:pt>
                <c:pt idx="202">
                  <c:v>17.194857187142855</c:v>
                </c:pt>
                <c:pt idx="203">
                  <c:v>18.301142828571432</c:v>
                </c:pt>
                <c:pt idx="204">
                  <c:v>48.1</c:v>
                </c:pt>
                <c:pt idx="205">
                  <c:v>72.532000404285711</c:v>
                </c:pt>
                <c:pt idx="206">
                  <c:v>52.053428651428568</c:v>
                </c:pt>
                <c:pt idx="207">
                  <c:v>30.144714355714289</c:v>
                </c:pt>
                <c:pt idx="208">
                  <c:v>24.471428735714284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'13.Caudales'!$N$4:$O$212</c:f>
              <c:multiLvlStrCache>
                <c:ptCount val="20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200">
                    <c:v>44</c:v>
                  </c:pt>
                  <c:pt idx="208">
                    <c:v>52</c:v>
                  </c:pt>
                </c:lvl>
                <c:lvl>
                  <c:pt idx="0">
                    <c:v>2018</c:v>
                  </c:pt>
                  <c:pt idx="52">
                    <c:v>2019</c:v>
                  </c:pt>
                  <c:pt idx="105">
                    <c:v>2020</c:v>
                  </c:pt>
                  <c:pt idx="157">
                    <c:v>2021</c:v>
                  </c:pt>
                </c:lvl>
              </c:multiLvlStrCache>
            </c:multiLvlStrRef>
          </c:cat>
          <c:val>
            <c:numRef>
              <c:f>'13.Caudales'!$Q$4:$Q$212</c:f>
              <c:numCache>
                <c:formatCode>0.0</c:formatCode>
                <c:ptCount val="209"/>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pt idx="183">
                  <c:v>9.2658571514285715</c:v>
                </c:pt>
                <c:pt idx="184">
                  <c:v>8.3581429888571428</c:v>
                </c:pt>
                <c:pt idx="185">
                  <c:v>8.2642856324285709</c:v>
                </c:pt>
                <c:pt idx="186">
                  <c:v>7.629714148142857</c:v>
                </c:pt>
                <c:pt idx="187">
                  <c:v>7.8445713860000001</c:v>
                </c:pt>
                <c:pt idx="188">
                  <c:v>7.8535714147142865</c:v>
                </c:pt>
                <c:pt idx="189">
                  <c:v>7.8434285441428573</c:v>
                </c:pt>
                <c:pt idx="190">
                  <c:v>8.0232857294285722</c:v>
                </c:pt>
                <c:pt idx="191">
                  <c:v>9.1238570895714286</c:v>
                </c:pt>
                <c:pt idx="192">
                  <c:v>8.2869999062857129</c:v>
                </c:pt>
                <c:pt idx="193">
                  <c:v>7.2742856564285701</c:v>
                </c:pt>
                <c:pt idx="194">
                  <c:v>5.7302856442857149</c:v>
                </c:pt>
                <c:pt idx="195">
                  <c:v>5.3494285172857152</c:v>
                </c:pt>
                <c:pt idx="196">
                  <c:v>5.4815714698571432</c:v>
                </c:pt>
                <c:pt idx="197">
                  <c:v>6.414142881000001</c:v>
                </c:pt>
                <c:pt idx="198">
                  <c:v>7.0597143174285719</c:v>
                </c:pt>
                <c:pt idx="199">
                  <c:v>6.5518571988571432</c:v>
                </c:pt>
                <c:pt idx="200">
                  <c:v>6.2178571565714282</c:v>
                </c:pt>
                <c:pt idx="201">
                  <c:v>5.7207142285714285</c:v>
                </c:pt>
                <c:pt idx="202">
                  <c:v>5.8224285672857139</c:v>
                </c:pt>
                <c:pt idx="203">
                  <c:v>8.7129998894285716</c:v>
                </c:pt>
                <c:pt idx="204">
                  <c:v>9.7443332226190496</c:v>
                </c:pt>
                <c:pt idx="205">
                  <c:v>15.740428922857143</c:v>
                </c:pt>
                <c:pt idx="206">
                  <c:v>11.458857127</c:v>
                </c:pt>
                <c:pt idx="207">
                  <c:v>9.4554285322857137</c:v>
                </c:pt>
                <c:pt idx="208">
                  <c:v>10.030285698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'13.Caudales'!$N$4:$O$212</c:f>
              <c:multiLvlStrCache>
                <c:ptCount val="20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200">
                    <c:v>44</c:v>
                  </c:pt>
                  <c:pt idx="208">
                    <c:v>52</c:v>
                  </c:pt>
                </c:lvl>
                <c:lvl>
                  <c:pt idx="0">
                    <c:v>2018</c:v>
                  </c:pt>
                  <c:pt idx="52">
                    <c:v>2019</c:v>
                  </c:pt>
                  <c:pt idx="105">
                    <c:v>2020</c:v>
                  </c:pt>
                  <c:pt idx="157">
                    <c:v>2021</c:v>
                  </c:pt>
                </c:lvl>
              </c:multiLvlStrCache>
            </c:multiLvlStrRef>
          </c:cat>
          <c:val>
            <c:numRef>
              <c:f>'13.Caudales'!$R$4:$R$212</c:f>
              <c:numCache>
                <c:formatCode>0.0</c:formatCode>
                <c:ptCount val="209"/>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pt idx="183">
                  <c:v>4.8162857462857147</c:v>
                </c:pt>
                <c:pt idx="184">
                  <c:v>4.1457142830000002</c:v>
                </c:pt>
                <c:pt idx="185">
                  <c:v>4.2404285498571426</c:v>
                </c:pt>
                <c:pt idx="186">
                  <c:v>3.9339999471428575</c:v>
                </c:pt>
                <c:pt idx="187">
                  <c:v>4.2642856665714284</c:v>
                </c:pt>
                <c:pt idx="188">
                  <c:v>4.0602857387142857</c:v>
                </c:pt>
                <c:pt idx="189">
                  <c:v>3.7991428715714286</c:v>
                </c:pt>
                <c:pt idx="190">
                  <c:v>3.6017142020000001</c:v>
                </c:pt>
                <c:pt idx="191">
                  <c:v>6.7515713490000007</c:v>
                </c:pt>
                <c:pt idx="192">
                  <c:v>5.5024285997142854</c:v>
                </c:pt>
                <c:pt idx="193">
                  <c:v>5.7037142345714287</c:v>
                </c:pt>
                <c:pt idx="194">
                  <c:v>4.6181428091428574</c:v>
                </c:pt>
                <c:pt idx="195">
                  <c:v>4.7248570578571423</c:v>
                </c:pt>
                <c:pt idx="196">
                  <c:v>5.3951427595714279</c:v>
                </c:pt>
                <c:pt idx="197">
                  <c:v>5.6744286329999998</c:v>
                </c:pt>
                <c:pt idx="198">
                  <c:v>5.6411428450000001</c:v>
                </c:pt>
                <c:pt idx="199">
                  <c:v>5.278142861428571</c:v>
                </c:pt>
                <c:pt idx="200">
                  <c:v>3.7729999678571429</c:v>
                </c:pt>
                <c:pt idx="201">
                  <c:v>4.0865714210000004</c:v>
                </c:pt>
                <c:pt idx="202">
                  <c:v>4.1967142989999999</c:v>
                </c:pt>
                <c:pt idx="203">
                  <c:v>6.8662857328571425</c:v>
                </c:pt>
                <c:pt idx="204">
                  <c:v>7.8295714628095201</c:v>
                </c:pt>
                <c:pt idx="205">
                  <c:v>16.272571155571431</c:v>
                </c:pt>
                <c:pt idx="206">
                  <c:v>8.6871428825714272</c:v>
                </c:pt>
                <c:pt idx="207">
                  <c:v>4.7284286361428576</c:v>
                </c:pt>
                <c:pt idx="208">
                  <c:v>6.3814284807142858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'13.Caudales'!$N$4:$O$1819</c:f>
              <c:multiLvlStrCache>
                <c:ptCount val="20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200">
                    <c:v>44</c:v>
                  </c:pt>
                  <c:pt idx="208">
                    <c:v>52</c:v>
                  </c:pt>
                </c:lvl>
                <c:lvl>
                  <c:pt idx="0">
                    <c:v>2018</c:v>
                  </c:pt>
                  <c:pt idx="52">
                    <c:v>2019</c:v>
                  </c:pt>
                  <c:pt idx="105">
                    <c:v>2020</c:v>
                  </c:pt>
                  <c:pt idx="157">
                    <c:v>2021</c:v>
                  </c:pt>
                </c:lvl>
              </c:multiLvlStrCache>
            </c:multiLvlStrRef>
          </c:cat>
          <c:val>
            <c:numRef>
              <c:f>'13.Caudales'!$S$4:$S$212</c:f>
              <c:numCache>
                <c:formatCode>0.0</c:formatCode>
                <c:ptCount val="209"/>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pt idx="183" formatCode="0.00">
                  <c:v>66.665999275714285</c:v>
                </c:pt>
                <c:pt idx="184" formatCode="0.00">
                  <c:v>66.009428840000012</c:v>
                </c:pt>
                <c:pt idx="185" formatCode="0.00">
                  <c:v>61.976286207142856</c:v>
                </c:pt>
                <c:pt idx="186" formatCode="0.00">
                  <c:v>56.385429927142859</c:v>
                </c:pt>
                <c:pt idx="187" formatCode="0.00">
                  <c:v>63.196000779999999</c:v>
                </c:pt>
                <c:pt idx="188" formatCode="0.00">
                  <c:v>61.839428492857145</c:v>
                </c:pt>
                <c:pt idx="189" formatCode="0.00">
                  <c:v>59.987286159999996</c:v>
                </c:pt>
                <c:pt idx="190" formatCode="0.00">
                  <c:v>63.141999381428562</c:v>
                </c:pt>
                <c:pt idx="191" formatCode="0.00">
                  <c:v>62.449570247142852</c:v>
                </c:pt>
                <c:pt idx="192" formatCode="0.00">
                  <c:v>62.160142081428567</c:v>
                </c:pt>
                <c:pt idx="193" formatCode="0.00">
                  <c:v>63.491571698571427</c:v>
                </c:pt>
                <c:pt idx="194" formatCode="0.00">
                  <c:v>66.366000039999989</c:v>
                </c:pt>
                <c:pt idx="195" formatCode="0.00">
                  <c:v>75.45028468428572</c:v>
                </c:pt>
                <c:pt idx="196" formatCode="0.00">
                  <c:v>78.309284754285713</c:v>
                </c:pt>
                <c:pt idx="197" formatCode="0.00">
                  <c:v>79.701571872857144</c:v>
                </c:pt>
                <c:pt idx="198" formatCode="0.00">
                  <c:v>71.140427727142864</c:v>
                </c:pt>
                <c:pt idx="199" formatCode="0.00">
                  <c:v>66.382999420000004</c:v>
                </c:pt>
                <c:pt idx="200" formatCode="0.00">
                  <c:v>67.872285570000003</c:v>
                </c:pt>
                <c:pt idx="201" formatCode="0.00">
                  <c:v>64.557143075714279</c:v>
                </c:pt>
                <c:pt idx="202" formatCode="0.00">
                  <c:v>48.114428929999988</c:v>
                </c:pt>
                <c:pt idx="203" formatCode="0.00">
                  <c:v>75.949856894285716</c:v>
                </c:pt>
                <c:pt idx="204" formatCode="0.00">
                  <c:v>115.94985689428501</c:v>
                </c:pt>
                <c:pt idx="205" formatCode="0.00">
                  <c:v>179.40442985714284</c:v>
                </c:pt>
                <c:pt idx="206" formatCode="0.00">
                  <c:v>180.05014475714285</c:v>
                </c:pt>
                <c:pt idx="207" formatCode="0.00">
                  <c:v>179.9772862142857</c:v>
                </c:pt>
                <c:pt idx="208" formatCode="0.00">
                  <c:v>180.17299980000001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'13.Caudales'!$N$4:$O$1819</c:f>
              <c:multiLvlStrCache>
                <c:ptCount val="20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200">
                    <c:v>44</c:v>
                  </c:pt>
                  <c:pt idx="208">
                    <c:v>52</c:v>
                  </c:pt>
                </c:lvl>
                <c:lvl>
                  <c:pt idx="0">
                    <c:v>2018</c:v>
                  </c:pt>
                  <c:pt idx="52">
                    <c:v>2019</c:v>
                  </c:pt>
                  <c:pt idx="105">
                    <c:v>2020</c:v>
                  </c:pt>
                  <c:pt idx="157">
                    <c:v>2021</c:v>
                  </c:pt>
                </c:lvl>
              </c:multiLvlStrCache>
            </c:multiLvlStrRef>
          </c:cat>
          <c:val>
            <c:numRef>
              <c:f>'13.Caudales'!$T$4:$T$212</c:f>
              <c:numCache>
                <c:formatCode>0.0</c:formatCode>
                <c:ptCount val="209"/>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pt idx="183" formatCode="0.00">
                  <c:v>33.029857091428575</c:v>
                </c:pt>
                <c:pt idx="184" formatCode="0.00">
                  <c:v>29.922571454285713</c:v>
                </c:pt>
                <c:pt idx="185" formatCode="0.00">
                  <c:v>30.851285662857144</c:v>
                </c:pt>
                <c:pt idx="186" formatCode="0.00">
                  <c:v>26.327428545714287</c:v>
                </c:pt>
                <c:pt idx="187" formatCode="0.00">
                  <c:v>30.940428597142859</c:v>
                </c:pt>
                <c:pt idx="188" formatCode="0.00">
                  <c:v>23.267714362857141</c:v>
                </c:pt>
                <c:pt idx="189" formatCode="0.00">
                  <c:v>22.755999974285714</c:v>
                </c:pt>
                <c:pt idx="190" formatCode="0.00">
                  <c:v>21.678714208571428</c:v>
                </c:pt>
                <c:pt idx="191" formatCode="0.00">
                  <c:v>29.398714337142856</c:v>
                </c:pt>
                <c:pt idx="192" formatCode="0.00">
                  <c:v>24.535714285714285</c:v>
                </c:pt>
                <c:pt idx="193" formatCode="0.00">
                  <c:v>33.851285662857144</c:v>
                </c:pt>
                <c:pt idx="194" formatCode="0.00">
                  <c:v>30.833285740000001</c:v>
                </c:pt>
                <c:pt idx="195" formatCode="0.00">
                  <c:v>25.431428635714287</c:v>
                </c:pt>
                <c:pt idx="196" formatCode="0.00">
                  <c:v>54.744000025714286</c:v>
                </c:pt>
                <c:pt idx="197" formatCode="0.00">
                  <c:v>50.934571402857145</c:v>
                </c:pt>
                <c:pt idx="198" formatCode="0.00">
                  <c:v>43.184428622857141</c:v>
                </c:pt>
                <c:pt idx="199" formatCode="0.00">
                  <c:v>36.916714259999999</c:v>
                </c:pt>
                <c:pt idx="200" formatCode="0.00">
                  <c:v>41.726285662857144</c:v>
                </c:pt>
                <c:pt idx="201" formatCode="0.00">
                  <c:v>47.85114288285714</c:v>
                </c:pt>
                <c:pt idx="202" formatCode="0.00">
                  <c:v>58.976285662857144</c:v>
                </c:pt>
                <c:pt idx="203" formatCode="0.00">
                  <c:v>107.95228576857143</c:v>
                </c:pt>
                <c:pt idx="204" formatCode="0.00">
                  <c:v>116.577285768571</c:v>
                </c:pt>
                <c:pt idx="205" formatCode="0.00">
                  <c:v>143.97028568571429</c:v>
                </c:pt>
                <c:pt idx="206" formatCode="0.00">
                  <c:v>105.38685716857142</c:v>
                </c:pt>
                <c:pt idx="207" formatCode="0.00">
                  <c:v>14.57142870857143</c:v>
                </c:pt>
                <c:pt idx="208" formatCode="0.00">
                  <c:v>59.892857142857146</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'13.Caudales'!$U$4:$U$212</c:f>
              <c:numCache>
                <c:formatCode>0.0</c:formatCode>
                <c:ptCount val="209"/>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pt idx="183">
                  <c:v>7.6702857698571432</c:v>
                </c:pt>
                <c:pt idx="184">
                  <c:v>6.9708570752857142</c:v>
                </c:pt>
                <c:pt idx="185">
                  <c:v>7.1941427504285702</c:v>
                </c:pt>
                <c:pt idx="186">
                  <c:v>6.6857143130000001</c:v>
                </c:pt>
                <c:pt idx="187">
                  <c:v>7.3144286019999996</c:v>
                </c:pt>
                <c:pt idx="188">
                  <c:v>6.1658571107142865</c:v>
                </c:pt>
                <c:pt idx="189">
                  <c:v>5.9981428554285712</c:v>
                </c:pt>
                <c:pt idx="190">
                  <c:v>5.9428571975714277</c:v>
                </c:pt>
                <c:pt idx="191">
                  <c:v>5.5928570885714288</c:v>
                </c:pt>
                <c:pt idx="192">
                  <c:v>5.7147143908571421</c:v>
                </c:pt>
                <c:pt idx="193">
                  <c:v>6.5815715108571435</c:v>
                </c:pt>
                <c:pt idx="194">
                  <c:v>6.3408571651428574</c:v>
                </c:pt>
                <c:pt idx="195">
                  <c:v>6.8902856279999991</c:v>
                </c:pt>
                <c:pt idx="196">
                  <c:v>7.7940000801428573</c:v>
                </c:pt>
                <c:pt idx="197">
                  <c:v>8.9731427602857146</c:v>
                </c:pt>
                <c:pt idx="198">
                  <c:v>9.1315714969999995</c:v>
                </c:pt>
                <c:pt idx="199">
                  <c:v>8.3171428948571435</c:v>
                </c:pt>
                <c:pt idx="200">
                  <c:v>8.7617143898571435</c:v>
                </c:pt>
                <c:pt idx="201">
                  <c:v>8.1029998912857142</c:v>
                </c:pt>
                <c:pt idx="202">
                  <c:v>7.6644285747142851</c:v>
                </c:pt>
                <c:pt idx="203">
                  <c:v>21.278142930000001</c:v>
                </c:pt>
                <c:pt idx="204">
                  <c:v>25.523666837380901</c:v>
                </c:pt>
                <c:pt idx="205">
                  <c:v>24.464857102857142</c:v>
                </c:pt>
                <c:pt idx="206">
                  <c:v>15.326142855714284</c:v>
                </c:pt>
                <c:pt idx="207">
                  <c:v>5</c:v>
                </c:pt>
                <c:pt idx="208">
                  <c:v>9.771428653000001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'13.Caudales'!$N$4:$O$212</c:f>
              <c:multiLvlStrCache>
                <c:ptCount val="20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200">
                    <c:v>44</c:v>
                  </c:pt>
                  <c:pt idx="208">
                    <c:v>52</c:v>
                  </c:pt>
                </c:lvl>
                <c:lvl>
                  <c:pt idx="0">
                    <c:v>2018</c:v>
                  </c:pt>
                  <c:pt idx="52">
                    <c:v>2019</c:v>
                  </c:pt>
                  <c:pt idx="105">
                    <c:v>2020</c:v>
                  </c:pt>
                  <c:pt idx="157">
                    <c:v>2021</c:v>
                  </c:pt>
                </c:lvl>
              </c:multiLvlStrCache>
            </c:multiLvlStrRef>
          </c:cat>
          <c:val>
            <c:numRef>
              <c:f>'13.Caudales'!$V$4:$V$212</c:f>
              <c:numCache>
                <c:formatCode>0.0</c:formatCode>
                <c:ptCount val="209"/>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pt idx="183">
                  <c:v>11.995894294285714</c:v>
                </c:pt>
                <c:pt idx="184">
                  <c:v>11.927797181428572</c:v>
                </c:pt>
                <c:pt idx="185">
                  <c:v>12.045535904285714</c:v>
                </c:pt>
                <c:pt idx="186">
                  <c:v>11.927261488571427</c:v>
                </c:pt>
                <c:pt idx="187">
                  <c:v>13.712319918571428</c:v>
                </c:pt>
                <c:pt idx="188">
                  <c:v>13.989404405714286</c:v>
                </c:pt>
                <c:pt idx="189">
                  <c:v>13.973928587142856</c:v>
                </c:pt>
                <c:pt idx="190">
                  <c:v>14.050774301428572</c:v>
                </c:pt>
                <c:pt idx="191">
                  <c:v>13.988035748571429</c:v>
                </c:pt>
                <c:pt idx="192">
                  <c:v>13.989464348571429</c:v>
                </c:pt>
                <c:pt idx="193">
                  <c:v>13.932678497142856</c:v>
                </c:pt>
                <c:pt idx="194">
                  <c:v>14.030597005714284</c:v>
                </c:pt>
                <c:pt idx="195">
                  <c:v>14.026608604285714</c:v>
                </c:pt>
                <c:pt idx="196">
                  <c:v>14.026192801428573</c:v>
                </c:pt>
                <c:pt idx="197">
                  <c:v>14.020297051428571</c:v>
                </c:pt>
                <c:pt idx="198">
                  <c:v>13.992498534285714</c:v>
                </c:pt>
                <c:pt idx="199">
                  <c:v>14.015835900000001</c:v>
                </c:pt>
                <c:pt idx="200">
                  <c:v>13.927204130000002</c:v>
                </c:pt>
                <c:pt idx="201">
                  <c:v>13.944405964285716</c:v>
                </c:pt>
                <c:pt idx="202">
                  <c:v>14.053689955714287</c:v>
                </c:pt>
                <c:pt idx="203">
                  <c:v>14.02023874</c:v>
                </c:pt>
                <c:pt idx="204">
                  <c:v>14.0819443290476</c:v>
                </c:pt>
                <c:pt idx="205">
                  <c:v>14.414462907142859</c:v>
                </c:pt>
                <c:pt idx="206">
                  <c:v>14.382619995714284</c:v>
                </c:pt>
                <c:pt idx="207">
                  <c:v>13.809047154285716</c:v>
                </c:pt>
                <c:pt idx="208">
                  <c:v>13.759048734285715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'13.Caudales'!$N$4:$O$212</c:f>
              <c:multiLvlStrCache>
                <c:ptCount val="20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200">
                    <c:v>44</c:v>
                  </c:pt>
                  <c:pt idx="208">
                    <c:v>52</c:v>
                  </c:pt>
                </c:lvl>
                <c:lvl>
                  <c:pt idx="0">
                    <c:v>2018</c:v>
                  </c:pt>
                  <c:pt idx="52">
                    <c:v>2019</c:v>
                  </c:pt>
                  <c:pt idx="105">
                    <c:v>2020</c:v>
                  </c:pt>
                  <c:pt idx="157">
                    <c:v>2021</c:v>
                  </c:pt>
                </c:lvl>
              </c:multiLvlStrCache>
            </c:multiLvlStrRef>
          </c:cat>
          <c:val>
            <c:numRef>
              <c:f>'13.Caudales'!$W$4:$W$212</c:f>
              <c:numCache>
                <c:formatCode>0.0</c:formatCode>
                <c:ptCount val="209"/>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pt idx="183">
                  <c:v>1.8799999952857143</c:v>
                </c:pt>
                <c:pt idx="184">
                  <c:v>1.8718571149999998</c:v>
                </c:pt>
                <c:pt idx="185">
                  <c:v>1.7868571450000001</c:v>
                </c:pt>
                <c:pt idx="186">
                  <c:v>1.8862856968571431</c:v>
                </c:pt>
                <c:pt idx="187">
                  <c:v>1.8420000075714285</c:v>
                </c:pt>
                <c:pt idx="188">
                  <c:v>1.8741428512857143</c:v>
                </c:pt>
                <c:pt idx="189">
                  <c:v>1.871857132285714</c:v>
                </c:pt>
                <c:pt idx="190">
                  <c:v>1.8375714168571429</c:v>
                </c:pt>
                <c:pt idx="191">
                  <c:v>1.654571413857143</c:v>
                </c:pt>
                <c:pt idx="192">
                  <c:v>1.7275714362857142</c:v>
                </c:pt>
                <c:pt idx="193">
                  <c:v>1.6434285640000001</c:v>
                </c:pt>
                <c:pt idx="194">
                  <c:v>1.7824285711428571</c:v>
                </c:pt>
                <c:pt idx="195">
                  <c:v>1.7897142852857144</c:v>
                </c:pt>
                <c:pt idx="196">
                  <c:v>1.7887142725714287</c:v>
                </c:pt>
                <c:pt idx="197">
                  <c:v>1.4745714322857144</c:v>
                </c:pt>
                <c:pt idx="198">
                  <c:v>1.325428571</c:v>
                </c:pt>
                <c:pt idx="199">
                  <c:v>1.3259999922857142</c:v>
                </c:pt>
                <c:pt idx="200">
                  <c:v>1.0918571607142857</c:v>
                </c:pt>
                <c:pt idx="201">
                  <c:v>1.1197142941428571</c:v>
                </c:pt>
                <c:pt idx="202">
                  <c:v>1.2584285650000002</c:v>
                </c:pt>
                <c:pt idx="203">
                  <c:v>1.6037142788571426</c:v>
                </c:pt>
                <c:pt idx="204">
                  <c:v>1.686999981</c:v>
                </c:pt>
                <c:pt idx="205">
                  <c:v>1.509857126857143</c:v>
                </c:pt>
                <c:pt idx="206">
                  <c:v>1.5802857021428574</c:v>
                </c:pt>
                <c:pt idx="207">
                  <c:v>1.0052857144285714</c:v>
                </c:pt>
                <c:pt idx="208">
                  <c:v>1.2590000118571429</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'13.Caudales'!$Y$4:$Y$212</c:f>
              <c:numCache>
                <c:formatCode>0.0</c:formatCode>
                <c:ptCount val="209"/>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pt idx="183">
                  <c:v>7.0652857510000002</c:v>
                </c:pt>
                <c:pt idx="184">
                  <c:v>6.2407143457142853</c:v>
                </c:pt>
                <c:pt idx="185">
                  <c:v>6.221285752</c:v>
                </c:pt>
                <c:pt idx="186">
                  <c:v>5.7022857667142848</c:v>
                </c:pt>
                <c:pt idx="187">
                  <c:v>7.1649999617142859</c:v>
                </c:pt>
                <c:pt idx="188">
                  <c:v>7.2785714695714301</c:v>
                </c:pt>
                <c:pt idx="189">
                  <c:v>5.154142958714286</c:v>
                </c:pt>
                <c:pt idx="190">
                  <c:v>6.0459999357142857</c:v>
                </c:pt>
                <c:pt idx="191">
                  <c:v>5.7705714702857147</c:v>
                </c:pt>
                <c:pt idx="192">
                  <c:v>7.9151426724285718</c:v>
                </c:pt>
                <c:pt idx="193">
                  <c:v>5.2711429254285713</c:v>
                </c:pt>
                <c:pt idx="194">
                  <c:v>4.8772857188571432</c:v>
                </c:pt>
                <c:pt idx="195">
                  <c:v>6.1969999587142857</c:v>
                </c:pt>
                <c:pt idx="196">
                  <c:v>10.280285493285716</c:v>
                </c:pt>
                <c:pt idx="197">
                  <c:v>7.658571379714286</c:v>
                </c:pt>
                <c:pt idx="198">
                  <c:v>5.9647143228571426</c:v>
                </c:pt>
                <c:pt idx="199">
                  <c:v>6.7207142624285723</c:v>
                </c:pt>
                <c:pt idx="200">
                  <c:v>5.8240000180000004</c:v>
                </c:pt>
                <c:pt idx="201">
                  <c:v>7.255428586571429</c:v>
                </c:pt>
                <c:pt idx="202">
                  <c:v>7.569857052142857</c:v>
                </c:pt>
                <c:pt idx="203">
                  <c:v>11.491143022142859</c:v>
                </c:pt>
                <c:pt idx="204">
                  <c:v>11.491143022142859</c:v>
                </c:pt>
                <c:pt idx="205">
                  <c:v>11.52</c:v>
                </c:pt>
                <c:pt idx="206">
                  <c:v>63.42214257285714</c:v>
                </c:pt>
                <c:pt idx="207">
                  <c:v>105.71028573142858</c:v>
                </c:pt>
                <c:pt idx="208">
                  <c:v>86.07714135142858</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'13.Caudales'!$X$4:$X$212</c:f>
              <c:numCache>
                <c:formatCode>0.0</c:formatCode>
                <c:ptCount val="209"/>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pt idx="183">
                  <c:v>38.669285909999992</c:v>
                </c:pt>
                <c:pt idx="184">
                  <c:v>36.412143161428574</c:v>
                </c:pt>
                <c:pt idx="185">
                  <c:v>36.787142614285713</c:v>
                </c:pt>
                <c:pt idx="186">
                  <c:v>39.564285824285712</c:v>
                </c:pt>
                <c:pt idx="187">
                  <c:v>41.400714874285711</c:v>
                </c:pt>
                <c:pt idx="188">
                  <c:v>39.942857471428567</c:v>
                </c:pt>
                <c:pt idx="189">
                  <c:v>37.965715135714291</c:v>
                </c:pt>
                <c:pt idx="190">
                  <c:v>37.97857121285714</c:v>
                </c:pt>
                <c:pt idx="191">
                  <c:v>37.199285234285711</c:v>
                </c:pt>
                <c:pt idx="192">
                  <c:v>36.553570882857137</c:v>
                </c:pt>
                <c:pt idx="193">
                  <c:v>36.635714938571432</c:v>
                </c:pt>
                <c:pt idx="194">
                  <c:v>36.422143117142859</c:v>
                </c:pt>
                <c:pt idx="195">
                  <c:v>36.457856858571432</c:v>
                </c:pt>
                <c:pt idx="196">
                  <c:v>44.888571058571429</c:v>
                </c:pt>
                <c:pt idx="197">
                  <c:v>49.243571144285717</c:v>
                </c:pt>
                <c:pt idx="198">
                  <c:v>38.599999562857143</c:v>
                </c:pt>
                <c:pt idx="199">
                  <c:v>35.493572237142857</c:v>
                </c:pt>
                <c:pt idx="200">
                  <c:v>46.067856924285714</c:v>
                </c:pt>
                <c:pt idx="201">
                  <c:v>41.25857108142857</c:v>
                </c:pt>
                <c:pt idx="202">
                  <c:v>59.822143555714284</c:v>
                </c:pt>
                <c:pt idx="203">
                  <c:v>58.205000194285724</c:v>
                </c:pt>
                <c:pt idx="204">
                  <c:v>108.646</c:v>
                </c:pt>
                <c:pt idx="205">
                  <c:v>183.08428410000002</c:v>
                </c:pt>
                <c:pt idx="206">
                  <c:v>192.18500408571427</c:v>
                </c:pt>
                <c:pt idx="207">
                  <c:v>189.54214041428571</c:v>
                </c:pt>
                <c:pt idx="208">
                  <c:v>169.73285565714286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23.377030280933557</c:v>
                </c:pt>
                <c:pt idx="1">
                  <c:v>22.8774073955659</c:v>
                </c:pt>
                <c:pt idx="2">
                  <c:v>22.651817450055709</c:v>
                </c:pt>
                <c:pt idx="3">
                  <c:v>22.517992189307009</c:v>
                </c:pt>
                <c:pt idx="4">
                  <c:v>22.343179375810212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22.089796562091621</c:v>
                </c:pt>
                <c:pt idx="1">
                  <c:v>22.081713312469375</c:v>
                </c:pt>
                <c:pt idx="2">
                  <c:v>22.035721725782238</c:v>
                </c:pt>
                <c:pt idx="3">
                  <c:v>21.687286858651117</c:v>
                </c:pt>
                <c:pt idx="4">
                  <c:v>22.084850604401645</c:v>
                </c:pt>
                <c:pt idx="5">
                  <c:v>21.311080051954729</c:v>
                </c:pt>
                <c:pt idx="6">
                  <c:v>21.045888753348457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24.002125955955126</c:v>
                </c:pt>
                <c:pt idx="1">
                  <c:v>23.199399693462333</c:v>
                </c:pt>
                <c:pt idx="2">
                  <c:v>23.159949195699959</c:v>
                </c:pt>
                <c:pt idx="3">
                  <c:v>23.317292060680838</c:v>
                </c:pt>
                <c:pt idx="4">
                  <c:v>22.177120598101482</c:v>
                </c:pt>
                <c:pt idx="5">
                  <c:v>22.037076230991822</c:v>
                </c:pt>
                <c:pt idx="6">
                  <c:v>21.563467653517613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1829467631028738"/>
        </c:manualLayout>
      </c:layout>
      <c:barChart>
        <c:barDir val="col"/>
        <c:grouping val="clustered"/>
        <c:varyColors val="0"/>
        <c:ser>
          <c:idx val="0"/>
          <c:order val="0"/>
          <c:tx>
            <c:strRef>
              <c:f>'16. Congestiones'!$D$6</c:f>
              <c:strCache>
                <c:ptCount val="1"/>
                <c:pt idx="0">
                  <c:v>DICIEMBRE
 2021</c:v>
                </c:pt>
              </c:strCache>
            </c:strRef>
          </c:tx>
          <c:spPr>
            <a:solidFill>
              <a:schemeClr val="accent1"/>
            </a:solidFill>
            <a:ln>
              <a:noFill/>
            </a:ln>
            <a:effectLst/>
          </c:spPr>
          <c:invertIfNegative val="0"/>
          <c:cat>
            <c:strRef>
              <c:f>'16. Congestiones'!$C$7:$C$16</c:f>
              <c:strCache>
                <c:ptCount val="10"/>
                <c:pt idx="0">
                  <c:v>CHIMBOTE 1</c:v>
                </c:pt>
                <c:pt idx="1">
                  <c:v>PACHACHACA - CALLAHUANCA (REP)</c:v>
                </c:pt>
                <c:pt idx="2">
                  <c:v>ENLACE CENTRO - SUR</c:v>
                </c:pt>
                <c:pt idx="3">
                  <c:v>TINGO MARÍA - AUCAYACU</c:v>
                </c:pt>
                <c:pt idx="4">
                  <c:v>HUANZA-CARABAYLLO</c:v>
                </c:pt>
                <c:pt idx="5">
                  <c:v>POMACOCHA - SAN JUAN</c:v>
                </c:pt>
                <c:pt idx="6">
                  <c:v>MARCONA - SAN NICOLÁS</c:v>
                </c:pt>
                <c:pt idx="7">
                  <c:v>INDEPENDENCIA</c:v>
                </c:pt>
                <c:pt idx="8">
                  <c:v>MARCONA</c:v>
                </c:pt>
                <c:pt idx="9">
                  <c:v>CHILCA - ASIA</c:v>
                </c:pt>
              </c:strCache>
            </c:strRef>
          </c:cat>
          <c:val>
            <c:numRef>
              <c:f>'16. Congestiones'!$D$7:$D$16</c:f>
              <c:numCache>
                <c:formatCode>#,##0.00</c:formatCode>
                <c:ptCount val="10"/>
                <c:pt idx="0">
                  <c:v>5.1999999999999993</c:v>
                </c:pt>
                <c:pt idx="1">
                  <c:v>19.716666666666669</c:v>
                </c:pt>
                <c:pt idx="2">
                  <c:v>2.9333333333333336</c:v>
                </c:pt>
                <c:pt idx="3">
                  <c:v>8.1333333333333329</c:v>
                </c:pt>
                <c:pt idx="7">
                  <c:v>135.63333333333335</c:v>
                </c:pt>
                <c:pt idx="9">
                  <c:v>1.1666666666666665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DICIEMBRE
 2020</c:v>
                </c:pt>
              </c:strCache>
            </c:strRef>
          </c:tx>
          <c:spPr>
            <a:solidFill>
              <a:schemeClr val="accent2"/>
            </a:solidFill>
            <a:ln>
              <a:noFill/>
            </a:ln>
            <a:effectLst/>
          </c:spPr>
          <c:invertIfNegative val="0"/>
          <c:cat>
            <c:strRef>
              <c:f>'16. Congestiones'!$C$7:$C$16</c:f>
              <c:strCache>
                <c:ptCount val="10"/>
                <c:pt idx="0">
                  <c:v>CHIMBOTE 1</c:v>
                </c:pt>
                <c:pt idx="1">
                  <c:v>PACHACHACA - CALLAHUANCA (REP)</c:v>
                </c:pt>
                <c:pt idx="2">
                  <c:v>ENLACE CENTRO - SUR</c:v>
                </c:pt>
                <c:pt idx="3">
                  <c:v>TINGO MARÍA - AUCAYACU</c:v>
                </c:pt>
                <c:pt idx="4">
                  <c:v>HUANZA-CARABAYLLO</c:v>
                </c:pt>
                <c:pt idx="5">
                  <c:v>POMACOCHA - SAN JUAN</c:v>
                </c:pt>
                <c:pt idx="6">
                  <c:v>MARCONA - SAN NICOLÁS</c:v>
                </c:pt>
                <c:pt idx="7">
                  <c:v>INDEPENDENCIA</c:v>
                </c:pt>
                <c:pt idx="8">
                  <c:v>MARCONA</c:v>
                </c:pt>
                <c:pt idx="9">
                  <c:v>CHILCA - ASIA</c:v>
                </c:pt>
              </c:strCache>
            </c:strRef>
          </c:cat>
          <c:val>
            <c:numRef>
              <c:f>'16. Congestiones'!$E$7:$E$16</c:f>
              <c:numCache>
                <c:formatCode>#,##0.00</c:formatCode>
                <c:ptCount val="10"/>
                <c:pt idx="6">
                  <c:v>28.216666666666669</c:v>
                </c:pt>
                <c:pt idx="7">
                  <c:v>121.31666666666668</c:v>
                </c:pt>
                <c:pt idx="8">
                  <c:v>9.6666666666666661</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DICIEMBRE
 2019</c:v>
                </c:pt>
              </c:strCache>
            </c:strRef>
          </c:tx>
          <c:spPr>
            <a:solidFill>
              <a:schemeClr val="accent6"/>
            </a:solidFill>
            <a:ln>
              <a:noFill/>
            </a:ln>
            <a:effectLst/>
          </c:spPr>
          <c:invertIfNegative val="0"/>
          <c:val>
            <c:numRef>
              <c:f>'16. Congestiones'!$F$7:$F$16</c:f>
              <c:numCache>
                <c:formatCode>#,##0.00</c:formatCode>
                <c:ptCount val="10"/>
                <c:pt idx="4">
                  <c:v>5.6333333333333329</c:v>
                </c:pt>
                <c:pt idx="5">
                  <c:v>1.8666666666666654</c:v>
                </c:pt>
                <c:pt idx="6">
                  <c:v>62.733333333333334</c:v>
                </c:pt>
                <c:pt idx="7">
                  <c:v>247.36666666666662</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7.0199184918691579E-2"/>
                  <c:y val="-6.773909105555821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11176606582710936"/>
                  <c:y val="-8.8207323286203954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00727607804615"/>
                  <c:y val="0.700593668018552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9816799209555542E-2"/>
                  <c:y val="-9.9542349042677808E-2"/>
                </c:manualLayout>
              </c:layout>
              <c:tx>
                <c:rich>
                  <a:bodyPr/>
                  <a:lstStyle/>
                  <a:p>
                    <a:fld id="{27603D00-D9FB-4149-8137-F4436AFFD3A3}"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21</c:v>
                </c:pt>
                <c:pt idx="1">
                  <c:v>5</c:v>
                </c:pt>
                <c:pt idx="2">
                  <c:v>2</c:v>
                </c:pt>
                <c:pt idx="3">
                  <c:v>3</c:v>
                </c:pt>
                <c:pt idx="4">
                  <c:v>7</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GENERADOR HIDROELÉCTRICO</c:v>
                </c:pt>
                <c:pt idx="2">
                  <c:v>CELDA</c:v>
                </c:pt>
                <c:pt idx="3">
                  <c:v>SUBESTACION</c:v>
                </c:pt>
              </c:strCache>
            </c:strRef>
          </c:cat>
          <c:val>
            <c:numRef>
              <c:f>'17. Eventos'!$J$7:$J$10</c:f>
              <c:numCache>
                <c:formatCode>#,##0.00</c:formatCode>
                <c:ptCount val="4"/>
                <c:pt idx="0">
                  <c:v>3910.0000000000005</c:v>
                </c:pt>
                <c:pt idx="1">
                  <c:v>17.96</c:v>
                </c:pt>
                <c:pt idx="2">
                  <c:v>6.73</c:v>
                </c:pt>
                <c:pt idx="3">
                  <c:v>0.48</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generación'!$B$34:$C$34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generación'!$D$33:$E$33</c:f>
              <c:strCache>
                <c:ptCount val="2"/>
                <c:pt idx="0">
                  <c:v>DICIEMBRE 2021</c:v>
                </c:pt>
                <c:pt idx="1">
                  <c:v>DICIEMBRE 2020</c:v>
                </c:pt>
              </c:strCache>
            </c:strRef>
          </c:cat>
          <c:val>
            <c:numRef>
              <c:f>'2. Oferta de generación'!$D$34:$E$34</c:f>
              <c:numCache>
                <c:formatCode>#,##0.0</c:formatCode>
                <c:ptCount val="2"/>
                <c:pt idx="0">
                  <c:v>5261.9382474999966</c:v>
                </c:pt>
                <c:pt idx="1">
                  <c:v>5180.2582474999972</c:v>
                </c:pt>
              </c:numCache>
            </c:numRef>
          </c:val>
          <c:extLst>
            <c:ext xmlns:c16="http://schemas.microsoft.com/office/drawing/2014/chart" uri="{C3380CC4-5D6E-409C-BE32-E72D297353CC}">
              <c16:uniqueId val="{00000004-54B0-402D-913D-0304413B844F}"/>
            </c:ext>
          </c:extLst>
        </c:ser>
        <c:ser>
          <c:idx val="1"/>
          <c:order val="1"/>
          <c:tx>
            <c:strRef>
              <c:f>'2. Oferta de generación'!$B$35:$C$35</c:f>
              <c:strCache>
                <c:ptCount val="2"/>
                <c:pt idx="0">
                  <c:v>TERMOELÉCTRICA</c:v>
                </c:pt>
              </c:strCache>
            </c:strRef>
          </c:tx>
          <c:spPr>
            <a:solidFill>
              <a:schemeClr val="accent2"/>
            </a:solidFill>
          </c:spPr>
          <c:invertIfNegative val="0"/>
          <c:cat>
            <c:strRef>
              <c:f>'2. Oferta de generación'!$D$33:$E$33</c:f>
              <c:strCache>
                <c:ptCount val="2"/>
                <c:pt idx="0">
                  <c:v>DICIEMBRE 2021</c:v>
                </c:pt>
                <c:pt idx="1">
                  <c:v>DICIEMBRE 2020</c:v>
                </c:pt>
              </c:strCache>
            </c:strRef>
          </c:cat>
          <c:val>
            <c:numRef>
              <c:f>'2. Oferta de generación'!$D$35:$E$35</c:f>
              <c:numCache>
                <c:formatCode>#,##0.0</c:formatCode>
                <c:ptCount val="2"/>
                <c:pt idx="0">
                  <c:v>7490.5944999999983</c:v>
                </c:pt>
                <c:pt idx="1">
                  <c:v>7509.2744999999986</c:v>
                </c:pt>
              </c:numCache>
            </c:numRef>
          </c:val>
          <c:extLst>
            <c:ext xmlns:c16="http://schemas.microsoft.com/office/drawing/2014/chart" uri="{C3380CC4-5D6E-409C-BE32-E72D297353CC}">
              <c16:uniqueId val="{00000005-54B0-402D-913D-0304413B844F}"/>
            </c:ext>
          </c:extLst>
        </c:ser>
        <c:ser>
          <c:idx val="2"/>
          <c:order val="2"/>
          <c:tx>
            <c:strRef>
              <c:f>'2. Oferta de generación'!$B$36:$C$36</c:f>
              <c:strCache>
                <c:ptCount val="2"/>
                <c:pt idx="0">
                  <c:v>EÓLICA</c:v>
                </c:pt>
              </c:strCache>
            </c:strRef>
          </c:tx>
          <c:spPr>
            <a:solidFill>
              <a:srgbClr val="6DA6D9"/>
            </a:solidFill>
          </c:spPr>
          <c:invertIfNegative val="0"/>
          <c:cat>
            <c:strRef>
              <c:f>'2. Oferta de generación'!$D$33:$E$33</c:f>
              <c:strCache>
                <c:ptCount val="2"/>
                <c:pt idx="0">
                  <c:v>DICIEMBRE 2021</c:v>
                </c:pt>
                <c:pt idx="1">
                  <c:v>DICIEMBRE 2020</c:v>
                </c:pt>
              </c:strCache>
            </c:strRef>
          </c:cat>
          <c:val>
            <c:numRef>
              <c:f>'2. Oferta de generación'!$D$36:$E$36</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generación'!$B$37:$C$37</c:f>
              <c:strCache>
                <c:ptCount val="2"/>
                <c:pt idx="0">
                  <c:v>SOLAR</c:v>
                </c:pt>
              </c:strCache>
            </c:strRef>
          </c:tx>
          <c:invertIfNegative val="0"/>
          <c:cat>
            <c:strRef>
              <c:f>'2. Oferta de generación'!$D$33:$E$33</c:f>
              <c:strCache>
                <c:ptCount val="2"/>
                <c:pt idx="0">
                  <c:v>DICIEMBRE 2021</c:v>
                </c:pt>
                <c:pt idx="1">
                  <c:v>DICIEMBRE 2020</c:v>
                </c:pt>
              </c:strCache>
            </c:strRef>
          </c:cat>
          <c:val>
            <c:numRef>
              <c:f>'2. Oferta de generación'!$D$37:$E$37</c:f>
              <c:numCache>
                <c:formatCode>#,##0.0</c:formatCode>
                <c:ptCount val="2"/>
                <c:pt idx="0">
                  <c:v>286.315</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Eventos'!$B$7:$B$10</c:f>
              <c:numCache>
                <c:formatCode>General</c:formatCode>
                <c:ptCount val="4"/>
                <c:pt idx="0">
                  <c:v>20</c:v>
                </c:pt>
                <c:pt idx="2">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Eventos'!$C$7:$C$10</c:f>
              <c:numCache>
                <c:formatCode>General</c:formatCode>
                <c:ptCount val="4"/>
                <c:pt idx="0">
                  <c:v>5</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Eventos'!$D$7:$D$10</c:f>
              <c:numCache>
                <c:formatCode>General</c:formatCode>
                <c:ptCount val="4"/>
                <c:pt idx="0">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Eventos'!$E$7:$E$10</c:f>
              <c:numCache>
                <c:formatCode>General</c:formatCode>
                <c:ptCount val="4"/>
                <c:pt idx="0">
                  <c:v>2</c:v>
                </c:pt>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Eventos'!$F$7:$F$10</c:f>
              <c:numCache>
                <c:formatCode>General</c:formatCode>
                <c:ptCount val="4"/>
                <c:pt idx="0">
                  <c:v>4</c:v>
                </c:pt>
                <c:pt idx="1">
                  <c:v>1</c:v>
                </c:pt>
                <c:pt idx="2">
                  <c:v>1</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GENERADOR HIDROELÉCTRICO</c:v>
                </c:pt>
                <c:pt idx="2">
                  <c:v>CELDA</c:v>
                </c:pt>
                <c:pt idx="3">
                  <c:v>SUBESTACION</c:v>
                </c:pt>
              </c:strCache>
            </c:strRef>
          </c:cat>
          <c:val>
            <c:numRef>
              <c:f>'17. Eventos'!$H$7:$H$10</c:f>
              <c:numCache>
                <c:formatCode>General</c:formatCode>
                <c:ptCount val="4"/>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generación'!$L$20:$L$23</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generación'!$L$20:$L$23</c:f>
              <c:strCache>
                <c:ptCount val="4"/>
                <c:pt idx="0">
                  <c:v>Central Hidroeléctrica</c:v>
                </c:pt>
                <c:pt idx="1">
                  <c:v>Central Termoeléctrica</c:v>
                </c:pt>
                <c:pt idx="2">
                  <c:v>Central Eólica</c:v>
                </c:pt>
                <c:pt idx="3">
                  <c:v>Central Solar</c:v>
                </c:pt>
              </c:strCache>
            </c:strRef>
          </c:cat>
          <c:val>
            <c:numRef>
              <c:f>'2. Oferta de generación'!$M$20:$M$23</c:f>
              <c:numCache>
                <c:formatCode>General</c:formatCode>
                <c:ptCount val="4"/>
                <c:pt idx="0" formatCode="#,##0.00">
                  <c:v>96.68</c:v>
                </c:pt>
                <c:pt idx="2">
                  <c:v>36.74</c:v>
                </c:pt>
                <c:pt idx="3">
                  <c:v>1.2949999999999999</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30168.429254412509</c:v>
                </c:pt>
                <c:pt idx="1">
                  <c:v>20312.826648202503</c:v>
                </c:pt>
                <c:pt idx="2">
                  <c:v>1646.1619703125</c:v>
                </c:pt>
                <c:pt idx="3">
                  <c:v>761.72576047749976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29317.562410899998</c:v>
                </c:pt>
                <c:pt idx="1">
                  <c:v>17288.021226845005</c:v>
                </c:pt>
                <c:pt idx="2">
                  <c:v>1803.1959296025</c:v>
                </c:pt>
                <c:pt idx="3">
                  <c:v>777.86027249749998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30664.412630418999</c:v>
                </c:pt>
                <c:pt idx="1">
                  <c:v>20723.380587247499</c:v>
                </c:pt>
                <c:pt idx="2">
                  <c:v>1800.6359014000002</c:v>
                </c:pt>
                <c:pt idx="3">
                  <c:v>801.91851950750004</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30664.412630418999</c:v>
                </c:pt>
                <c:pt idx="1">
                  <c:v>19366.858032284999</c:v>
                </c:pt>
                <c:pt idx="2">
                  <c:v>724.35646725999993</c:v>
                </c:pt>
                <c:pt idx="3">
                  <c:v>218.93550600749995</c:v>
                </c:pt>
                <c:pt idx="4">
                  <c:v>0</c:v>
                </c:pt>
                <c:pt idx="5">
                  <c:v>28.600194885000001</c:v>
                </c:pt>
                <c:pt idx="6">
                  <c:v>7.6434154775000005</c:v>
                </c:pt>
                <c:pt idx="7">
                  <c:v>0</c:v>
                </c:pt>
                <c:pt idx="8">
                  <c:v>21.294846657500003</c:v>
                </c:pt>
                <c:pt idx="9">
                  <c:v>276.82038679249996</c:v>
                </c:pt>
                <c:pt idx="10">
                  <c:v>78.8717378825</c:v>
                </c:pt>
                <c:pt idx="11">
                  <c:v>801.91851950750004</c:v>
                </c:pt>
                <c:pt idx="12">
                  <c:v>1800.6359014000002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29317.562410899998</c:v>
                </c:pt>
                <c:pt idx="1">
                  <c:v>16221.763358342501</c:v>
                </c:pt>
                <c:pt idx="2">
                  <c:v>622.39824454250004</c:v>
                </c:pt>
                <c:pt idx="3">
                  <c:v>73.956694942500008</c:v>
                </c:pt>
                <c:pt idx="4">
                  <c:v>0</c:v>
                </c:pt>
                <c:pt idx="5">
                  <c:v>13.023314237500001</c:v>
                </c:pt>
                <c:pt idx="6">
                  <c:v>8.6585097225000016</c:v>
                </c:pt>
                <c:pt idx="7">
                  <c:v>0</c:v>
                </c:pt>
                <c:pt idx="8">
                  <c:v>43.784422135</c:v>
                </c:pt>
                <c:pt idx="9">
                  <c:v>244.06263210500001</c:v>
                </c:pt>
                <c:pt idx="10">
                  <c:v>60.374050817499999</c:v>
                </c:pt>
                <c:pt idx="11">
                  <c:v>777.86027249749998</c:v>
                </c:pt>
                <c:pt idx="12">
                  <c:v>1803.1959296025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30168.429254412509</c:v>
                </c:pt>
                <c:pt idx="1">
                  <c:v>18924.906565627032</c:v>
                </c:pt>
                <c:pt idx="2">
                  <c:v>618.79252751499996</c:v>
                </c:pt>
                <c:pt idx="3">
                  <c:v>323.70749704750006</c:v>
                </c:pt>
                <c:pt idx="4">
                  <c:v>0</c:v>
                </c:pt>
                <c:pt idx="5">
                  <c:v>36.149195487499995</c:v>
                </c:pt>
                <c:pt idx="6">
                  <c:v>47.179359552499989</c:v>
                </c:pt>
                <c:pt idx="7">
                  <c:v>0.282469725</c:v>
                </c:pt>
                <c:pt idx="8">
                  <c:v>109.86808108046878</c:v>
                </c:pt>
                <c:pt idx="9">
                  <c:v>186.31921590500002</c:v>
                </c:pt>
                <c:pt idx="10">
                  <c:v>65.621736262499994</c:v>
                </c:pt>
                <c:pt idx="11">
                  <c:v>761.72576047749976</c:v>
                </c:pt>
                <c:pt idx="12">
                  <c:v>1646.1619703125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1845.1128347400004</c:v>
                </c:pt>
                <c:pt idx="1">
                  <c:v>1646.1619703125</c:v>
                </c:pt>
                <c:pt idx="2">
                  <c:v>761.72576047749976</c:v>
                </c:pt>
                <c:pt idx="3">
                  <c:v>186.31921590500002</c:v>
                </c:pt>
                <c:pt idx="4">
                  <c:v>65.621736262499994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2085.0540282825</c:v>
                </c:pt>
                <c:pt idx="1">
                  <c:v>1803.1959296025</c:v>
                </c:pt>
                <c:pt idx="2">
                  <c:v>777.86027249749998</c:v>
                </c:pt>
                <c:pt idx="3">
                  <c:v>244.06263210500001</c:v>
                </c:pt>
                <c:pt idx="4">
                  <c:v>60.374050817499999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2319.2021281764951</c:v>
                </c:pt>
                <c:pt idx="1">
                  <c:v>1800.6359014000002</c:v>
                </c:pt>
                <c:pt idx="2">
                  <c:v>801.91851950750004</c:v>
                </c:pt>
                <c:pt idx="3">
                  <c:v>276.82038679249996</c:v>
                </c:pt>
                <c:pt idx="4">
                  <c:v>78.8717378825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5.0536732742285047E-2"/>
                  <c:y val="-0.17690235867560908"/>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6.1603380487207399E-2"/>
                  <c:y val="0.16240631421203983"/>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9.4414256466488516E-2"/>
                      <c:h val="0.14939030780273382"/>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10,416%</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4199.0519132824993</c:v>
                </c:pt>
                <c:pt idx="1">
                  <c:v>241.74531752999999</c:v>
                </c:pt>
                <c:pt idx="2">
                  <c:v>144.32565196250002</c:v>
                </c:pt>
                <c:pt idx="3">
                  <c:v>73.559578087499986</c:v>
                </c:pt>
                <c:pt idx="4">
                  <c:v>23.252673597499999</c:v>
                </c:pt>
                <c:pt idx="5">
                  <c:v>5.3222992749999998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POTRERO</c:v>
                </c:pt>
                <c:pt idx="2">
                  <c:v>C.H. RUNATULLO III</c:v>
                </c:pt>
                <c:pt idx="3">
                  <c:v>C.H. CHANCAY</c:v>
                </c:pt>
                <c:pt idx="4">
                  <c:v>C.H. LAS PIZARRAS</c:v>
                </c:pt>
                <c:pt idx="5">
                  <c:v>C.H. ÁNGEL I</c:v>
                </c:pt>
                <c:pt idx="6">
                  <c:v>C.H. ÁNGEL II</c:v>
                </c:pt>
                <c:pt idx="7">
                  <c:v>C.H. 8 DE AGOSTO</c:v>
                </c:pt>
                <c:pt idx="8">
                  <c:v>C.H. YARUCAYA</c:v>
                </c:pt>
                <c:pt idx="9">
                  <c:v>C.H. ÁNGEL III</c:v>
                </c:pt>
                <c:pt idx="10">
                  <c:v>C.H. RUNATULLO II</c:v>
                </c:pt>
                <c:pt idx="11">
                  <c:v>C.H. MANTA I</c:v>
                </c:pt>
                <c:pt idx="12">
                  <c:v>C.H. RUCUY</c:v>
                </c:pt>
                <c:pt idx="13">
                  <c:v>C.H. CARHUAC</c:v>
                </c:pt>
                <c:pt idx="14">
                  <c:v>C.H. CARHUAQUERO IV</c:v>
                </c:pt>
                <c:pt idx="15">
                  <c:v>C.H. EL CARMEN</c:v>
                </c:pt>
                <c:pt idx="16">
                  <c:v>C.H. HUASAHUASI II</c:v>
                </c:pt>
                <c:pt idx="17">
                  <c:v>C.H. HUASAHUASI I</c:v>
                </c:pt>
                <c:pt idx="18">
                  <c:v>C.H. LA JOYA</c:v>
                </c:pt>
                <c:pt idx="19">
                  <c:v>C.H. SANTA CRUZ II</c:v>
                </c:pt>
                <c:pt idx="20">
                  <c:v>C.H. SANTA CRUZ I</c:v>
                </c:pt>
                <c:pt idx="21">
                  <c:v>C.H. CAÑA BRAVA</c:v>
                </c:pt>
                <c:pt idx="22">
                  <c:v>C.H. YANAPAMPA</c:v>
                </c:pt>
                <c:pt idx="23">
                  <c:v>C.H. IMPERIAL</c:v>
                </c:pt>
                <c:pt idx="24">
                  <c:v>C.H. RONCADOR</c:v>
                </c:pt>
                <c:pt idx="25">
                  <c:v>C.H. POECHOS II</c:v>
                </c:pt>
                <c:pt idx="26">
                  <c:v>C.H. CANCHAYLLO</c:v>
                </c:pt>
                <c:pt idx="27">
                  <c:v>C.H. PURMACANA</c:v>
                </c:pt>
                <c:pt idx="28">
                  <c:v>C.H. HER 1</c:v>
                </c:pt>
              </c:strCache>
            </c:strRef>
          </c:cat>
          <c:val>
            <c:numRef>
              <c:f>'6. FP RER'!$O$6:$O$34</c:f>
              <c:numCache>
                <c:formatCode>0.00</c:formatCode>
                <c:ptCount val="29"/>
                <c:pt idx="0">
                  <c:v>14.564628515000001</c:v>
                </c:pt>
                <c:pt idx="1">
                  <c:v>14.45381546</c:v>
                </c:pt>
                <c:pt idx="2">
                  <c:v>14.39393112</c:v>
                </c:pt>
                <c:pt idx="3">
                  <c:v>14.1438013</c:v>
                </c:pt>
                <c:pt idx="4">
                  <c:v>13.66837333</c:v>
                </c:pt>
                <c:pt idx="5">
                  <c:v>15.041534519999999</c:v>
                </c:pt>
                <c:pt idx="6">
                  <c:v>14.940193497500001</c:v>
                </c:pt>
                <c:pt idx="7">
                  <c:v>13.417839355000002</c:v>
                </c:pt>
                <c:pt idx="8">
                  <c:v>13.4149835225</c:v>
                </c:pt>
                <c:pt idx="9">
                  <c:v>14.244115409999999</c:v>
                </c:pt>
                <c:pt idx="10">
                  <c:v>12.758116297500001</c:v>
                </c:pt>
                <c:pt idx="11">
                  <c:v>12.693727214999999</c:v>
                </c:pt>
                <c:pt idx="12">
                  <c:v>12.304577705</c:v>
                </c:pt>
                <c:pt idx="13">
                  <c:v>9.0792737849999998</c:v>
                </c:pt>
                <c:pt idx="14">
                  <c:v>7.1447479999999999</c:v>
                </c:pt>
                <c:pt idx="15">
                  <c:v>5.698751755</c:v>
                </c:pt>
                <c:pt idx="16">
                  <c:v>5.4493628150000006</c:v>
                </c:pt>
                <c:pt idx="17">
                  <c:v>5.2708028950000001</c:v>
                </c:pt>
                <c:pt idx="18">
                  <c:v>4.9178862274999995</c:v>
                </c:pt>
                <c:pt idx="19">
                  <c:v>4.5266114125000003</c:v>
                </c:pt>
                <c:pt idx="20">
                  <c:v>4.1004993150000004</c:v>
                </c:pt>
                <c:pt idx="21">
                  <c:v>3.8884889999999999</c:v>
                </c:pt>
                <c:pt idx="22">
                  <c:v>2.5747787</c:v>
                </c:pt>
                <c:pt idx="23">
                  <c:v>2.5636999999999999</c:v>
                </c:pt>
                <c:pt idx="24">
                  <c:v>2.1960478749999996</c:v>
                </c:pt>
                <c:pt idx="25">
                  <c:v>2.1307089575</c:v>
                </c:pt>
                <c:pt idx="26">
                  <c:v>1.6373590149999999</c:v>
                </c:pt>
                <c:pt idx="27">
                  <c:v>0.28534678000000002</c:v>
                </c:pt>
                <c:pt idx="28">
                  <c:v>0.24131374999999999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POTRERO</c:v>
                </c:pt>
                <c:pt idx="2">
                  <c:v>C.H. RUNATULLO III</c:v>
                </c:pt>
                <c:pt idx="3">
                  <c:v>C.H. CHANCAY</c:v>
                </c:pt>
                <c:pt idx="4">
                  <c:v>C.H. LAS PIZARRAS</c:v>
                </c:pt>
                <c:pt idx="5">
                  <c:v>C.H. ÁNGEL I</c:v>
                </c:pt>
                <c:pt idx="6">
                  <c:v>C.H. ÁNGEL II</c:v>
                </c:pt>
                <c:pt idx="7">
                  <c:v>C.H. 8 DE AGOSTO</c:v>
                </c:pt>
                <c:pt idx="8">
                  <c:v>C.H. YARUCAYA</c:v>
                </c:pt>
                <c:pt idx="9">
                  <c:v>C.H. ÁNGEL III</c:v>
                </c:pt>
                <c:pt idx="10">
                  <c:v>C.H. RUNATULLO II</c:v>
                </c:pt>
                <c:pt idx="11">
                  <c:v>C.H. MANTA I</c:v>
                </c:pt>
                <c:pt idx="12">
                  <c:v>C.H. RUCUY</c:v>
                </c:pt>
                <c:pt idx="13">
                  <c:v>C.H. CARHUAC</c:v>
                </c:pt>
                <c:pt idx="14">
                  <c:v>C.H. CARHUAQUERO IV</c:v>
                </c:pt>
                <c:pt idx="15">
                  <c:v>C.H. EL CARMEN</c:v>
                </c:pt>
                <c:pt idx="16">
                  <c:v>C.H. HUASAHUASI II</c:v>
                </c:pt>
                <c:pt idx="17">
                  <c:v>C.H. HUASAHUASI I</c:v>
                </c:pt>
                <c:pt idx="18">
                  <c:v>C.H. LA JOYA</c:v>
                </c:pt>
                <c:pt idx="19">
                  <c:v>C.H. SANTA CRUZ II</c:v>
                </c:pt>
                <c:pt idx="20">
                  <c:v>C.H. SANTA CRUZ I</c:v>
                </c:pt>
                <c:pt idx="21">
                  <c:v>C.H. CAÑA BRAVA</c:v>
                </c:pt>
                <c:pt idx="22">
                  <c:v>C.H. YANAPAMPA</c:v>
                </c:pt>
                <c:pt idx="23">
                  <c:v>C.H. IMPERIAL</c:v>
                </c:pt>
                <c:pt idx="24">
                  <c:v>C.H. RONCADOR</c:v>
                </c:pt>
                <c:pt idx="25">
                  <c:v>C.H. POECHOS II</c:v>
                </c:pt>
                <c:pt idx="26">
                  <c:v>C.H. CANCHAYLLO</c:v>
                </c:pt>
                <c:pt idx="27">
                  <c:v>C.H. PURMACANA</c:v>
                </c:pt>
                <c:pt idx="28">
                  <c:v>C.H. HER 1</c:v>
                </c:pt>
              </c:strCache>
            </c:strRef>
          </c:cat>
          <c:val>
            <c:numRef>
              <c:f>'6. FP RER'!$P$6:$P$34</c:f>
              <c:numCache>
                <c:formatCode>0.00</c:formatCode>
                <c:ptCount val="29"/>
                <c:pt idx="0">
                  <c:v>1.0318107990450283</c:v>
                </c:pt>
                <c:pt idx="1">
                  <c:v>1.0087810901730878</c:v>
                </c:pt>
                <c:pt idx="2">
                  <c:v>1.0012807272363016</c:v>
                </c:pt>
                <c:pt idx="3">
                  <c:v>0.98220842361111105</c:v>
                </c:pt>
                <c:pt idx="4">
                  <c:v>0.98876803287701365</c:v>
                </c:pt>
                <c:pt idx="5">
                  <c:v>1</c:v>
                </c:pt>
                <c:pt idx="6">
                  <c:v>1</c:v>
                </c:pt>
                <c:pt idx="7">
                  <c:v>0.90553391608627598</c:v>
                </c:pt>
                <c:pt idx="8">
                  <c:v>1.2421281039351852</c:v>
                </c:pt>
                <c:pt idx="9">
                  <c:v>0.9852337462649402</c:v>
                </c:pt>
                <c:pt idx="10">
                  <c:v>0.88744458199779641</c:v>
                </c:pt>
                <c:pt idx="11">
                  <c:v>0.88150883437499994</c:v>
                </c:pt>
                <c:pt idx="12">
                  <c:v>0.85448456284722218</c:v>
                </c:pt>
                <c:pt idx="13">
                  <c:v>0.63050512395833325</c:v>
                </c:pt>
                <c:pt idx="14">
                  <c:v>0.99401593820606138</c:v>
                </c:pt>
                <c:pt idx="15">
                  <c:v>0.92248636282698782</c:v>
                </c:pt>
                <c:pt idx="16">
                  <c:v>0.75959047222779785</c:v>
                </c:pt>
                <c:pt idx="17">
                  <c:v>0.74320401790750146</c:v>
                </c:pt>
                <c:pt idx="18">
                  <c:v>0.75307580354955272</c:v>
                </c:pt>
                <c:pt idx="19">
                  <c:v>0.8468427121684925</c:v>
                </c:pt>
                <c:pt idx="20">
                  <c:v>0.81850214680942801</c:v>
                </c:pt>
                <c:pt idx="21">
                  <c:v>0.95250073486184605</c:v>
                </c:pt>
                <c:pt idx="22">
                  <c:v>0.91314856143510625</c:v>
                </c:pt>
                <c:pt idx="23">
                  <c:v>0.89825793250364383</c:v>
                </c:pt>
                <c:pt idx="24">
                  <c:v>0.87645588880906766</c:v>
                </c:pt>
                <c:pt idx="25">
                  <c:v>0.30935793398785044</c:v>
                </c:pt>
                <c:pt idx="26">
                  <c:v>0.43825587648016101</c:v>
                </c:pt>
                <c:pt idx="27">
                  <c:v>0.23122227084143657</c:v>
                </c:pt>
                <c:pt idx="28">
                  <c:v>0.47879712301587313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 febrero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Diciembre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INFSGI-MES-12-2021</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(22,34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(22,88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(22,52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(23,38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(22,04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(22,18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(22,65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(23,32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(22,04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(21,56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(22,09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(22,08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(21,05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(21,31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(21,69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(22,08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(23,16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381473</xdr:colOff>
      <xdr:row>22</xdr:row>
      <xdr:rowOff>89922</xdr:rowOff>
    </xdr:from>
    <xdr:to>
      <xdr:col>7</xdr:col>
      <xdr:colOff>72886</xdr:colOff>
      <xdr:row>55</xdr:row>
      <xdr:rowOff>68579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15</xdr:row>
      <xdr:rowOff>42042</xdr:rowOff>
    </xdr:from>
    <xdr:to>
      <xdr:col>3</xdr:col>
      <xdr:colOff>383625</xdr:colOff>
      <xdr:row>32</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40</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144779</xdr:colOff>
      <xdr:row>15</xdr:row>
      <xdr:rowOff>93345</xdr:rowOff>
    </xdr:from>
    <xdr:to>
      <xdr:col>9</xdr:col>
      <xdr:colOff>135254</xdr:colOff>
      <xdr:row>24</xdr:row>
      <xdr:rowOff>22860</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F52" sqref="F52"/>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0"/>
    </row>
    <row r="12" spans="9:9" ht="15.6">
      <c r="I12" s="360"/>
    </row>
    <row r="13" spans="9:9" ht="15.6">
      <c r="I13" s="360"/>
    </row>
    <row r="14" spans="9:9" ht="15.6">
      <c r="I14" s="360"/>
    </row>
    <row r="15" spans="9:9" ht="15.6">
      <c r="I15" s="360"/>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F52" sqref="F52"/>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76" t="s">
        <v>244</v>
      </c>
      <c r="B2" s="876"/>
      <c r="C2" s="876"/>
      <c r="D2" s="876"/>
      <c r="E2" s="876"/>
      <c r="F2" s="876"/>
      <c r="G2" s="876"/>
      <c r="H2" s="876"/>
      <c r="I2" s="876"/>
      <c r="J2" s="876"/>
      <c r="K2" s="876"/>
    </row>
    <row r="3" spans="1:12" ht="11.25" customHeight="1">
      <c r="A3" s="17"/>
      <c r="B3" s="17"/>
      <c r="C3" s="17"/>
      <c r="D3" s="17"/>
      <c r="E3" s="17"/>
      <c r="F3" s="17"/>
      <c r="G3" s="17"/>
      <c r="H3" s="17"/>
      <c r="I3" s="17"/>
      <c r="J3" s="17"/>
      <c r="K3" s="17"/>
      <c r="L3" s="36"/>
    </row>
    <row r="4" spans="1:12" ht="11.25" customHeight="1">
      <c r="A4" s="877" t="s">
        <v>379</v>
      </c>
      <c r="B4" s="877"/>
      <c r="C4" s="877"/>
      <c r="D4" s="877"/>
      <c r="E4" s="877"/>
      <c r="F4" s="877"/>
      <c r="G4" s="877"/>
      <c r="H4" s="877"/>
      <c r="I4" s="877"/>
      <c r="J4" s="877"/>
      <c r="K4" s="877"/>
      <c r="L4" s="36"/>
    </row>
    <row r="5" spans="1:12" ht="11.25" customHeight="1">
      <c r="A5" s="17"/>
      <c r="B5" s="67"/>
      <c r="C5" s="68"/>
      <c r="D5" s="69"/>
      <c r="E5" s="69"/>
      <c r="F5" s="69"/>
      <c r="G5" s="69"/>
      <c r="H5" s="70"/>
      <c r="I5" s="66"/>
      <c r="J5" s="66"/>
      <c r="K5" s="71"/>
      <c r="L5" s="8"/>
    </row>
    <row r="6" spans="1:12" ht="12.75" customHeight="1">
      <c r="A6" s="883" t="s">
        <v>212</v>
      </c>
      <c r="B6" s="878" t="s">
        <v>247</v>
      </c>
      <c r="C6" s="879"/>
      <c r="D6" s="879"/>
      <c r="E6" s="879" t="s">
        <v>34</v>
      </c>
      <c r="F6" s="879"/>
      <c r="G6" s="880" t="s">
        <v>246</v>
      </c>
      <c r="H6" s="880"/>
      <c r="I6" s="880"/>
      <c r="J6" s="880"/>
      <c r="K6" s="880"/>
      <c r="L6" s="15"/>
    </row>
    <row r="7" spans="1:12" ht="12.75" customHeight="1">
      <c r="A7" s="883"/>
      <c r="B7" s="453">
        <v>44491.791666666664</v>
      </c>
      <c r="C7" s="453">
        <v>44530.8125</v>
      </c>
      <c r="D7" s="453">
        <v>44543.822916666664</v>
      </c>
      <c r="E7" s="453">
        <v>44182.8125</v>
      </c>
      <c r="F7" s="881" t="s">
        <v>120</v>
      </c>
      <c r="G7" s="608">
        <v>2021</v>
      </c>
      <c r="H7" s="608">
        <v>2020</v>
      </c>
      <c r="I7" s="881" t="s">
        <v>487</v>
      </c>
      <c r="J7" s="608">
        <v>2019</v>
      </c>
      <c r="K7" s="881" t="s">
        <v>455</v>
      </c>
      <c r="L7" s="13"/>
    </row>
    <row r="8" spans="1:12" ht="12.75" customHeight="1">
      <c r="A8" s="883"/>
      <c r="B8" s="454">
        <v>44491.791666666664</v>
      </c>
      <c r="C8" s="454">
        <v>44530.8125</v>
      </c>
      <c r="D8" s="454">
        <v>44543.822916666664</v>
      </c>
      <c r="E8" s="454">
        <v>44182.8125</v>
      </c>
      <c r="F8" s="882"/>
      <c r="G8" s="455">
        <v>44543.822916666664</v>
      </c>
      <c r="H8" s="455">
        <v>43886.8125</v>
      </c>
      <c r="I8" s="882"/>
      <c r="J8" s="455">
        <v>43549.791666666664</v>
      </c>
      <c r="K8" s="882"/>
      <c r="L8" s="14"/>
    </row>
    <row r="9" spans="1:12" ht="12.75" customHeight="1">
      <c r="A9" s="883"/>
      <c r="B9" s="456">
        <v>44491.791666666664</v>
      </c>
      <c r="C9" s="456">
        <v>44530.8125</v>
      </c>
      <c r="D9" s="456">
        <v>44543.822916666664</v>
      </c>
      <c r="E9" s="456">
        <v>44182.8125</v>
      </c>
      <c r="F9" s="882"/>
      <c r="G9" s="457">
        <v>44543.822916666664</v>
      </c>
      <c r="H9" s="457">
        <v>43886.8125</v>
      </c>
      <c r="I9" s="882"/>
      <c r="J9" s="457">
        <v>43549.791666666664</v>
      </c>
      <c r="K9" s="882"/>
      <c r="L9" s="14"/>
    </row>
    <row r="10" spans="1:12" ht="12.75" customHeight="1">
      <c r="A10" s="458" t="s">
        <v>36</v>
      </c>
      <c r="B10" s="459">
        <v>3680.1506599999989</v>
      </c>
      <c r="C10" s="460">
        <v>4420.0487900000007</v>
      </c>
      <c r="D10" s="461">
        <v>4547.4343099999996</v>
      </c>
      <c r="E10" s="459">
        <v>3929.5563500000007</v>
      </c>
      <c r="F10" s="462">
        <f>+IF(E10=0,"",D10/E10-1)</f>
        <v>0.15723860531991063</v>
      </c>
      <c r="G10" s="459">
        <v>4547.4343099999996</v>
      </c>
      <c r="H10" s="460">
        <v>4604.1638600000006</v>
      </c>
      <c r="I10" s="462">
        <f>+IF(H10=0,"",G10/H10-1)</f>
        <v>-1.2321357737255068E-2</v>
      </c>
      <c r="J10" s="459">
        <v>4580.6239199999991</v>
      </c>
      <c r="K10" s="462">
        <f t="shared" ref="K10:K18" si="0">+IF(J10=0,"",H10/J10-1)</f>
        <v>5.1390248165148478E-3</v>
      </c>
      <c r="L10" s="14"/>
    </row>
    <row r="11" spans="1:12" ht="12.75" customHeight="1">
      <c r="A11" s="463" t="s">
        <v>37</v>
      </c>
      <c r="B11" s="464">
        <v>2954.5503099999996</v>
      </c>
      <c r="C11" s="465">
        <v>2335.9437400000002</v>
      </c>
      <c r="D11" s="466">
        <v>2340.8349700000008</v>
      </c>
      <c r="E11" s="464">
        <v>2718.4168500000001</v>
      </c>
      <c r="F11" s="467">
        <f>+IF(E11=0,"",D11/E11-1)</f>
        <v>-0.13889771173247367</v>
      </c>
      <c r="G11" s="464">
        <v>2340.8349700000008</v>
      </c>
      <c r="H11" s="465">
        <v>2265.9101700000001</v>
      </c>
      <c r="I11" s="467">
        <f>+IF(H11=0,"",G11/H11-1)</f>
        <v>3.3066094583970473E-2</v>
      </c>
      <c r="J11" s="464">
        <v>2106.5043700000006</v>
      </c>
      <c r="K11" s="467">
        <f>+IF(J11=0,"",H11/J11-1)</f>
        <v>7.567313995175784E-2</v>
      </c>
      <c r="L11" s="14"/>
    </row>
    <row r="12" spans="1:12" ht="12.75" customHeight="1">
      <c r="A12" s="468" t="s">
        <v>38</v>
      </c>
      <c r="B12" s="469">
        <v>338.36734000000001</v>
      </c>
      <c r="C12" s="470">
        <v>322.53202999999996</v>
      </c>
      <c r="D12" s="471">
        <v>284.76387999999997</v>
      </c>
      <c r="E12" s="469">
        <v>312.12267000000003</v>
      </c>
      <c r="F12" s="472">
        <f>+IF(E12=0,"",D12/E12-1)</f>
        <v>-8.7653966307541964E-2</v>
      </c>
      <c r="G12" s="469">
        <v>284.76387999999997</v>
      </c>
      <c r="H12" s="470">
        <v>255.22534999999999</v>
      </c>
      <c r="I12" s="472">
        <f>+IF(H12=0,"",G12/H12-1)</f>
        <v>0.11573509449590325</v>
      </c>
      <c r="J12" s="469">
        <v>303.54068999999998</v>
      </c>
      <c r="K12" s="472">
        <f>+IF(J12=0,"",H12/J12-1)</f>
        <v>-0.15917253136638776</v>
      </c>
      <c r="L12" s="13"/>
    </row>
    <row r="13" spans="1:12" ht="12.75" customHeight="1">
      <c r="A13" s="473" t="s">
        <v>30</v>
      </c>
      <c r="B13" s="474">
        <v>0</v>
      </c>
      <c r="C13" s="475">
        <v>0</v>
      </c>
      <c r="D13" s="476">
        <v>0</v>
      </c>
      <c r="E13" s="474">
        <v>0</v>
      </c>
      <c r="F13" s="477" t="str">
        <f>+IF(E13=0,"",D13/E13-1)</f>
        <v/>
      </c>
      <c r="G13" s="474">
        <v>0</v>
      </c>
      <c r="H13" s="475">
        <v>0</v>
      </c>
      <c r="I13" s="477" t="str">
        <f>+IF(H13=0,"",G13/H13-1)</f>
        <v/>
      </c>
      <c r="J13" s="474">
        <v>0</v>
      </c>
      <c r="K13" s="477" t="str">
        <f t="shared" si="0"/>
        <v/>
      </c>
      <c r="L13" s="14"/>
    </row>
    <row r="14" spans="1:12" ht="12.75" customHeight="1">
      <c r="A14" s="478" t="s">
        <v>42</v>
      </c>
      <c r="B14" s="449">
        <f>+SUM(B10:B13)</f>
        <v>6973.0683099999978</v>
      </c>
      <c r="C14" s="450">
        <f t="shared" ref="C14:J14" si="1">+SUM(C10:C13)</f>
        <v>7078.5245600000017</v>
      </c>
      <c r="D14" s="451">
        <f t="shared" si="1"/>
        <v>7173.0331600000009</v>
      </c>
      <c r="E14" s="449">
        <f t="shared" si="1"/>
        <v>6960.0958700000001</v>
      </c>
      <c r="F14" s="505">
        <f>+IF(E14=0,"",D14/E14-1)</f>
        <v>3.0594016803392243E-2</v>
      </c>
      <c r="G14" s="502">
        <f t="shared" si="1"/>
        <v>7173.0331600000009</v>
      </c>
      <c r="H14" s="450">
        <f t="shared" si="1"/>
        <v>7125.2993800000004</v>
      </c>
      <c r="I14" s="505">
        <f>+IF(H14=0,"",G14/H14-1)</f>
        <v>6.6991964062568243E-3</v>
      </c>
      <c r="J14" s="449">
        <f t="shared" si="1"/>
        <v>6990.6689799999995</v>
      </c>
      <c r="K14" s="505">
        <f>+IF(J14=0,"",H14/J14-1)</f>
        <v>1.9258586035924896E-2</v>
      </c>
      <c r="L14" s="14"/>
    </row>
    <row r="15" spans="1:12" ht="6.75" customHeight="1">
      <c r="A15" s="479"/>
      <c r="B15" s="479"/>
      <c r="C15" s="479"/>
      <c r="D15" s="479"/>
      <c r="E15" s="479"/>
      <c r="F15" s="480"/>
      <c r="G15" s="479"/>
      <c r="H15" s="479"/>
      <c r="I15" s="480"/>
      <c r="J15" s="479"/>
      <c r="K15" s="480"/>
      <c r="L15" s="14"/>
    </row>
    <row r="16" spans="1:12" ht="12.75" customHeight="1">
      <c r="A16" s="481" t="s">
        <v>39</v>
      </c>
      <c r="B16" s="482">
        <v>0</v>
      </c>
      <c r="C16" s="483">
        <v>0</v>
      </c>
      <c r="D16" s="484">
        <v>0</v>
      </c>
      <c r="E16" s="482">
        <v>0</v>
      </c>
      <c r="F16" s="484">
        <v>0</v>
      </c>
      <c r="G16" s="482">
        <v>0</v>
      </c>
      <c r="H16" s="483">
        <v>0</v>
      </c>
      <c r="I16" s="484">
        <v>0</v>
      </c>
      <c r="J16" s="482">
        <v>0</v>
      </c>
      <c r="K16" s="485" t="str">
        <f t="shared" si="0"/>
        <v/>
      </c>
      <c r="L16" s="15"/>
    </row>
    <row r="17" spans="1:12" ht="12.75" customHeight="1">
      <c r="A17" s="486" t="s">
        <v>40</v>
      </c>
      <c r="B17" s="487">
        <v>0</v>
      </c>
      <c r="C17" s="488">
        <v>0</v>
      </c>
      <c r="D17" s="489">
        <v>0</v>
      </c>
      <c r="E17" s="487">
        <v>0</v>
      </c>
      <c r="F17" s="489">
        <v>0</v>
      </c>
      <c r="G17" s="487">
        <v>0</v>
      </c>
      <c r="H17" s="488">
        <v>0</v>
      </c>
      <c r="I17" s="489">
        <v>0</v>
      </c>
      <c r="J17" s="487">
        <v>0</v>
      </c>
      <c r="K17" s="490" t="str">
        <f t="shared" si="0"/>
        <v/>
      </c>
      <c r="L17" s="15"/>
    </row>
    <row r="18" spans="1:12" ht="24" customHeight="1">
      <c r="A18" s="491" t="s">
        <v>41</v>
      </c>
      <c r="B18" s="492">
        <f t="shared" ref="B18:J18" si="2">+B17-B16</f>
        <v>0</v>
      </c>
      <c r="C18" s="493">
        <f t="shared" si="2"/>
        <v>0</v>
      </c>
      <c r="D18" s="494">
        <f t="shared" si="2"/>
        <v>0</v>
      </c>
      <c r="E18" s="492">
        <f t="shared" si="2"/>
        <v>0</v>
      </c>
      <c r="F18" s="494">
        <f t="shared" si="2"/>
        <v>0</v>
      </c>
      <c r="G18" s="492">
        <f t="shared" si="2"/>
        <v>0</v>
      </c>
      <c r="H18" s="493">
        <f t="shared" si="2"/>
        <v>0</v>
      </c>
      <c r="I18" s="494">
        <f t="shared" si="2"/>
        <v>0</v>
      </c>
      <c r="J18" s="492">
        <f t="shared" si="2"/>
        <v>0</v>
      </c>
      <c r="K18" s="495" t="str">
        <f t="shared" si="0"/>
        <v/>
      </c>
      <c r="L18" s="15"/>
    </row>
    <row r="19" spans="1:12" ht="6" customHeight="1">
      <c r="A19" s="496"/>
      <c r="B19" s="496"/>
      <c r="C19" s="496"/>
      <c r="D19" s="496"/>
      <c r="E19" s="496"/>
      <c r="F19" s="497"/>
      <c r="G19" s="496"/>
      <c r="H19" s="496"/>
      <c r="I19" s="497"/>
      <c r="J19" s="496"/>
      <c r="K19" s="497"/>
      <c r="L19" s="15"/>
    </row>
    <row r="20" spans="1:12" ht="24" customHeight="1">
      <c r="A20" s="498" t="s">
        <v>245</v>
      </c>
      <c r="B20" s="499">
        <f>+B14-B18</f>
        <v>6973.0683099999978</v>
      </c>
      <c r="C20" s="500">
        <f t="shared" ref="C20" si="3">+C14-C18</f>
        <v>7078.5245600000017</v>
      </c>
      <c r="D20" s="501">
        <f>+D14-D18</f>
        <v>7173.0331600000009</v>
      </c>
      <c r="E20" s="499">
        <f>+E14-E18</f>
        <v>6960.0958700000001</v>
      </c>
      <c r="F20" s="452">
        <f>+IF(E20=0,"",D20/E20-1)</f>
        <v>3.0594016803392243E-2</v>
      </c>
      <c r="G20" s="574">
        <f>+G14-G18</f>
        <v>7173.0331600000009</v>
      </c>
      <c r="H20" s="499">
        <f>+H14-H18</f>
        <v>7125.2993800000004</v>
      </c>
      <c r="I20" s="452">
        <f>+IF(H20=0,"",G20/H20-1)</f>
        <v>6.6991964062568243E-3</v>
      </c>
      <c r="J20" s="499">
        <f>+J14-J18</f>
        <v>6990.6689799999995</v>
      </c>
      <c r="K20" s="452">
        <f>+IF(J20=0,"",H20/J20-1)</f>
        <v>1.9258586035924896E-2</v>
      </c>
      <c r="L20" s="15"/>
    </row>
    <row r="21" spans="1:12" ht="11.25" customHeight="1">
      <c r="A21" s="261" t="s">
        <v>401</v>
      </c>
      <c r="B21" s="138"/>
      <c r="C21" s="138"/>
      <c r="D21" s="138"/>
      <c r="E21" s="138"/>
      <c r="F21" s="138"/>
      <c r="G21" s="138"/>
      <c r="H21" s="138"/>
      <c r="I21" s="138"/>
      <c r="J21" s="138"/>
      <c r="K21" s="138"/>
      <c r="L21" s="16"/>
    </row>
    <row r="22" spans="1:12" ht="17.25" customHeight="1">
      <c r="A22" s="874"/>
      <c r="B22" s="874"/>
      <c r="C22" s="874"/>
      <c r="D22" s="874"/>
      <c r="E22" s="874"/>
      <c r="F22" s="874"/>
      <c r="G22" s="874"/>
      <c r="H22" s="874"/>
      <c r="I22" s="874"/>
      <c r="J22" s="874"/>
      <c r="K22" s="87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75" t="str">
        <f>"Gráfico N° 11: Comparación de la máxima potencia coincidente (MW) anual por tipo de generación en el SEIN."</f>
        <v>Gráfico N° 11: Comparación de la máxima potencia coincidente (MW) anual por tipo de generación en el SEIN.</v>
      </c>
      <c r="B58" s="875"/>
      <c r="C58" s="875"/>
      <c r="D58" s="875"/>
      <c r="E58" s="875"/>
      <c r="F58" s="875"/>
      <c r="G58" s="875"/>
      <c r="H58" s="875"/>
      <c r="I58" s="875"/>
      <c r="J58" s="875"/>
      <c r="K58" s="87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F52" sqref="F52"/>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10" max="10" width="11.85546875" customWidth="1"/>
    <col min="11" max="11" width="9.28515625" style="509" customWidth="1"/>
    <col min="12" max="12" width="27.85546875" style="579" customWidth="1"/>
    <col min="13" max="14" width="9.28515625" style="278"/>
    <col min="15" max="16" width="9.28515625" style="509"/>
    <col min="17" max="17" width="9.28515625" style="278"/>
  </cols>
  <sheetData>
    <row r="1" spans="1:15" ht="25.5" customHeight="1">
      <c r="A1" s="886" t="s">
        <v>249</v>
      </c>
      <c r="B1" s="886"/>
      <c r="C1" s="886"/>
      <c r="D1" s="886"/>
      <c r="E1" s="886"/>
      <c r="F1" s="886"/>
      <c r="G1" s="886"/>
      <c r="H1" s="886"/>
      <c r="I1" s="886"/>
      <c r="J1" s="886"/>
    </row>
    <row r="2" spans="1:15" ht="7.5" customHeight="1">
      <c r="A2" s="74"/>
      <c r="B2" s="73"/>
      <c r="C2" s="73"/>
      <c r="D2" s="73"/>
      <c r="E2" s="73"/>
      <c r="F2" s="73"/>
      <c r="G2" s="73"/>
      <c r="H2" s="73"/>
      <c r="I2" s="73"/>
      <c r="J2" s="73"/>
      <c r="K2" s="299"/>
      <c r="L2" s="733"/>
    </row>
    <row r="3" spans="1:15" ht="11.25" customHeight="1">
      <c r="A3" s="887" t="s">
        <v>121</v>
      </c>
      <c r="B3" s="889" t="str">
        <f>+'1. Resumen'!Q4</f>
        <v>diciembre</v>
      </c>
      <c r="C3" s="890"/>
      <c r="D3" s="891"/>
      <c r="E3" s="138"/>
      <c r="F3" s="138"/>
      <c r="G3" s="892" t="s">
        <v>488</v>
      </c>
      <c r="H3" s="892"/>
      <c r="I3" s="892"/>
      <c r="J3" s="138"/>
      <c r="K3" s="797"/>
      <c r="L3" s="733"/>
    </row>
    <row r="4" spans="1:15" ht="11.25" customHeight="1">
      <c r="A4" s="887"/>
      <c r="B4" s="372">
        <v>2021</v>
      </c>
      <c r="C4" s="373">
        <v>2020</v>
      </c>
      <c r="D4" s="891" t="s">
        <v>35</v>
      </c>
      <c r="E4" s="138"/>
      <c r="F4" s="138"/>
      <c r="G4" s="138"/>
      <c r="H4" s="138"/>
      <c r="I4" s="138"/>
      <c r="J4" s="138"/>
      <c r="K4" s="535"/>
      <c r="L4" s="734"/>
    </row>
    <row r="5" spans="1:15" ht="11.25" customHeight="1">
      <c r="A5" s="887"/>
      <c r="B5" s="374">
        <f>+'8. Max Potencia'!D8</f>
        <v>44543.822916666664</v>
      </c>
      <c r="C5" s="374">
        <f>+'8. Max Potencia'!E8</f>
        <v>44182.8125</v>
      </c>
      <c r="D5" s="891"/>
      <c r="E5" s="138"/>
      <c r="F5" s="138"/>
      <c r="G5" s="138"/>
      <c r="H5" s="138"/>
      <c r="I5" s="138"/>
      <c r="J5" s="138"/>
      <c r="K5" s="535"/>
      <c r="L5" s="735"/>
    </row>
    <row r="6" spans="1:15" ht="11.25" customHeight="1" thickBot="1">
      <c r="A6" s="888"/>
      <c r="B6" s="375">
        <f>+'8. Max Potencia'!D9</f>
        <v>44543.822916666664</v>
      </c>
      <c r="C6" s="375">
        <f>+'8. Max Potencia'!E9</f>
        <v>44182.8125</v>
      </c>
      <c r="D6" s="893"/>
      <c r="E6" s="138"/>
      <c r="F6" s="138"/>
      <c r="G6" s="138"/>
      <c r="H6" s="138"/>
      <c r="I6" s="138"/>
      <c r="J6" s="138"/>
      <c r="L6" s="734" t="s">
        <v>248</v>
      </c>
      <c r="M6" s="579">
        <v>2021</v>
      </c>
      <c r="N6" s="579">
        <v>2020</v>
      </c>
    </row>
    <row r="7" spans="1:15" ht="9.75" customHeight="1">
      <c r="A7" s="657" t="s">
        <v>406</v>
      </c>
      <c r="B7" s="658">
        <v>1240.5700000000002</v>
      </c>
      <c r="C7" s="658">
        <v>1032.06926</v>
      </c>
      <c r="D7" s="659">
        <f>IF(C7=0,"",B7/C7-1)</f>
        <v>0.20202204259043643</v>
      </c>
      <c r="E7" s="138"/>
      <c r="F7" s="138"/>
      <c r="G7" s="138"/>
      <c r="H7" s="138"/>
      <c r="I7" s="138"/>
      <c r="J7" s="138"/>
      <c r="K7" s="793"/>
      <c r="L7" s="736" t="s">
        <v>417</v>
      </c>
      <c r="M7" s="737"/>
      <c r="N7" s="737">
        <v>13.188829999999999</v>
      </c>
      <c r="O7" s="798"/>
    </row>
    <row r="8" spans="1:15" ht="9.75" customHeight="1">
      <c r="A8" s="660" t="s">
        <v>87</v>
      </c>
      <c r="B8" s="661">
        <v>1000.8829499999999</v>
      </c>
      <c r="C8" s="661">
        <v>1055.23831</v>
      </c>
      <c r="D8" s="662">
        <f t="shared" ref="D8:D70" si="0">IF(C8=0,"",B8/C8-1)</f>
        <v>-5.1510032837985165E-2</v>
      </c>
      <c r="E8" s="138"/>
      <c r="F8" s="138"/>
      <c r="G8" s="138"/>
      <c r="H8" s="138"/>
      <c r="I8" s="138"/>
      <c r="J8" s="138"/>
      <c r="K8" s="794"/>
      <c r="L8" s="736" t="s">
        <v>604</v>
      </c>
      <c r="M8" s="735">
        <v>0</v>
      </c>
      <c r="N8" s="735"/>
      <c r="O8" s="798"/>
    </row>
    <row r="9" spans="1:15" ht="9.75" customHeight="1">
      <c r="A9" s="663" t="s">
        <v>89</v>
      </c>
      <c r="B9" s="664">
        <v>801.22800000000007</v>
      </c>
      <c r="C9" s="664">
        <v>799.27391999999998</v>
      </c>
      <c r="D9" s="665">
        <f t="shared" si="0"/>
        <v>2.4448189176498047E-3</v>
      </c>
      <c r="E9" s="323"/>
      <c r="F9" s="138"/>
      <c r="G9" s="138"/>
      <c r="H9" s="138"/>
      <c r="I9" s="138"/>
      <c r="J9" s="138"/>
      <c r="L9" s="736" t="s">
        <v>477</v>
      </c>
      <c r="M9" s="735">
        <v>0</v>
      </c>
      <c r="N9" s="735">
        <v>0.94384999999999997</v>
      </c>
      <c r="O9" s="798"/>
    </row>
    <row r="10" spans="1:15" ht="9.75" customHeight="1">
      <c r="A10" s="660" t="s">
        <v>88</v>
      </c>
      <c r="B10" s="661">
        <v>634.50299999999993</v>
      </c>
      <c r="C10" s="661">
        <v>936.82871999999998</v>
      </c>
      <c r="D10" s="662">
        <f t="shared" si="0"/>
        <v>-0.32271184000422193</v>
      </c>
      <c r="E10" s="138"/>
      <c r="F10" s="138"/>
      <c r="G10" s="138"/>
      <c r="H10" s="138"/>
      <c r="I10" s="138"/>
      <c r="J10" s="138"/>
      <c r="L10" s="736" t="s">
        <v>474</v>
      </c>
      <c r="M10" s="737">
        <v>0</v>
      </c>
      <c r="N10" s="737">
        <v>0</v>
      </c>
      <c r="O10" s="798"/>
    </row>
    <row r="11" spans="1:15" ht="9.75" customHeight="1">
      <c r="A11" s="663" t="s">
        <v>235</v>
      </c>
      <c r="B11" s="664">
        <v>466.14035000000001</v>
      </c>
      <c r="C11" s="664">
        <v>235.27550000000002</v>
      </c>
      <c r="D11" s="665">
        <f t="shared" si="0"/>
        <v>0.98125325416373554</v>
      </c>
      <c r="E11" s="138"/>
      <c r="F11" s="138"/>
      <c r="G11" s="138"/>
      <c r="H11" s="138"/>
      <c r="I11" s="138"/>
      <c r="J11" s="138"/>
      <c r="L11" s="736" t="s">
        <v>473</v>
      </c>
      <c r="M11" s="735">
        <v>0</v>
      </c>
      <c r="N11" s="735">
        <v>0</v>
      </c>
      <c r="O11" s="798"/>
    </row>
    <row r="12" spans="1:15" ht="9.75" customHeight="1">
      <c r="A12" s="660" t="s">
        <v>90</v>
      </c>
      <c r="B12" s="661">
        <v>414.53339999999997</v>
      </c>
      <c r="C12" s="661">
        <v>321.89309000000003</v>
      </c>
      <c r="D12" s="662">
        <f t="shared" si="0"/>
        <v>0.28779838051198903</v>
      </c>
      <c r="E12" s="138"/>
      <c r="F12" s="138"/>
      <c r="G12" s="138"/>
      <c r="H12" s="138"/>
      <c r="I12" s="138"/>
      <c r="J12" s="138"/>
      <c r="K12" s="793"/>
      <c r="L12" s="736" t="s">
        <v>105</v>
      </c>
      <c r="M12" s="735">
        <v>0</v>
      </c>
      <c r="N12" s="735">
        <v>0</v>
      </c>
      <c r="O12" s="798"/>
    </row>
    <row r="13" spans="1:15" ht="9.75" customHeight="1">
      <c r="A13" s="663" t="s">
        <v>239</v>
      </c>
      <c r="B13" s="664">
        <v>343.30500000000001</v>
      </c>
      <c r="C13" s="664">
        <v>315.82000000000005</v>
      </c>
      <c r="D13" s="665">
        <f t="shared" si="0"/>
        <v>8.7027420682667112E-2</v>
      </c>
      <c r="E13" s="138"/>
      <c r="F13" s="138"/>
      <c r="G13" s="138"/>
      <c r="H13" s="138"/>
      <c r="I13" s="138"/>
      <c r="J13" s="138"/>
      <c r="K13" s="794"/>
      <c r="L13" s="736" t="s">
        <v>109</v>
      </c>
      <c r="M13" s="735">
        <v>0</v>
      </c>
      <c r="N13" s="735">
        <v>0</v>
      </c>
      <c r="O13" s="798"/>
    </row>
    <row r="14" spans="1:15" ht="9.75" customHeight="1">
      <c r="A14" s="660" t="s">
        <v>237</v>
      </c>
      <c r="B14" s="661">
        <v>271.44031000000001</v>
      </c>
      <c r="C14" s="661">
        <v>550.70608000000004</v>
      </c>
      <c r="D14" s="662">
        <f t="shared" si="0"/>
        <v>-0.50710493336118612</v>
      </c>
      <c r="E14" s="138"/>
      <c r="F14" s="138"/>
      <c r="G14" s="138"/>
      <c r="H14" s="138"/>
      <c r="I14" s="138"/>
      <c r="J14" s="138"/>
      <c r="K14" s="794"/>
      <c r="L14" s="736" t="s">
        <v>117</v>
      </c>
      <c r="M14" s="735">
        <v>0</v>
      </c>
      <c r="N14" s="735">
        <v>0</v>
      </c>
      <c r="O14" s="798"/>
    </row>
    <row r="15" spans="1:15" ht="9.75" customHeight="1">
      <c r="A15" s="663" t="s">
        <v>94</v>
      </c>
      <c r="B15" s="664">
        <v>210.72300000000001</v>
      </c>
      <c r="C15" s="664">
        <v>202.54908</v>
      </c>
      <c r="D15" s="665">
        <f t="shared" si="0"/>
        <v>4.0355256118665306E-2</v>
      </c>
      <c r="E15" s="138"/>
      <c r="F15" s="138"/>
      <c r="G15" s="138"/>
      <c r="H15" s="138"/>
      <c r="I15" s="138"/>
      <c r="J15" s="138"/>
      <c r="K15" s="794"/>
      <c r="L15" s="736" t="s">
        <v>242</v>
      </c>
      <c r="M15" s="737">
        <v>0</v>
      </c>
      <c r="N15" s="737">
        <v>0</v>
      </c>
      <c r="O15" s="798"/>
    </row>
    <row r="16" spans="1:15" ht="9.75" customHeight="1">
      <c r="A16" s="660" t="s">
        <v>100</v>
      </c>
      <c r="B16" s="661">
        <v>194.47380999999999</v>
      </c>
      <c r="C16" s="661">
        <v>0</v>
      </c>
      <c r="D16" s="662" t="str">
        <f t="shared" si="0"/>
        <v/>
      </c>
      <c r="E16" s="138"/>
      <c r="F16" s="138"/>
      <c r="G16" s="138"/>
      <c r="H16" s="138"/>
      <c r="I16" s="138"/>
      <c r="J16" s="138"/>
      <c r="K16" s="794"/>
      <c r="L16" s="736" t="s">
        <v>241</v>
      </c>
      <c r="M16" s="735">
        <v>0</v>
      </c>
      <c r="N16" s="735">
        <v>0</v>
      </c>
      <c r="O16" s="798"/>
    </row>
    <row r="17" spans="1:15" ht="9.75" customHeight="1">
      <c r="A17" s="663" t="s">
        <v>93</v>
      </c>
      <c r="B17" s="664">
        <v>176.57</v>
      </c>
      <c r="C17" s="664">
        <v>121.84123</v>
      </c>
      <c r="D17" s="665">
        <f t="shared" si="0"/>
        <v>0.44918103666550313</v>
      </c>
      <c r="E17" s="138"/>
      <c r="F17" s="138"/>
      <c r="G17" s="138"/>
      <c r="H17" s="138"/>
      <c r="I17" s="138"/>
      <c r="J17" s="138"/>
      <c r="K17" s="794"/>
      <c r="L17" s="736" t="s">
        <v>107</v>
      </c>
      <c r="M17" s="735">
        <v>0</v>
      </c>
      <c r="N17" s="735">
        <v>0</v>
      </c>
      <c r="O17" s="798"/>
    </row>
    <row r="18" spans="1:15" ht="9.75" customHeight="1">
      <c r="A18" s="660" t="s">
        <v>91</v>
      </c>
      <c r="B18" s="661">
        <v>170.90086000000002</v>
      </c>
      <c r="C18" s="661">
        <v>147.86265000000003</v>
      </c>
      <c r="D18" s="662">
        <f t="shared" si="0"/>
        <v>0.1558081773862432</v>
      </c>
      <c r="E18" s="138"/>
      <c r="F18" s="138"/>
      <c r="G18" s="138"/>
      <c r="H18" s="138"/>
      <c r="I18" s="138"/>
      <c r="J18" s="138"/>
      <c r="K18" s="794"/>
      <c r="L18" s="736" t="s">
        <v>110</v>
      </c>
      <c r="M18" s="735">
        <v>0</v>
      </c>
      <c r="N18" s="735">
        <v>0</v>
      </c>
      <c r="O18" s="798"/>
    </row>
    <row r="19" spans="1:15" ht="9.75" customHeight="1">
      <c r="A19" s="663" t="s">
        <v>92</v>
      </c>
      <c r="B19" s="664">
        <v>165.25199999999998</v>
      </c>
      <c r="C19" s="664">
        <v>159.37803</v>
      </c>
      <c r="D19" s="665">
        <f t="shared" si="0"/>
        <v>3.6855581663294501E-2</v>
      </c>
      <c r="E19" s="138"/>
      <c r="F19" s="138"/>
      <c r="G19" s="138"/>
      <c r="H19" s="138"/>
      <c r="I19" s="138"/>
      <c r="J19" s="138"/>
      <c r="K19" s="794"/>
      <c r="L19" s="736" t="s">
        <v>116</v>
      </c>
      <c r="M19" s="737">
        <v>0</v>
      </c>
      <c r="N19" s="737">
        <v>0</v>
      </c>
      <c r="O19" s="798"/>
    </row>
    <row r="20" spans="1:15" ht="9.75" customHeight="1">
      <c r="A20" s="660" t="s">
        <v>98</v>
      </c>
      <c r="B20" s="661">
        <v>126.53700000000001</v>
      </c>
      <c r="C20" s="661">
        <v>121.05459</v>
      </c>
      <c r="D20" s="662">
        <f t="shared" si="0"/>
        <v>4.5288741219973616E-2</v>
      </c>
      <c r="E20" s="138"/>
      <c r="F20" s="138"/>
      <c r="G20" s="138"/>
      <c r="H20" s="138"/>
      <c r="I20" s="138"/>
      <c r="J20" s="138"/>
      <c r="K20" s="795"/>
      <c r="L20" s="736" t="s">
        <v>234</v>
      </c>
      <c r="M20" s="737">
        <v>0</v>
      </c>
      <c r="N20" s="737">
        <v>0</v>
      </c>
      <c r="O20" s="798"/>
    </row>
    <row r="21" spans="1:15" ht="9.75" customHeight="1">
      <c r="A21" s="663" t="s">
        <v>96</v>
      </c>
      <c r="B21" s="664">
        <v>90.474000000000004</v>
      </c>
      <c r="C21" s="664">
        <v>85.880380000000002</v>
      </c>
      <c r="D21" s="665">
        <f t="shared" si="0"/>
        <v>5.3488584936396411E-2</v>
      </c>
      <c r="E21" s="138"/>
      <c r="F21" s="138"/>
      <c r="G21" s="138"/>
      <c r="H21" s="138"/>
      <c r="I21" s="138"/>
      <c r="J21" s="138"/>
      <c r="K21" s="794"/>
      <c r="L21" s="736" t="s">
        <v>408</v>
      </c>
      <c r="M21" s="735">
        <v>0.77500000000000002</v>
      </c>
      <c r="N21" s="735">
        <v>0</v>
      </c>
      <c r="O21" s="798"/>
    </row>
    <row r="22" spans="1:15" ht="9.75" customHeight="1">
      <c r="A22" s="660" t="s">
        <v>423</v>
      </c>
      <c r="B22" s="661">
        <v>90.458650000000006</v>
      </c>
      <c r="C22" s="661">
        <v>87.003410000000002</v>
      </c>
      <c r="D22" s="662">
        <f t="shared" si="0"/>
        <v>3.971384569869163E-2</v>
      </c>
      <c r="E22" s="138"/>
      <c r="F22" s="138"/>
      <c r="G22" s="138"/>
      <c r="H22" s="138"/>
      <c r="I22" s="138"/>
      <c r="J22" s="138"/>
      <c r="K22" s="794"/>
      <c r="L22" s="736" t="s">
        <v>112</v>
      </c>
      <c r="M22" s="735">
        <v>2.3924099999999999</v>
      </c>
      <c r="N22" s="735">
        <v>2.55423</v>
      </c>
      <c r="O22" s="798"/>
    </row>
    <row r="23" spans="1:15" ht="9.75" customHeight="1">
      <c r="A23" s="663" t="s">
        <v>99</v>
      </c>
      <c r="B23" s="664">
        <v>69.834980000000002</v>
      </c>
      <c r="C23" s="664">
        <v>73.04316</v>
      </c>
      <c r="D23" s="665">
        <f t="shared" si="0"/>
        <v>-4.3921703277897572E-2</v>
      </c>
      <c r="E23" s="138"/>
      <c r="F23" s="138"/>
      <c r="G23" s="138"/>
      <c r="H23" s="138"/>
      <c r="I23" s="138"/>
      <c r="J23" s="138"/>
      <c r="K23" s="794"/>
      <c r="L23" s="736" t="s">
        <v>603</v>
      </c>
      <c r="M23" s="737">
        <v>2.9917400000000001</v>
      </c>
      <c r="N23" s="737"/>
      <c r="O23" s="798"/>
    </row>
    <row r="24" spans="1:15" ht="9.75" customHeight="1">
      <c r="A24" s="660" t="s">
        <v>108</v>
      </c>
      <c r="B24" s="661">
        <v>67.621760000000009</v>
      </c>
      <c r="C24" s="661">
        <v>56.976130000000005</v>
      </c>
      <c r="D24" s="662">
        <f t="shared" si="0"/>
        <v>0.18684368348640046</v>
      </c>
      <c r="E24" s="138"/>
      <c r="F24" s="138"/>
      <c r="G24" s="138"/>
      <c r="H24" s="138"/>
      <c r="I24" s="138"/>
      <c r="J24" s="138"/>
      <c r="K24" s="795"/>
      <c r="L24" s="736" t="s">
        <v>114</v>
      </c>
      <c r="M24" s="735">
        <v>3.2</v>
      </c>
      <c r="N24" s="735">
        <v>2</v>
      </c>
      <c r="O24" s="798"/>
    </row>
    <row r="25" spans="1:15" ht="9.75" customHeight="1">
      <c r="A25" s="663" t="s">
        <v>478</v>
      </c>
      <c r="B25" s="664">
        <v>65.569630000000004</v>
      </c>
      <c r="C25" s="664">
        <v>36.180460000000004</v>
      </c>
      <c r="D25" s="665">
        <f t="shared" si="0"/>
        <v>0.81229398410081011</v>
      </c>
      <c r="E25" s="138"/>
      <c r="F25" s="138"/>
      <c r="G25" s="138"/>
      <c r="H25" s="138"/>
      <c r="I25" s="138"/>
      <c r="J25" s="138"/>
      <c r="K25" s="794"/>
      <c r="L25" s="736" t="s">
        <v>113</v>
      </c>
      <c r="M25" s="735">
        <v>3.391</v>
      </c>
      <c r="N25" s="735">
        <v>3.6905999999999999</v>
      </c>
      <c r="O25" s="798"/>
    </row>
    <row r="26" spans="1:15" ht="9.75" customHeight="1">
      <c r="A26" s="660" t="s">
        <v>504</v>
      </c>
      <c r="B26" s="661">
        <v>50</v>
      </c>
      <c r="C26" s="661"/>
      <c r="D26" s="662" t="str">
        <f t="shared" si="0"/>
        <v/>
      </c>
      <c r="E26" s="138"/>
      <c r="F26" s="138"/>
      <c r="G26" s="138"/>
      <c r="H26" s="138"/>
      <c r="I26" s="138"/>
      <c r="J26" s="138"/>
      <c r="K26" s="794"/>
      <c r="L26" s="736" t="s">
        <v>115</v>
      </c>
      <c r="M26" s="735">
        <v>3.4080000000000004</v>
      </c>
      <c r="N26" s="735">
        <v>3.3750900000000001</v>
      </c>
      <c r="O26" s="798"/>
    </row>
    <row r="27" spans="1:15" ht="9.75" customHeight="1">
      <c r="A27" s="663" t="s">
        <v>95</v>
      </c>
      <c r="B27" s="664">
        <v>46.0807</v>
      </c>
      <c r="C27" s="664">
        <v>104.30265</v>
      </c>
      <c r="D27" s="665">
        <f t="shared" si="0"/>
        <v>-0.55820202075402681</v>
      </c>
      <c r="E27" s="138"/>
      <c r="F27" s="138"/>
      <c r="G27" s="138"/>
      <c r="H27" s="138"/>
      <c r="I27" s="138"/>
      <c r="J27" s="138"/>
      <c r="K27" s="794"/>
      <c r="L27" s="736" t="s">
        <v>407</v>
      </c>
      <c r="M27" s="735">
        <v>6.8939000000000004</v>
      </c>
      <c r="N27" s="735">
        <v>11.1656</v>
      </c>
      <c r="O27" s="798"/>
    </row>
    <row r="28" spans="1:15" ht="9.75" customHeight="1">
      <c r="A28" s="660" t="s">
        <v>97</v>
      </c>
      <c r="B28" s="661">
        <v>42.108710000000002</v>
      </c>
      <c r="C28" s="661">
        <v>93.473610000000008</v>
      </c>
      <c r="D28" s="662">
        <f t="shared" si="0"/>
        <v>-0.54951231689885516</v>
      </c>
      <c r="E28" s="138"/>
      <c r="F28" s="138"/>
      <c r="G28" s="138"/>
      <c r="H28" s="138"/>
      <c r="I28" s="138"/>
      <c r="J28" s="138"/>
      <c r="K28" s="794"/>
      <c r="L28" s="736" t="s">
        <v>424</v>
      </c>
      <c r="M28" s="735">
        <v>8.4873499999999993</v>
      </c>
      <c r="N28" s="735">
        <v>7.8680000000000003</v>
      </c>
      <c r="O28" s="798"/>
    </row>
    <row r="29" spans="1:15" ht="9.75" customHeight="1">
      <c r="A29" s="666" t="s">
        <v>236</v>
      </c>
      <c r="B29" s="667">
        <v>40.86</v>
      </c>
      <c r="C29" s="667">
        <v>82.747150000000005</v>
      </c>
      <c r="D29" s="668">
        <f t="shared" si="0"/>
        <v>-0.50620655817148985</v>
      </c>
      <c r="E29" s="138"/>
      <c r="F29" s="138"/>
      <c r="G29" s="138"/>
      <c r="H29" s="138"/>
      <c r="I29" s="138"/>
      <c r="J29" s="138"/>
      <c r="K29" s="794"/>
      <c r="L29" s="736" t="s">
        <v>476</v>
      </c>
      <c r="M29" s="735">
        <v>9.1332599999999999</v>
      </c>
      <c r="N29" s="735">
        <v>2.3000000000000001E-4</v>
      </c>
      <c r="O29" s="798"/>
    </row>
    <row r="30" spans="1:15" ht="9.75" customHeight="1">
      <c r="A30" s="669" t="s">
        <v>101</v>
      </c>
      <c r="B30" s="670">
        <v>35.069090000000003</v>
      </c>
      <c r="C30" s="670">
        <v>16.23</v>
      </c>
      <c r="D30" s="671">
        <f t="shared" si="0"/>
        <v>1.1607572396796058</v>
      </c>
      <c r="E30" s="138"/>
      <c r="F30" s="138"/>
      <c r="G30" s="138"/>
      <c r="H30" s="138"/>
      <c r="I30" s="138"/>
      <c r="J30" s="138"/>
      <c r="K30" s="794"/>
      <c r="L30" s="736" t="s">
        <v>445</v>
      </c>
      <c r="M30" s="735">
        <v>9.7611799999999995</v>
      </c>
      <c r="N30" s="735">
        <v>11.21875</v>
      </c>
      <c r="O30" s="798"/>
    </row>
    <row r="31" spans="1:15" ht="9.75" customHeight="1">
      <c r="A31" s="672" t="s">
        <v>446</v>
      </c>
      <c r="B31" s="673">
        <v>27.368369999999999</v>
      </c>
      <c r="C31" s="673">
        <v>28.058979999999998</v>
      </c>
      <c r="D31" s="674">
        <f t="shared" si="0"/>
        <v>-2.4612797756725313E-2</v>
      </c>
      <c r="E31" s="138"/>
      <c r="F31" s="138"/>
      <c r="G31" s="138"/>
      <c r="H31" s="138"/>
      <c r="I31" s="138"/>
      <c r="J31" s="138"/>
      <c r="K31" s="794"/>
      <c r="L31" s="736" t="s">
        <v>119</v>
      </c>
      <c r="M31" s="735">
        <v>10.801080000000001</v>
      </c>
      <c r="N31" s="735">
        <v>4.4065399999999997</v>
      </c>
      <c r="O31" s="798"/>
    </row>
    <row r="32" spans="1:15" ht="9.75" customHeight="1">
      <c r="A32" s="669" t="s">
        <v>102</v>
      </c>
      <c r="B32" s="670">
        <v>26.591609999999999</v>
      </c>
      <c r="C32" s="670">
        <v>0</v>
      </c>
      <c r="D32" s="671" t="str">
        <f t="shared" si="0"/>
        <v/>
      </c>
      <c r="E32" s="138"/>
      <c r="F32" s="138"/>
      <c r="G32" s="138"/>
      <c r="H32" s="138"/>
      <c r="I32" s="138"/>
      <c r="J32" s="138"/>
      <c r="K32" s="794"/>
      <c r="L32" s="736" t="s">
        <v>414</v>
      </c>
      <c r="M32" s="735">
        <v>12.058070000000001</v>
      </c>
      <c r="N32" s="735">
        <v>20.672249999999998</v>
      </c>
      <c r="O32" s="798"/>
    </row>
    <row r="33" spans="1:17" ht="13.5" customHeight="1">
      <c r="A33" s="675" t="s">
        <v>111</v>
      </c>
      <c r="B33" s="673">
        <v>24.530100000000001</v>
      </c>
      <c r="C33" s="673">
        <v>23.05659</v>
      </c>
      <c r="D33" s="674">
        <f t="shared" si="0"/>
        <v>6.3908409699786617E-2</v>
      </c>
      <c r="E33" s="138"/>
      <c r="F33" s="138"/>
      <c r="G33" s="138"/>
      <c r="H33" s="138"/>
      <c r="I33" s="138"/>
      <c r="J33" s="138"/>
      <c r="K33" s="794"/>
      <c r="L33" s="736" t="s">
        <v>475</v>
      </c>
      <c r="M33" s="735">
        <v>14.09769</v>
      </c>
      <c r="N33" s="735">
        <v>0</v>
      </c>
      <c r="O33" s="798"/>
    </row>
    <row r="34" spans="1:17" s="568" customFormat="1" ht="13.5" customHeight="1">
      <c r="A34" s="669" t="s">
        <v>240</v>
      </c>
      <c r="B34" s="670">
        <v>23.052240000000001</v>
      </c>
      <c r="C34" s="670">
        <v>24.551310000000001</v>
      </c>
      <c r="D34" s="671">
        <f t="shared" si="0"/>
        <v>-6.1058656340537421E-2</v>
      </c>
      <c r="E34" s="138"/>
      <c r="F34" s="138"/>
      <c r="G34" s="138"/>
      <c r="H34" s="138"/>
      <c r="I34" s="138"/>
      <c r="J34" s="138"/>
      <c r="K34" s="794"/>
      <c r="L34" s="736" t="s">
        <v>106</v>
      </c>
      <c r="M34" s="735">
        <v>15.353859999999999</v>
      </c>
      <c r="N34" s="735">
        <v>15.58447</v>
      </c>
      <c r="O34" s="798"/>
      <c r="P34" s="509"/>
      <c r="Q34" s="278"/>
    </row>
    <row r="35" spans="1:17" s="568" customFormat="1" ht="13.5" customHeight="1">
      <c r="A35" s="675" t="s">
        <v>398</v>
      </c>
      <c r="B35" s="673">
        <v>20.0623</v>
      </c>
      <c r="C35" s="673">
        <v>20.359120000000001</v>
      </c>
      <c r="D35" s="674">
        <f t="shared" si="0"/>
        <v>-1.4579215604603735E-2</v>
      </c>
      <c r="E35" s="138"/>
      <c r="F35" s="138"/>
      <c r="G35" s="138"/>
      <c r="H35" s="138"/>
      <c r="I35" s="138"/>
      <c r="J35" s="138"/>
      <c r="K35" s="794"/>
      <c r="L35" s="736" t="s">
        <v>103</v>
      </c>
      <c r="M35" s="735">
        <v>17.979219999999998</v>
      </c>
      <c r="N35" s="735">
        <v>16.19857</v>
      </c>
      <c r="O35" s="798"/>
      <c r="P35" s="509"/>
      <c r="Q35" s="278"/>
    </row>
    <row r="36" spans="1:17" ht="10.199999999999999" customHeight="1">
      <c r="A36" s="676" t="s">
        <v>457</v>
      </c>
      <c r="B36" s="670">
        <v>20.059730000000002</v>
      </c>
      <c r="C36" s="670">
        <v>20.662599999999998</v>
      </c>
      <c r="D36" s="671">
        <f t="shared" si="0"/>
        <v>-2.917687028737892E-2</v>
      </c>
      <c r="E36" s="138"/>
      <c r="F36" s="138"/>
      <c r="G36" s="138"/>
      <c r="H36" s="138"/>
      <c r="I36" s="138"/>
      <c r="J36" s="138"/>
      <c r="K36" s="794"/>
      <c r="L36" s="736" t="s">
        <v>238</v>
      </c>
      <c r="M36" s="735">
        <v>18.21219</v>
      </c>
      <c r="N36" s="735">
        <v>17.975740000000002</v>
      </c>
      <c r="O36" s="798"/>
    </row>
    <row r="37" spans="1:17" ht="13.5" customHeight="1">
      <c r="A37" s="675" t="s">
        <v>118</v>
      </c>
      <c r="B37" s="673">
        <v>19.947469999999999</v>
      </c>
      <c r="C37" s="673">
        <v>19.93477</v>
      </c>
      <c r="D37" s="674">
        <f t="shared" si="0"/>
        <v>6.3707782934030455E-4</v>
      </c>
      <c r="E37" s="138"/>
      <c r="F37" s="138"/>
      <c r="G37" s="138"/>
      <c r="H37" s="138"/>
      <c r="I37" s="138"/>
      <c r="J37" s="138"/>
      <c r="K37" s="794"/>
      <c r="L37" s="736" t="s">
        <v>104</v>
      </c>
      <c r="M37" s="737">
        <v>18.505229999999997</v>
      </c>
      <c r="N37" s="737">
        <v>18.2193</v>
      </c>
      <c r="O37" s="798"/>
    </row>
    <row r="38" spans="1:17" ht="11.25" customHeight="1">
      <c r="A38" s="669" t="s">
        <v>479</v>
      </c>
      <c r="B38" s="670">
        <v>19.745669999999997</v>
      </c>
      <c r="C38" s="670">
        <v>18.79166</v>
      </c>
      <c r="D38" s="671">
        <f t="shared" si="0"/>
        <v>5.0767734196978775E-2</v>
      </c>
      <c r="E38" s="138"/>
      <c r="F38" s="138"/>
      <c r="G38" s="138"/>
      <c r="H38" s="138"/>
      <c r="I38" s="138"/>
      <c r="J38" s="138"/>
      <c r="K38" s="796"/>
      <c r="L38" s="736" t="s">
        <v>437</v>
      </c>
      <c r="M38" s="735">
        <v>19.097290000000001</v>
      </c>
      <c r="N38" s="735">
        <v>19.991619999999998</v>
      </c>
      <c r="O38" s="798"/>
    </row>
    <row r="39" spans="1:17" ht="11.25" customHeight="1">
      <c r="A39" s="675" t="s">
        <v>437</v>
      </c>
      <c r="B39" s="673">
        <v>19.097290000000001</v>
      </c>
      <c r="C39" s="673">
        <v>19.991619999999998</v>
      </c>
      <c r="D39" s="674">
        <f t="shared" si="0"/>
        <v>-4.4735244067264035E-2</v>
      </c>
      <c r="E39" s="138"/>
      <c r="F39" s="138"/>
      <c r="G39" s="138"/>
      <c r="H39" s="138"/>
      <c r="I39" s="138"/>
      <c r="J39" s="138"/>
      <c r="K39" s="796"/>
      <c r="L39" s="736" t="s">
        <v>479</v>
      </c>
      <c r="M39" s="735">
        <v>19.745669999999997</v>
      </c>
      <c r="N39" s="735">
        <v>18.79166</v>
      </c>
      <c r="O39" s="798"/>
    </row>
    <row r="40" spans="1:17" ht="11.4" customHeight="1">
      <c r="A40" s="676" t="s">
        <v>104</v>
      </c>
      <c r="B40" s="670">
        <v>18.505229999999997</v>
      </c>
      <c r="C40" s="670">
        <v>18.2193</v>
      </c>
      <c r="D40" s="671">
        <f t="shared" si="0"/>
        <v>1.569379723699571E-2</v>
      </c>
      <c r="E40" s="138"/>
      <c r="F40" s="138"/>
      <c r="G40" s="138"/>
      <c r="H40" s="138"/>
      <c r="I40" s="138"/>
      <c r="J40" s="138"/>
      <c r="K40" s="795"/>
      <c r="L40" s="736" t="s">
        <v>118</v>
      </c>
      <c r="M40" s="735">
        <v>19.947469999999999</v>
      </c>
      <c r="N40" s="735">
        <v>19.93477</v>
      </c>
      <c r="O40" s="798"/>
    </row>
    <row r="41" spans="1:17" ht="11.25" customHeight="1">
      <c r="A41" s="675" t="s">
        <v>238</v>
      </c>
      <c r="B41" s="673">
        <v>18.21219</v>
      </c>
      <c r="C41" s="673">
        <v>17.975740000000002</v>
      </c>
      <c r="D41" s="674">
        <f t="shared" si="0"/>
        <v>1.3153839563767589E-2</v>
      </c>
      <c r="E41" s="138"/>
      <c r="F41" s="138"/>
      <c r="G41" s="138"/>
      <c r="H41" s="138"/>
      <c r="I41" s="138"/>
      <c r="J41" s="138"/>
      <c r="K41" s="795"/>
      <c r="L41" s="736" t="s">
        <v>457</v>
      </c>
      <c r="M41" s="735">
        <v>20.059730000000002</v>
      </c>
      <c r="N41" s="735">
        <v>20.662599999999998</v>
      </c>
      <c r="O41" s="798"/>
    </row>
    <row r="42" spans="1:17" ht="11.25" customHeight="1">
      <c r="A42" s="677" t="s">
        <v>103</v>
      </c>
      <c r="B42" s="670">
        <v>17.979219999999998</v>
      </c>
      <c r="C42" s="670">
        <v>16.19857</v>
      </c>
      <c r="D42" s="671">
        <f t="shared" si="0"/>
        <v>0.10992637004377537</v>
      </c>
      <c r="E42" s="138"/>
      <c r="F42" s="138"/>
      <c r="G42" s="138"/>
      <c r="H42" s="138"/>
      <c r="I42" s="138"/>
      <c r="J42" s="138"/>
      <c r="K42" s="795"/>
      <c r="L42" s="736" t="s">
        <v>398</v>
      </c>
      <c r="M42" s="735">
        <v>20.0623</v>
      </c>
      <c r="N42" s="735">
        <v>20.359120000000001</v>
      </c>
      <c r="O42" s="798"/>
    </row>
    <row r="43" spans="1:17" ht="9.75" customHeight="1">
      <c r="A43" s="672" t="s">
        <v>106</v>
      </c>
      <c r="B43" s="673">
        <v>15.353859999999999</v>
      </c>
      <c r="C43" s="673">
        <v>15.58447</v>
      </c>
      <c r="D43" s="674">
        <f t="shared" si="0"/>
        <v>-1.4797423332330251E-2</v>
      </c>
      <c r="E43" s="138"/>
      <c r="F43" s="138"/>
      <c r="G43" s="138"/>
      <c r="H43" s="138"/>
      <c r="I43" s="138"/>
      <c r="J43" s="138"/>
      <c r="K43" s="796"/>
      <c r="L43" s="736" t="s">
        <v>240</v>
      </c>
      <c r="M43" s="735">
        <v>23.052240000000001</v>
      </c>
      <c r="N43" s="735">
        <v>24.551310000000001</v>
      </c>
      <c r="O43" s="798"/>
    </row>
    <row r="44" spans="1:17" ht="9.75" customHeight="1">
      <c r="A44" s="669" t="s">
        <v>475</v>
      </c>
      <c r="B44" s="670">
        <v>14.09769</v>
      </c>
      <c r="C44" s="670">
        <v>0</v>
      </c>
      <c r="D44" s="671" t="str">
        <f t="shared" si="0"/>
        <v/>
      </c>
      <c r="E44" s="138"/>
      <c r="F44" s="138"/>
      <c r="G44" s="138"/>
      <c r="H44" s="138"/>
      <c r="I44" s="138"/>
      <c r="J44" s="138"/>
      <c r="K44" s="796"/>
      <c r="L44" s="736" t="s">
        <v>111</v>
      </c>
      <c r="M44" s="735">
        <v>24.530100000000001</v>
      </c>
      <c r="N44" s="735">
        <v>23.05659</v>
      </c>
      <c r="O44" s="798"/>
    </row>
    <row r="45" spans="1:17" ht="9.75" customHeight="1">
      <c r="A45" s="672" t="s">
        <v>414</v>
      </c>
      <c r="B45" s="673">
        <v>12.058070000000001</v>
      </c>
      <c r="C45" s="673">
        <v>20.672249999999998</v>
      </c>
      <c r="D45" s="674">
        <f t="shared" si="0"/>
        <v>-0.41670258438244501</v>
      </c>
      <c r="E45" s="138"/>
      <c r="F45" s="138"/>
      <c r="G45" s="138"/>
      <c r="H45" s="138"/>
      <c r="I45" s="138"/>
      <c r="J45" s="138"/>
      <c r="K45" s="796"/>
      <c r="L45" s="736" t="s">
        <v>102</v>
      </c>
      <c r="M45" s="735">
        <v>26.591609999999999</v>
      </c>
      <c r="N45" s="735">
        <v>0</v>
      </c>
      <c r="O45" s="798"/>
    </row>
    <row r="46" spans="1:17" ht="9.75" customHeight="1">
      <c r="A46" s="669" t="s">
        <v>119</v>
      </c>
      <c r="B46" s="670">
        <v>10.801080000000001</v>
      </c>
      <c r="C46" s="670">
        <v>4.4065399999999997</v>
      </c>
      <c r="D46" s="671">
        <f t="shared" si="0"/>
        <v>1.45114761241246</v>
      </c>
      <c r="E46" s="138"/>
      <c r="F46" s="138"/>
      <c r="G46" s="138"/>
      <c r="H46" s="138"/>
      <c r="I46" s="138"/>
      <c r="J46" s="138"/>
      <c r="L46" s="736" t="s">
        <v>446</v>
      </c>
      <c r="M46" s="735">
        <v>27.368369999999999</v>
      </c>
      <c r="N46" s="735">
        <v>28.058979999999998</v>
      </c>
      <c r="O46" s="798"/>
    </row>
    <row r="47" spans="1:17" ht="9.75" customHeight="1">
      <c r="A47" s="672" t="s">
        <v>445</v>
      </c>
      <c r="B47" s="673">
        <v>9.7611799999999995</v>
      </c>
      <c r="C47" s="673">
        <v>11.21875</v>
      </c>
      <c r="D47" s="674">
        <f t="shared" si="0"/>
        <v>-0.12992267409470759</v>
      </c>
      <c r="E47" s="138"/>
      <c r="F47" s="138"/>
      <c r="G47" s="138"/>
      <c r="H47" s="138"/>
      <c r="I47" s="138"/>
      <c r="J47" s="138"/>
      <c r="L47" s="736" t="s">
        <v>101</v>
      </c>
      <c r="M47" s="735">
        <v>35.069090000000003</v>
      </c>
      <c r="N47" s="735">
        <v>16.23</v>
      </c>
      <c r="O47" s="798"/>
    </row>
    <row r="48" spans="1:17" ht="9.6" customHeight="1">
      <c r="A48" s="676" t="s">
        <v>476</v>
      </c>
      <c r="B48" s="670">
        <v>9.1332599999999999</v>
      </c>
      <c r="C48" s="670">
        <v>2.3000000000000001E-4</v>
      </c>
      <c r="D48" s="671"/>
      <c r="E48" s="138"/>
      <c r="F48" s="138"/>
      <c r="G48" s="138"/>
      <c r="H48" s="138"/>
      <c r="I48" s="138"/>
      <c r="J48" s="138"/>
      <c r="L48" s="736" t="s">
        <v>236</v>
      </c>
      <c r="M48" s="735">
        <v>40.86</v>
      </c>
      <c r="N48" s="735">
        <v>82.747150000000005</v>
      </c>
      <c r="O48" s="798"/>
    </row>
    <row r="49" spans="1:15" ht="9.75" customHeight="1">
      <c r="A49" s="672" t="s">
        <v>424</v>
      </c>
      <c r="B49" s="673">
        <v>8.4873499999999993</v>
      </c>
      <c r="C49" s="673">
        <v>7.8680000000000003</v>
      </c>
      <c r="D49" s="674">
        <f t="shared" si="0"/>
        <v>7.8717590238942314E-2</v>
      </c>
      <c r="E49" s="138"/>
      <c r="F49" s="138"/>
      <c r="G49" s="138"/>
      <c r="H49" s="138"/>
      <c r="I49" s="138"/>
      <c r="J49" s="138"/>
      <c r="L49" s="736" t="s">
        <v>97</v>
      </c>
      <c r="M49" s="735">
        <v>42.108710000000002</v>
      </c>
      <c r="N49" s="735">
        <v>93.473610000000008</v>
      </c>
      <c r="O49" s="798"/>
    </row>
    <row r="50" spans="1:15" ht="10.8" customHeight="1">
      <c r="A50" s="676" t="s">
        <v>407</v>
      </c>
      <c r="B50" s="670">
        <v>6.8939000000000004</v>
      </c>
      <c r="C50" s="670">
        <v>11.1656</v>
      </c>
      <c r="D50" s="671">
        <f t="shared" si="0"/>
        <v>-0.38257684316113771</v>
      </c>
      <c r="E50" s="138"/>
      <c r="F50" s="138"/>
      <c r="G50" s="138"/>
      <c r="H50" s="138"/>
      <c r="I50" s="138"/>
      <c r="J50" s="138"/>
      <c r="L50" s="736" t="s">
        <v>95</v>
      </c>
      <c r="M50" s="735">
        <v>46.0807</v>
      </c>
      <c r="N50" s="735">
        <v>104.30265</v>
      </c>
      <c r="O50" s="798"/>
    </row>
    <row r="51" spans="1:15" ht="11.25" customHeight="1">
      <c r="A51" s="675" t="s">
        <v>115</v>
      </c>
      <c r="B51" s="673">
        <v>3.4080000000000004</v>
      </c>
      <c r="C51" s="673">
        <v>3.3750900000000001</v>
      </c>
      <c r="D51" s="674">
        <f t="shared" si="0"/>
        <v>9.7508510884154465E-3</v>
      </c>
      <c r="E51" s="138"/>
      <c r="F51" s="138"/>
      <c r="G51" s="138"/>
      <c r="H51" s="138"/>
      <c r="I51" s="138"/>
      <c r="J51" s="138"/>
      <c r="L51" s="736" t="s">
        <v>504</v>
      </c>
      <c r="M51" s="735">
        <v>50</v>
      </c>
      <c r="N51" s="735"/>
      <c r="O51" s="798"/>
    </row>
    <row r="52" spans="1:15" ht="12" customHeight="1">
      <c r="A52" s="676" t="s">
        <v>113</v>
      </c>
      <c r="B52" s="670">
        <v>3.391</v>
      </c>
      <c r="C52" s="670">
        <v>3.6905999999999999</v>
      </c>
      <c r="D52" s="671">
        <f t="shared" si="0"/>
        <v>-8.1179212052240768E-2</v>
      </c>
      <c r="E52" s="138"/>
      <c r="F52" s="138"/>
      <c r="G52" s="138"/>
      <c r="H52" s="138"/>
      <c r="I52" s="138"/>
      <c r="J52" s="138"/>
      <c r="L52" s="736" t="s">
        <v>478</v>
      </c>
      <c r="M52" s="735">
        <v>65.569630000000004</v>
      </c>
      <c r="N52" s="735">
        <v>36.180460000000004</v>
      </c>
      <c r="O52" s="798"/>
    </row>
    <row r="53" spans="1:15" ht="9.75" customHeight="1">
      <c r="A53" s="675" t="s">
        <v>114</v>
      </c>
      <c r="B53" s="673">
        <v>3.2</v>
      </c>
      <c r="C53" s="673">
        <v>2</v>
      </c>
      <c r="D53" s="674">
        <f t="shared" si="0"/>
        <v>0.60000000000000009</v>
      </c>
      <c r="E53" s="138"/>
      <c r="F53" s="138"/>
      <c r="G53" s="138"/>
      <c r="H53" s="138"/>
      <c r="I53" s="138"/>
      <c r="J53" s="138"/>
      <c r="L53" s="736" t="s">
        <v>108</v>
      </c>
      <c r="M53" s="735">
        <v>67.621760000000009</v>
      </c>
      <c r="N53" s="735">
        <v>56.976130000000005</v>
      </c>
      <c r="O53" s="798"/>
    </row>
    <row r="54" spans="1:15" ht="9.75" customHeight="1">
      <c r="A54" s="669" t="s">
        <v>603</v>
      </c>
      <c r="B54" s="670">
        <v>2.9917400000000001</v>
      </c>
      <c r="C54" s="670"/>
      <c r="D54" s="671" t="str">
        <f t="shared" si="0"/>
        <v/>
      </c>
      <c r="E54" s="138"/>
      <c r="F54" s="138"/>
      <c r="G54" s="138"/>
      <c r="H54" s="138"/>
      <c r="I54" s="138"/>
      <c r="J54" s="138"/>
      <c r="L54" s="736" t="s">
        <v>99</v>
      </c>
      <c r="M54" s="735">
        <v>69.834980000000002</v>
      </c>
      <c r="N54" s="735">
        <v>73.04316</v>
      </c>
      <c r="O54" s="798"/>
    </row>
    <row r="55" spans="1:15" ht="9.75" customHeight="1">
      <c r="A55" s="672" t="s">
        <v>112</v>
      </c>
      <c r="B55" s="673">
        <v>2.3924099999999999</v>
      </c>
      <c r="C55" s="673">
        <v>2.55423</v>
      </c>
      <c r="D55" s="674">
        <f t="shared" si="0"/>
        <v>-6.335373086996865E-2</v>
      </c>
      <c r="E55" s="138"/>
      <c r="F55" s="138"/>
      <c r="G55" s="138"/>
      <c r="H55" s="138"/>
      <c r="I55" s="138"/>
      <c r="J55" s="138"/>
      <c r="L55" s="736" t="s">
        <v>423</v>
      </c>
      <c r="M55" s="735">
        <v>90.458650000000006</v>
      </c>
      <c r="N55" s="735">
        <v>87.003410000000002</v>
      </c>
      <c r="O55" s="798"/>
    </row>
    <row r="56" spans="1:15" ht="9.75" customHeight="1">
      <c r="A56" s="669" t="s">
        <v>408</v>
      </c>
      <c r="B56" s="670">
        <v>0.77500000000000002</v>
      </c>
      <c r="C56" s="670">
        <v>0</v>
      </c>
      <c r="D56" s="671" t="str">
        <f t="shared" si="0"/>
        <v/>
      </c>
      <c r="E56" s="138"/>
      <c r="F56" s="138"/>
      <c r="G56" s="138"/>
      <c r="H56" s="138"/>
      <c r="I56" s="138"/>
      <c r="J56" s="138"/>
      <c r="L56" s="736" t="s">
        <v>96</v>
      </c>
      <c r="M56" s="735">
        <v>90.474000000000004</v>
      </c>
      <c r="N56" s="735">
        <v>85.880380000000002</v>
      </c>
      <c r="O56" s="798"/>
    </row>
    <row r="57" spans="1:15" ht="9.75" customHeight="1">
      <c r="A57" s="672" t="s">
        <v>234</v>
      </c>
      <c r="B57" s="673">
        <v>0</v>
      </c>
      <c r="C57" s="673">
        <v>0</v>
      </c>
      <c r="D57" s="674" t="str">
        <f t="shared" si="0"/>
        <v/>
      </c>
      <c r="E57" s="138"/>
      <c r="F57" s="138"/>
      <c r="G57" s="138"/>
      <c r="H57" s="138"/>
      <c r="I57" s="138"/>
      <c r="J57" s="138"/>
      <c r="L57" s="736" t="s">
        <v>98</v>
      </c>
      <c r="M57" s="735">
        <v>126.53700000000001</v>
      </c>
      <c r="N57" s="735">
        <v>121.05459</v>
      </c>
      <c r="O57" s="798"/>
    </row>
    <row r="58" spans="1:15" ht="9.75" customHeight="1">
      <c r="A58" s="669" t="s">
        <v>116</v>
      </c>
      <c r="B58" s="670">
        <v>0</v>
      </c>
      <c r="C58" s="670">
        <v>0</v>
      </c>
      <c r="D58" s="671" t="str">
        <f t="shared" si="0"/>
        <v/>
      </c>
      <c r="E58" s="138"/>
      <c r="F58" s="138"/>
      <c r="G58" s="138"/>
      <c r="H58" s="138"/>
      <c r="I58" s="138"/>
      <c r="J58" s="138"/>
      <c r="L58" s="736" t="s">
        <v>92</v>
      </c>
      <c r="M58" s="735">
        <v>165.25199999999998</v>
      </c>
      <c r="N58" s="735">
        <v>159.37803</v>
      </c>
      <c r="O58" s="798"/>
    </row>
    <row r="59" spans="1:15" ht="9.75" customHeight="1">
      <c r="A59" s="672" t="s">
        <v>110</v>
      </c>
      <c r="B59" s="673">
        <v>0</v>
      </c>
      <c r="C59" s="673">
        <v>0</v>
      </c>
      <c r="D59" s="674" t="str">
        <f t="shared" si="0"/>
        <v/>
      </c>
      <c r="E59" s="138"/>
      <c r="F59" s="138"/>
      <c r="G59" s="138"/>
      <c r="H59" s="138"/>
      <c r="I59" s="138"/>
      <c r="J59" s="138"/>
      <c r="L59" s="736" t="s">
        <v>91</v>
      </c>
      <c r="M59" s="735">
        <v>170.90086000000002</v>
      </c>
      <c r="N59" s="735">
        <v>147.86265000000003</v>
      </c>
      <c r="O59" s="798"/>
    </row>
    <row r="60" spans="1:15" ht="9.75" customHeight="1">
      <c r="A60" s="669" t="s">
        <v>107</v>
      </c>
      <c r="B60" s="670">
        <v>0</v>
      </c>
      <c r="C60" s="670">
        <v>0</v>
      </c>
      <c r="D60" s="671" t="str">
        <f t="shared" si="0"/>
        <v/>
      </c>
      <c r="E60" s="138"/>
      <c r="F60" s="138"/>
      <c r="G60" s="138"/>
      <c r="H60" s="138"/>
      <c r="I60" s="138"/>
      <c r="J60" s="138"/>
      <c r="L60" s="736" t="s">
        <v>93</v>
      </c>
      <c r="M60" s="735">
        <v>176.57</v>
      </c>
      <c r="N60" s="735">
        <v>121.84123</v>
      </c>
      <c r="O60" s="798"/>
    </row>
    <row r="61" spans="1:15" ht="9.75" customHeight="1">
      <c r="A61" s="678" t="s">
        <v>241</v>
      </c>
      <c r="B61" s="679">
        <v>0</v>
      </c>
      <c r="C61" s="679">
        <v>0</v>
      </c>
      <c r="D61" s="674" t="str">
        <f t="shared" si="0"/>
        <v/>
      </c>
      <c r="E61" s="138"/>
      <c r="F61" s="138"/>
      <c r="G61" s="138"/>
      <c r="H61" s="138"/>
      <c r="I61" s="138"/>
      <c r="J61" s="138"/>
      <c r="L61" s="736" t="s">
        <v>100</v>
      </c>
      <c r="M61" s="735">
        <v>194.47380999999999</v>
      </c>
      <c r="N61" s="735">
        <v>0</v>
      </c>
      <c r="O61" s="798"/>
    </row>
    <row r="62" spans="1:15" ht="9.75" customHeight="1">
      <c r="A62" s="680" t="s">
        <v>242</v>
      </c>
      <c r="B62" s="681">
        <v>0</v>
      </c>
      <c r="C62" s="681">
        <v>0</v>
      </c>
      <c r="D62" s="682" t="str">
        <f t="shared" si="0"/>
        <v/>
      </c>
      <c r="E62" s="138"/>
      <c r="F62" s="138"/>
      <c r="G62" s="138"/>
      <c r="H62" s="138"/>
      <c r="I62" s="138"/>
      <c r="J62" s="138"/>
      <c r="L62" s="736" t="s">
        <v>94</v>
      </c>
      <c r="M62" s="735">
        <v>210.72300000000001</v>
      </c>
      <c r="N62" s="735">
        <v>202.54908</v>
      </c>
      <c r="O62" s="798"/>
    </row>
    <row r="63" spans="1:15" ht="9.75" customHeight="1">
      <c r="A63" s="678" t="s">
        <v>117</v>
      </c>
      <c r="B63" s="679">
        <v>0</v>
      </c>
      <c r="C63" s="679">
        <v>0</v>
      </c>
      <c r="D63" s="665" t="str">
        <f t="shared" si="0"/>
        <v/>
      </c>
      <c r="E63" s="138"/>
      <c r="F63" s="138"/>
      <c r="G63" s="138"/>
      <c r="H63" s="138"/>
      <c r="I63" s="138"/>
      <c r="J63" s="138"/>
      <c r="L63" s="736" t="s">
        <v>237</v>
      </c>
      <c r="M63" s="735">
        <v>271.44031000000001</v>
      </c>
      <c r="N63" s="735">
        <v>550.70608000000004</v>
      </c>
      <c r="O63" s="798"/>
    </row>
    <row r="64" spans="1:15" ht="9.75" customHeight="1">
      <c r="A64" s="680" t="s">
        <v>109</v>
      </c>
      <c r="B64" s="681">
        <v>0</v>
      </c>
      <c r="C64" s="681">
        <v>0</v>
      </c>
      <c r="D64" s="682" t="str">
        <f t="shared" si="0"/>
        <v/>
      </c>
      <c r="E64" s="138"/>
      <c r="F64" s="138"/>
      <c r="G64" s="138"/>
      <c r="H64" s="138"/>
      <c r="I64" s="138"/>
      <c r="J64" s="138"/>
      <c r="L64" s="736" t="s">
        <v>239</v>
      </c>
      <c r="M64" s="735">
        <v>343.30500000000001</v>
      </c>
      <c r="N64" s="735">
        <v>315.82000000000005</v>
      </c>
      <c r="O64" s="798"/>
    </row>
    <row r="65" spans="1:17" s="568" customFormat="1" ht="9.75" customHeight="1">
      <c r="A65" s="678" t="s">
        <v>105</v>
      </c>
      <c r="B65" s="679">
        <v>0</v>
      </c>
      <c r="C65" s="679">
        <v>0</v>
      </c>
      <c r="D65" s="665" t="str">
        <f t="shared" si="0"/>
        <v/>
      </c>
      <c r="E65" s="138"/>
      <c r="F65" s="138"/>
      <c r="G65" s="138"/>
      <c r="H65" s="138"/>
      <c r="I65" s="138"/>
      <c r="J65" s="138"/>
      <c r="K65" s="509"/>
      <c r="L65" s="736" t="s">
        <v>90</v>
      </c>
      <c r="M65" s="735">
        <v>414.53339999999997</v>
      </c>
      <c r="N65" s="735">
        <v>321.89309000000003</v>
      </c>
      <c r="O65" s="798"/>
      <c r="P65" s="509"/>
      <c r="Q65" s="278"/>
    </row>
    <row r="66" spans="1:17" s="568" customFormat="1" ht="9.75" customHeight="1">
      <c r="A66" s="680" t="s">
        <v>473</v>
      </c>
      <c r="B66" s="681">
        <v>0</v>
      </c>
      <c r="C66" s="681">
        <v>0</v>
      </c>
      <c r="D66" s="682" t="str">
        <f t="shared" si="0"/>
        <v/>
      </c>
      <c r="E66" s="138"/>
      <c r="F66" s="138"/>
      <c r="G66" s="138"/>
      <c r="H66" s="138"/>
      <c r="I66" s="138"/>
      <c r="J66" s="138"/>
      <c r="K66" s="509"/>
      <c r="L66" s="736" t="s">
        <v>235</v>
      </c>
      <c r="M66" s="735">
        <v>466.14035000000001</v>
      </c>
      <c r="N66" s="735">
        <v>235.27550000000002</v>
      </c>
      <c r="O66" s="798"/>
      <c r="P66" s="509"/>
      <c r="Q66" s="278"/>
    </row>
    <row r="67" spans="1:17" s="568" customFormat="1" ht="9.75" customHeight="1">
      <c r="A67" s="678" t="s">
        <v>474</v>
      </c>
      <c r="B67" s="679">
        <v>0</v>
      </c>
      <c r="C67" s="679">
        <v>0</v>
      </c>
      <c r="D67" s="665" t="str">
        <f t="shared" si="0"/>
        <v/>
      </c>
      <c r="E67" s="138"/>
      <c r="F67" s="138"/>
      <c r="G67" s="138"/>
      <c r="H67" s="138"/>
      <c r="I67" s="138"/>
      <c r="J67" s="138"/>
      <c r="K67" s="509"/>
      <c r="L67" s="736" t="s">
        <v>88</v>
      </c>
      <c r="M67" s="738">
        <v>634.50299999999993</v>
      </c>
      <c r="N67" s="738">
        <v>936.82871999999998</v>
      </c>
      <c r="O67" s="798"/>
      <c r="P67" s="509"/>
      <c r="Q67" s="278"/>
    </row>
    <row r="68" spans="1:17" s="568" customFormat="1" ht="9.75" customHeight="1">
      <c r="A68" s="680" t="s">
        <v>477</v>
      </c>
      <c r="B68" s="681">
        <v>0</v>
      </c>
      <c r="C68" s="681">
        <v>0.94384999999999997</v>
      </c>
      <c r="D68" s="682">
        <f t="shared" si="0"/>
        <v>-1</v>
      </c>
      <c r="E68" s="138"/>
      <c r="F68" s="138"/>
      <c r="G68" s="138"/>
      <c r="H68" s="138"/>
      <c r="I68" s="138"/>
      <c r="J68" s="138"/>
      <c r="K68" s="509"/>
      <c r="L68" s="736" t="s">
        <v>89</v>
      </c>
      <c r="M68" s="738">
        <v>801.22800000000007</v>
      </c>
      <c r="N68" s="738">
        <v>799.27391999999998</v>
      </c>
      <c r="O68" s="798"/>
      <c r="P68" s="509"/>
      <c r="Q68" s="278"/>
    </row>
    <row r="69" spans="1:17" s="568" customFormat="1" ht="9.75" customHeight="1">
      <c r="A69" s="678" t="s">
        <v>604</v>
      </c>
      <c r="B69" s="679">
        <v>0</v>
      </c>
      <c r="C69" s="679"/>
      <c r="D69" s="665" t="str">
        <f t="shared" si="0"/>
        <v/>
      </c>
      <c r="E69" s="138"/>
      <c r="F69" s="138"/>
      <c r="G69" s="138"/>
      <c r="H69" s="138"/>
      <c r="I69" s="138"/>
      <c r="J69" s="138"/>
      <c r="K69" s="509"/>
      <c r="L69" s="736" t="s">
        <v>87</v>
      </c>
      <c r="M69" s="738">
        <v>1000.8829499999999</v>
      </c>
      <c r="N69" s="738">
        <v>1055.23831</v>
      </c>
      <c r="O69" s="798"/>
      <c r="P69" s="509"/>
      <c r="Q69" s="278"/>
    </row>
    <row r="70" spans="1:17" s="568" customFormat="1" ht="9.75" customHeight="1">
      <c r="A70" s="680" t="s">
        <v>417</v>
      </c>
      <c r="B70" s="681"/>
      <c r="C70" s="681">
        <v>13.188829999999999</v>
      </c>
      <c r="D70" s="682">
        <f t="shared" si="0"/>
        <v>-1</v>
      </c>
      <c r="E70" s="138"/>
      <c r="F70" s="138"/>
      <c r="G70" s="138"/>
      <c r="H70" s="138"/>
      <c r="I70" s="138"/>
      <c r="J70" s="138"/>
      <c r="K70" s="509"/>
      <c r="L70" s="736" t="s">
        <v>406</v>
      </c>
      <c r="M70" s="739">
        <v>1240.5700000000002</v>
      </c>
      <c r="N70" s="739">
        <v>1032.06926</v>
      </c>
      <c r="O70" s="798"/>
      <c r="P70" s="509"/>
      <c r="Q70" s="278"/>
    </row>
    <row r="71" spans="1:17" ht="9.75" customHeight="1">
      <c r="A71" s="683" t="s">
        <v>42</v>
      </c>
      <c r="B71" s="684">
        <f>SUM(B7:B70)</f>
        <v>7173.0331600000009</v>
      </c>
      <c r="C71" s="684">
        <f>SUM(C7:C70)</f>
        <v>6960.0961099999959</v>
      </c>
      <c r="D71" s="685">
        <f>IF(C71=0,"",B71/C71-1)</f>
        <v>3.0593981266158865E-2</v>
      </c>
      <c r="E71" s="138"/>
      <c r="F71" s="138"/>
      <c r="G71" s="138"/>
      <c r="H71" s="138"/>
      <c r="I71" s="138"/>
      <c r="J71" s="138"/>
      <c r="O71" s="798"/>
    </row>
    <row r="72" spans="1:17" ht="31.2" customHeight="1">
      <c r="A72" s="872" t="str">
        <f>"Cuadro N° 8: Participación de las empresas generadoras del COES en la máxima potencia coincidente (MW) en "&amp;'1. Resumen'!Q4</f>
        <v>Cuadro N° 8: Participación de las empresas generadoras del COES en la máxima potencia coincidente (MW) en diciembre</v>
      </c>
      <c r="B72" s="872"/>
      <c r="C72" s="872"/>
      <c r="D72" s="872"/>
      <c r="E72" s="132"/>
      <c r="F72" s="872" t="str">
        <f>"Gráfico N° 12: Comparación de la máxima potencia coincidente  (MW) de las empresas generadoras del COES en "&amp;'1. Resumen'!Q4</f>
        <v>Gráfico N° 12: Comparación de la máxima potencia coincidente  (MW) de las empresas generadoras del COES en diciembre</v>
      </c>
      <c r="G72" s="872"/>
      <c r="H72" s="872"/>
      <c r="I72" s="872"/>
      <c r="J72" s="872"/>
    </row>
    <row r="73" spans="1:17">
      <c r="A73" s="885"/>
      <c r="B73" s="885"/>
      <c r="C73" s="885"/>
      <c r="D73" s="885"/>
      <c r="E73" s="885"/>
      <c r="F73" s="885"/>
      <c r="G73" s="885"/>
      <c r="H73" s="885"/>
      <c r="I73" s="885"/>
      <c r="J73" s="885"/>
    </row>
    <row r="74" spans="1:17">
      <c r="A74" s="884"/>
      <c r="B74" s="884"/>
      <c r="C74" s="884"/>
      <c r="D74" s="884"/>
      <c r="E74" s="884"/>
      <c r="F74" s="884"/>
      <c r="G74" s="884"/>
      <c r="H74" s="884"/>
      <c r="I74" s="884"/>
      <c r="J74" s="884"/>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Diciembre 2021
INFSGI-MES-12-2021
21/02/2022
Versión: 02</oddHeader>
    <oddFooter>&amp;L&amp;7COES, 2021&amp;C9&amp;R&amp;7Dirección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topLeftCell="A2" zoomScaleNormal="100" zoomScaleSheetLayoutView="100" workbookViewId="0">
      <selection activeCell="F52" sqref="F52"/>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754" customWidth="1"/>
    <col min="11" max="11" width="9.28515625" style="277" customWidth="1"/>
    <col min="12" max="21" width="9.28515625" style="277"/>
    <col min="22" max="25" width="9.28515625" style="754"/>
    <col min="26" max="31" width="9.28515625" style="297"/>
    <col min="32" max="16384" width="9.28515625" style="46"/>
  </cols>
  <sheetData>
    <row r="1" spans="1:38" ht="11.25" customHeight="1"/>
    <row r="2" spans="1:38" ht="17.25" customHeight="1">
      <c r="A2" s="876" t="s">
        <v>250</v>
      </c>
      <c r="B2" s="876"/>
      <c r="C2" s="876"/>
      <c r="D2" s="876"/>
      <c r="E2" s="876"/>
      <c r="F2" s="876"/>
      <c r="G2" s="876"/>
      <c r="H2" s="876"/>
    </row>
    <row r="3" spans="1:38" ht="11.25" customHeight="1">
      <c r="A3" s="77"/>
      <c r="B3" s="77"/>
      <c r="C3" s="77"/>
      <c r="D3" s="77"/>
      <c r="E3" s="77"/>
      <c r="F3" s="82"/>
      <c r="G3" s="82"/>
      <c r="H3" s="82"/>
      <c r="I3" s="36"/>
      <c r="J3" s="753"/>
    </row>
    <row r="4" spans="1:38" ht="15.75" customHeight="1">
      <c r="A4" s="894" t="s">
        <v>432</v>
      </c>
      <c r="B4" s="894"/>
      <c r="C4" s="894"/>
      <c r="D4" s="894"/>
      <c r="E4" s="894"/>
      <c r="F4" s="894"/>
      <c r="G4" s="894"/>
      <c r="H4" s="894"/>
      <c r="I4" s="36"/>
      <c r="J4" s="753"/>
    </row>
    <row r="5" spans="1:38" ht="11.25" customHeight="1">
      <c r="A5" s="77"/>
      <c r="B5" s="164"/>
      <c r="C5" s="79"/>
      <c r="D5" s="79"/>
      <c r="E5" s="80"/>
      <c r="F5" s="76"/>
      <c r="G5" s="76"/>
      <c r="H5" s="81"/>
      <c r="I5" s="165"/>
      <c r="J5" s="800"/>
    </row>
    <row r="6" spans="1:38" ht="42.75" customHeight="1">
      <c r="A6" s="77"/>
      <c r="C6" s="376" t="s">
        <v>122</v>
      </c>
      <c r="D6" s="377" t="s">
        <v>667</v>
      </c>
      <c r="E6" s="377" t="s">
        <v>668</v>
      </c>
      <c r="F6" s="378" t="s">
        <v>123</v>
      </c>
      <c r="G6" s="169"/>
      <c r="H6" s="170"/>
    </row>
    <row r="7" spans="1:38" ht="11.25" customHeight="1">
      <c r="A7" s="77"/>
      <c r="C7" s="417" t="s">
        <v>124</v>
      </c>
      <c r="D7" s="418">
        <v>27.329000473022401</v>
      </c>
      <c r="E7" s="575">
        <v>27.6809997558593</v>
      </c>
      <c r="F7" s="419">
        <f>IF(E7=0,"",(D7-E7)/E7)</f>
        <v>-1.2716277805767884E-2</v>
      </c>
      <c r="G7" s="137"/>
      <c r="H7" s="265"/>
    </row>
    <row r="8" spans="1:38" ht="11.25" customHeight="1">
      <c r="A8" s="77"/>
      <c r="C8" s="420" t="s">
        <v>125</v>
      </c>
      <c r="D8" s="421">
        <v>81.001998901367102</v>
      </c>
      <c r="E8" s="422">
        <v>76.218002319335895</v>
      </c>
      <c r="F8" s="423">
        <f t="shared" ref="F8:F20" si="0">IF(E8=0,"",(D8-E8)/E8)</f>
        <v>6.2767278549067218E-2</v>
      </c>
      <c r="G8" s="137"/>
      <c r="H8" s="265"/>
    </row>
    <row r="9" spans="1:38" ht="11.25" customHeight="1">
      <c r="A9" s="77"/>
      <c r="C9" s="424" t="s">
        <v>126</v>
      </c>
      <c r="D9" s="425">
        <v>46.983001708984297</v>
      </c>
      <c r="E9" s="426">
        <v>62.244998931884702</v>
      </c>
      <c r="F9" s="427">
        <f t="shared" si="0"/>
        <v>-0.2451923445223568</v>
      </c>
      <c r="G9" s="137"/>
      <c r="H9" s="265"/>
      <c r="M9" s="693" t="s">
        <v>256</v>
      </c>
      <c r="N9" s="278"/>
      <c r="O9" s="278"/>
      <c r="P9" s="278"/>
      <c r="Q9" s="278"/>
      <c r="R9" s="278"/>
      <c r="S9" s="278"/>
      <c r="T9" s="278"/>
      <c r="U9" s="278"/>
      <c r="V9" s="751"/>
      <c r="W9" s="751"/>
      <c r="X9" s="751"/>
      <c r="Y9" s="751"/>
      <c r="Z9" s="298"/>
      <c r="AA9" s="298"/>
      <c r="AB9" s="298"/>
      <c r="AC9" s="298"/>
      <c r="AD9" s="298"/>
      <c r="AE9" s="298"/>
      <c r="AF9" s="216"/>
      <c r="AG9" s="216"/>
      <c r="AH9" s="216"/>
      <c r="AI9" s="216"/>
      <c r="AJ9" s="216"/>
      <c r="AK9" s="216"/>
      <c r="AL9" s="216"/>
    </row>
    <row r="10" spans="1:38" ht="11.25" customHeight="1">
      <c r="A10" s="77"/>
      <c r="C10" s="420" t="s">
        <v>127</v>
      </c>
      <c r="D10" s="421">
        <v>39.491001129150298</v>
      </c>
      <c r="E10" s="422">
        <v>22.6380004882812</v>
      </c>
      <c r="F10" s="423">
        <f t="shared" si="0"/>
        <v>0.74445623630025237</v>
      </c>
      <c r="G10" s="137"/>
      <c r="H10" s="265"/>
      <c r="M10" s="693" t="s">
        <v>257</v>
      </c>
      <c r="N10" s="278"/>
      <c r="O10" s="278"/>
      <c r="P10" s="278"/>
      <c r="Q10" s="278"/>
      <c r="R10" s="278"/>
      <c r="S10" s="278"/>
      <c r="T10" s="278"/>
      <c r="AD10" s="298"/>
      <c r="AE10" s="298"/>
      <c r="AF10" s="216"/>
      <c r="AG10" s="216"/>
      <c r="AH10" s="216"/>
      <c r="AI10" s="216"/>
      <c r="AJ10" s="216"/>
      <c r="AK10" s="216"/>
      <c r="AL10" s="216"/>
    </row>
    <row r="11" spans="1:38" ht="11.25" customHeight="1">
      <c r="A11" s="77"/>
      <c r="C11" s="424" t="s">
        <v>128</v>
      </c>
      <c r="D11" s="425">
        <v>8.2370004653930593</v>
      </c>
      <c r="E11" s="426">
        <v>14.064999580383301</v>
      </c>
      <c r="F11" s="427">
        <f>IF(E11=0,"",(D11-E11)/E11)</f>
        <v>-0.41436184065861281</v>
      </c>
      <c r="G11" s="137"/>
      <c r="H11" s="265"/>
      <c r="M11" s="278"/>
      <c r="N11" s="694">
        <v>2018</v>
      </c>
      <c r="O11" s="694">
        <v>2019</v>
      </c>
      <c r="P11" s="694">
        <v>2020</v>
      </c>
      <c r="Q11" s="694">
        <v>2021</v>
      </c>
      <c r="R11" s="278"/>
      <c r="S11" s="278"/>
      <c r="T11" s="278"/>
      <c r="AD11" s="298"/>
      <c r="AE11" s="298"/>
      <c r="AF11" s="216"/>
      <c r="AG11" s="216"/>
      <c r="AH11" s="216"/>
      <c r="AI11" s="216"/>
      <c r="AJ11" s="216"/>
      <c r="AK11" s="216"/>
      <c r="AL11" s="216"/>
    </row>
    <row r="12" spans="1:38" ht="11.25" customHeight="1">
      <c r="A12" s="77"/>
      <c r="C12" s="420" t="s">
        <v>129</v>
      </c>
      <c r="D12" s="421">
        <v>4.0879998207092196</v>
      </c>
      <c r="E12" s="422">
        <v>11.5</v>
      </c>
      <c r="F12" s="423">
        <f t="shared" si="0"/>
        <v>-0.64452175472093742</v>
      </c>
      <c r="G12" s="137"/>
      <c r="H12" s="265"/>
      <c r="M12" s="695">
        <v>1</v>
      </c>
      <c r="N12" s="696">
        <v>104.46</v>
      </c>
      <c r="O12" s="696">
        <v>117.2900009</v>
      </c>
      <c r="P12" s="696">
        <v>117.290000915527</v>
      </c>
      <c r="Q12" s="616">
        <v>129.00799559999999</v>
      </c>
      <c r="R12" s="278"/>
      <c r="S12" s="278"/>
      <c r="T12" s="278"/>
      <c r="AD12" s="298"/>
      <c r="AE12" s="298"/>
      <c r="AF12" s="216"/>
      <c r="AG12" s="216"/>
      <c r="AH12" s="216"/>
      <c r="AI12" s="216"/>
      <c r="AJ12" s="216"/>
      <c r="AK12" s="216"/>
      <c r="AL12" s="216"/>
    </row>
    <row r="13" spans="1:38" ht="11.25" customHeight="1">
      <c r="A13" s="77"/>
      <c r="C13" s="424" t="s">
        <v>130</v>
      </c>
      <c r="D13" s="425">
        <v>65.620002746582003</v>
      </c>
      <c r="E13" s="426">
        <v>46.849998474121001</v>
      </c>
      <c r="F13" s="427">
        <f t="shared" si="0"/>
        <v>0.40064044575858793</v>
      </c>
      <c r="G13" s="137"/>
      <c r="H13" s="265"/>
      <c r="M13" s="695">
        <v>2</v>
      </c>
      <c r="N13" s="696">
        <v>103.4720001</v>
      </c>
      <c r="O13" s="696">
        <v>116.0110016</v>
      </c>
      <c r="P13" s="696">
        <v>146.93600459999999</v>
      </c>
      <c r="Q13" s="616">
        <v>140.9219971</v>
      </c>
      <c r="R13" s="278"/>
      <c r="S13" s="278"/>
      <c r="T13" s="278"/>
      <c r="AD13" s="298"/>
      <c r="AE13" s="298"/>
      <c r="AF13" s="216"/>
      <c r="AG13" s="216"/>
      <c r="AH13" s="216"/>
      <c r="AI13" s="216"/>
      <c r="AJ13" s="216"/>
      <c r="AK13" s="216"/>
      <c r="AL13" s="216"/>
    </row>
    <row r="14" spans="1:38" ht="11.25" customHeight="1">
      <c r="A14" s="77"/>
      <c r="C14" s="420" t="s">
        <v>131</v>
      </c>
      <c r="D14" s="421">
        <v>233.18600463867099</v>
      </c>
      <c r="E14" s="422">
        <v>241.83299255371</v>
      </c>
      <c r="F14" s="423">
        <f t="shared" si="0"/>
        <v>-3.5756030737280599E-2</v>
      </c>
      <c r="G14" s="137"/>
      <c r="H14" s="265"/>
      <c r="M14" s="695">
        <v>3</v>
      </c>
      <c r="N14" s="696">
        <v>106.08699799999999</v>
      </c>
      <c r="O14" s="696">
        <v>117.6</v>
      </c>
      <c r="P14" s="696">
        <v>149.93200680000001</v>
      </c>
      <c r="Q14" s="616">
        <v>146.8099976</v>
      </c>
      <c r="R14" s="278"/>
      <c r="S14" s="278"/>
      <c r="T14" s="278"/>
      <c r="AD14" s="298"/>
      <c r="AE14" s="298"/>
      <c r="AF14" s="216"/>
      <c r="AG14" s="216"/>
      <c r="AH14" s="216"/>
      <c r="AI14" s="216"/>
      <c r="AJ14" s="216"/>
      <c r="AK14" s="216"/>
      <c r="AL14" s="216"/>
    </row>
    <row r="15" spans="1:38" ht="11.25" customHeight="1">
      <c r="A15" s="77"/>
      <c r="C15" s="424" t="s">
        <v>132</v>
      </c>
      <c r="D15" s="425">
        <v>26.290000915527301</v>
      </c>
      <c r="E15" s="426">
        <v>6.8099999427795401</v>
      </c>
      <c r="F15" s="427">
        <f t="shared" si="0"/>
        <v>2.8604994326617992</v>
      </c>
      <c r="G15" s="137"/>
      <c r="H15" s="265"/>
      <c r="M15" s="695">
        <v>4</v>
      </c>
      <c r="N15" s="696">
        <v>112.7200012</v>
      </c>
      <c r="O15" s="696">
        <v>128.32000729999999</v>
      </c>
      <c r="P15" s="696">
        <v>152.6190033</v>
      </c>
      <c r="Q15" s="616">
        <v>159.0500031</v>
      </c>
      <c r="R15" s="278"/>
      <c r="S15" s="278"/>
      <c r="T15" s="278"/>
      <c r="AD15" s="298"/>
      <c r="AE15" s="298"/>
      <c r="AF15" s="216"/>
      <c r="AG15" s="216"/>
      <c r="AH15" s="216"/>
      <c r="AI15" s="216"/>
      <c r="AJ15" s="216"/>
      <c r="AK15" s="216"/>
      <c r="AL15" s="216"/>
    </row>
    <row r="16" spans="1:38" ht="11.25" customHeight="1">
      <c r="A16" s="77"/>
      <c r="C16" s="420" t="s">
        <v>133</v>
      </c>
      <c r="D16" s="421">
        <v>31.502000808715799</v>
      </c>
      <c r="E16" s="422">
        <v>47.749000549316399</v>
      </c>
      <c r="F16" s="423">
        <f t="shared" si="0"/>
        <v>-0.34025842538463774</v>
      </c>
      <c r="G16" s="137"/>
      <c r="H16" s="265"/>
      <c r="M16" s="695">
        <v>5</v>
      </c>
      <c r="N16" s="696">
        <v>122.3190002</v>
      </c>
      <c r="O16" s="696">
        <v>139.2400055</v>
      </c>
      <c r="P16" s="696">
        <v>162.19599909999999</v>
      </c>
      <c r="Q16" s="616">
        <v>174.75</v>
      </c>
      <c r="R16" s="278"/>
      <c r="S16" s="278"/>
      <c r="T16" s="278"/>
      <c r="AD16" s="298"/>
      <c r="AE16" s="298"/>
      <c r="AF16" s="216"/>
      <c r="AG16" s="216"/>
      <c r="AH16" s="216"/>
      <c r="AI16" s="216"/>
      <c r="AJ16" s="216"/>
      <c r="AK16" s="216"/>
      <c r="AL16" s="216"/>
    </row>
    <row r="17" spans="1:38" ht="11.25" customHeight="1">
      <c r="A17" s="77"/>
      <c r="C17" s="424" t="s">
        <v>134</v>
      </c>
      <c r="D17" s="425">
        <v>49.520000457763601</v>
      </c>
      <c r="E17" s="426">
        <v>27.319999694824201</v>
      </c>
      <c r="F17" s="427">
        <f t="shared" si="0"/>
        <v>0.81259154505573472</v>
      </c>
      <c r="G17" s="137"/>
      <c r="H17" s="265"/>
      <c r="M17" s="695">
        <v>6</v>
      </c>
      <c r="N17" s="696">
        <v>126.1559982</v>
      </c>
      <c r="O17" s="696">
        <v>150.94</v>
      </c>
      <c r="P17" s="696">
        <v>168.51100158691401</v>
      </c>
      <c r="Q17" s="616">
        <v>179.64900209999999</v>
      </c>
      <c r="R17" s="278"/>
      <c r="S17" s="278"/>
      <c r="T17" s="278"/>
      <c r="AD17" s="298"/>
      <c r="AE17" s="298"/>
      <c r="AF17" s="216"/>
      <c r="AG17" s="216"/>
      <c r="AH17" s="216"/>
      <c r="AI17" s="216"/>
      <c r="AJ17" s="216"/>
      <c r="AK17" s="216"/>
      <c r="AL17" s="216"/>
    </row>
    <row r="18" spans="1:38" ht="11.25" customHeight="1">
      <c r="A18" s="77"/>
      <c r="C18" s="420" t="s">
        <v>135</v>
      </c>
      <c r="D18" s="421">
        <v>5.8499999046325604</v>
      </c>
      <c r="E18" s="422">
        <v>5.4959998130798304</v>
      </c>
      <c r="F18" s="423">
        <f t="shared" si="0"/>
        <v>6.4410499198026092E-2</v>
      </c>
      <c r="G18" s="137"/>
      <c r="H18" s="265"/>
      <c r="M18" s="695">
        <v>7</v>
      </c>
      <c r="N18" s="696">
        <v>142.9900055</v>
      </c>
      <c r="O18" s="696">
        <v>162.4909973</v>
      </c>
      <c r="P18" s="696">
        <v>175.46800229999999</v>
      </c>
      <c r="Q18" s="616">
        <v>184.3</v>
      </c>
      <c r="R18" s="278"/>
      <c r="S18" s="278"/>
      <c r="T18" s="278"/>
      <c r="AD18" s="298"/>
      <c r="AE18" s="298"/>
      <c r="AF18" s="216"/>
      <c r="AG18" s="216"/>
      <c r="AH18" s="216"/>
      <c r="AI18" s="216"/>
      <c r="AJ18" s="216"/>
      <c r="AK18" s="216"/>
      <c r="AL18" s="216"/>
    </row>
    <row r="19" spans="1:38" ht="12.75" customHeight="1">
      <c r="A19" s="77"/>
      <c r="C19" s="424" t="s">
        <v>136</v>
      </c>
      <c r="D19" s="425">
        <v>35.851001739501903</v>
      </c>
      <c r="E19" s="426">
        <v>17.514999389648398</v>
      </c>
      <c r="F19" s="427">
        <f t="shared" si="0"/>
        <v>1.0468742785506651</v>
      </c>
      <c r="G19" s="137"/>
      <c r="H19" s="265"/>
      <c r="M19" s="695">
        <v>8</v>
      </c>
      <c r="N19" s="696">
        <v>134.13600159999999</v>
      </c>
      <c r="O19" s="696">
        <v>169.03700259999999</v>
      </c>
      <c r="P19" s="696">
        <v>188.82800292968699</v>
      </c>
      <c r="Q19" s="616">
        <v>186.76999999999998</v>
      </c>
      <c r="R19" s="278"/>
      <c r="S19" s="278"/>
      <c r="T19" s="278"/>
      <c r="AD19" s="298"/>
      <c r="AE19" s="298"/>
      <c r="AF19" s="216"/>
      <c r="AG19" s="216"/>
      <c r="AH19" s="216"/>
      <c r="AI19" s="216"/>
      <c r="AJ19" s="216"/>
      <c r="AK19" s="216"/>
      <c r="AL19" s="216"/>
    </row>
    <row r="20" spans="1:38" ht="13.5" customHeight="1">
      <c r="A20" s="77"/>
      <c r="C20" s="420" t="s">
        <v>137</v>
      </c>
      <c r="D20" s="421">
        <v>3.0239999294281001</v>
      </c>
      <c r="E20" s="422">
        <v>9.0410003662109304</v>
      </c>
      <c r="F20" s="423">
        <f t="shared" si="0"/>
        <v>-0.66552374660554803</v>
      </c>
      <c r="G20" s="137"/>
      <c r="H20" s="265"/>
      <c r="M20" s="695">
        <v>9</v>
      </c>
      <c r="N20" s="696">
        <v>153.34500120000001</v>
      </c>
      <c r="O20" s="696">
        <v>182.64300539999999</v>
      </c>
      <c r="P20" s="696">
        <v>196.47700499999999</v>
      </c>
      <c r="Q20" s="616">
        <v>193.21000671386699</v>
      </c>
      <c r="R20" s="278"/>
      <c r="S20" s="278"/>
      <c r="T20" s="278"/>
      <c r="AD20" s="298"/>
      <c r="AE20" s="298"/>
      <c r="AF20" s="216"/>
      <c r="AG20" s="216"/>
      <c r="AH20" s="216"/>
      <c r="AI20" s="216"/>
      <c r="AJ20" s="216"/>
      <c r="AK20" s="216"/>
      <c r="AL20" s="216"/>
    </row>
    <row r="21" spans="1:38" ht="11.25" customHeight="1">
      <c r="A21" s="77"/>
      <c r="C21" s="424" t="s">
        <v>138</v>
      </c>
      <c r="D21" s="425">
        <v>3.2980000972747798</v>
      </c>
      <c r="E21" s="426">
        <v>2.8740000724792401</v>
      </c>
      <c r="F21" s="427">
        <f t="shared" ref="F21:F27" si="1">IF(E21=0,"",(D21-E21)/E21)</f>
        <v>0.14752958041151981</v>
      </c>
      <c r="M21" s="695">
        <v>10</v>
      </c>
      <c r="N21" s="696">
        <v>153.0590057</v>
      </c>
      <c r="O21" s="696">
        <v>190.99600219999999</v>
      </c>
      <c r="P21" s="696">
        <v>199.98199460000001</v>
      </c>
      <c r="Q21" s="616">
        <v>196.71000670000001</v>
      </c>
      <c r="R21" s="278"/>
      <c r="S21" s="278"/>
      <c r="T21" s="278"/>
      <c r="AD21" s="298"/>
      <c r="AE21" s="298"/>
      <c r="AF21" s="216"/>
      <c r="AG21" s="216"/>
      <c r="AH21" s="216"/>
      <c r="AI21" s="216"/>
      <c r="AJ21" s="216"/>
      <c r="AK21" s="216"/>
      <c r="AL21" s="216"/>
    </row>
    <row r="22" spans="1:38" ht="11.25" customHeight="1">
      <c r="A22" s="77"/>
      <c r="C22" s="420" t="s">
        <v>139</v>
      </c>
      <c r="D22" s="421">
        <v>5.3140001296996999</v>
      </c>
      <c r="E22" s="422">
        <v>4.3489999771118102</v>
      </c>
      <c r="F22" s="423">
        <f t="shared" si="1"/>
        <v>0.22189012592930629</v>
      </c>
      <c r="G22" s="137"/>
      <c r="H22" s="265"/>
      <c r="M22" s="695">
        <v>11</v>
      </c>
      <c r="N22" s="696">
        <v>162.93200680000001</v>
      </c>
      <c r="O22" s="696">
        <v>200.89500427246</v>
      </c>
      <c r="P22" s="696">
        <v>200.89500430000001</v>
      </c>
      <c r="Q22" s="686">
        <v>203.61799619999999</v>
      </c>
      <c r="AF22" s="266"/>
      <c r="AG22" s="266"/>
      <c r="AH22" s="266"/>
      <c r="AI22" s="266"/>
      <c r="AJ22" s="266"/>
      <c r="AK22" s="266"/>
      <c r="AL22" s="266"/>
    </row>
    <row r="23" spans="1:38" ht="11.25" customHeight="1">
      <c r="A23" s="77"/>
      <c r="C23" s="424" t="s">
        <v>413</v>
      </c>
      <c r="D23" s="425">
        <v>7.1880002021789497</v>
      </c>
      <c r="E23" s="426">
        <v>5.36100006103515</v>
      </c>
      <c r="F23" s="427">
        <f t="shared" si="1"/>
        <v>0.34079465031586403</v>
      </c>
      <c r="G23" s="137"/>
      <c r="H23" s="265"/>
      <c r="M23" s="695">
        <v>12</v>
      </c>
      <c r="N23" s="696">
        <v>172.76199339999999</v>
      </c>
      <c r="O23" s="696">
        <v>209.09500120000001</v>
      </c>
      <c r="P23" s="696">
        <v>210.61200000000002</v>
      </c>
      <c r="Q23" s="686">
        <v>209.9909973</v>
      </c>
      <c r="AF23" s="266"/>
      <c r="AG23" s="266"/>
      <c r="AH23" s="266"/>
      <c r="AI23" s="266"/>
      <c r="AJ23" s="266"/>
      <c r="AK23" s="266"/>
      <c r="AL23" s="266"/>
    </row>
    <row r="24" spans="1:38" ht="11.25" customHeight="1">
      <c r="A24" s="77"/>
      <c r="C24" s="420" t="s">
        <v>140</v>
      </c>
      <c r="D24" s="422">
        <v>127.295997619628</v>
      </c>
      <c r="E24" s="422">
        <v>110.41200256347599</v>
      </c>
      <c r="F24" s="423">
        <f t="shared" si="1"/>
        <v>0.15291811274272807</v>
      </c>
      <c r="G24" s="137"/>
      <c r="H24" s="265"/>
      <c r="M24" s="695">
        <v>13</v>
      </c>
      <c r="N24" s="696">
        <v>182.13900760000001</v>
      </c>
      <c r="O24" s="696">
        <v>215.7310028</v>
      </c>
      <c r="P24" s="696">
        <v>221.91900634765599</v>
      </c>
      <c r="Q24" s="686">
        <v>219.56300350000001</v>
      </c>
      <c r="AF24" s="266"/>
      <c r="AG24" s="266"/>
      <c r="AH24" s="266"/>
      <c r="AI24" s="266"/>
      <c r="AJ24" s="266"/>
      <c r="AK24" s="266"/>
      <c r="AL24" s="266"/>
    </row>
    <row r="25" spans="1:38" ht="11.25" customHeight="1">
      <c r="A25" s="77"/>
      <c r="C25" s="424" t="s">
        <v>141</v>
      </c>
      <c r="D25" s="426">
        <v>19.864000320434499</v>
      </c>
      <c r="E25" s="426">
        <v>8.9680004119872994</v>
      </c>
      <c r="F25" s="427">
        <f t="shared" si="1"/>
        <v>1.2149865530651396</v>
      </c>
      <c r="G25" s="137"/>
      <c r="H25" s="265"/>
      <c r="M25" s="695">
        <v>14</v>
      </c>
      <c r="N25" s="696">
        <v>191.4750061</v>
      </c>
      <c r="O25" s="696">
        <v>219.1710052</v>
      </c>
      <c r="P25" s="696">
        <v>223.19599909999999</v>
      </c>
      <c r="Q25" s="686">
        <v>225.1629944</v>
      </c>
      <c r="AF25" s="266"/>
      <c r="AG25" s="266"/>
      <c r="AH25" s="266"/>
      <c r="AI25" s="266"/>
      <c r="AJ25" s="266"/>
      <c r="AK25" s="266"/>
      <c r="AL25" s="266"/>
    </row>
    <row r="26" spans="1:38" ht="11.25" customHeight="1">
      <c r="A26" s="77"/>
      <c r="C26" s="420" t="s">
        <v>142</v>
      </c>
      <c r="D26" s="422">
        <v>9.1229999999999993</v>
      </c>
      <c r="E26" s="422">
        <v>11.682</v>
      </c>
      <c r="F26" s="423">
        <f t="shared" si="1"/>
        <v>-0.21905495634309202</v>
      </c>
      <c r="G26" s="137"/>
      <c r="H26" s="137"/>
      <c r="M26" s="695">
        <v>15</v>
      </c>
      <c r="N26" s="696">
        <v>198.43899540000001</v>
      </c>
      <c r="O26" s="696">
        <v>220.17399599999999</v>
      </c>
      <c r="P26" s="696">
        <v>225.0500031</v>
      </c>
      <c r="Q26" s="686">
        <v>224.9100037</v>
      </c>
      <c r="AF26" s="266"/>
      <c r="AG26" s="266"/>
      <c r="AH26" s="266"/>
      <c r="AI26" s="266"/>
      <c r="AJ26" s="266"/>
      <c r="AK26" s="266"/>
      <c r="AL26" s="266"/>
    </row>
    <row r="27" spans="1:38" ht="11.25" customHeight="1">
      <c r="A27" s="77"/>
      <c r="C27" s="424" t="s">
        <v>143</v>
      </c>
      <c r="D27" s="425">
        <v>303.83898925781199</v>
      </c>
      <c r="E27" s="426">
        <v>134.85299682617099</v>
      </c>
      <c r="F27" s="427">
        <f t="shared" si="1"/>
        <v>1.2531126219572881</v>
      </c>
      <c r="G27" s="137"/>
      <c r="H27" s="137"/>
      <c r="M27" s="695">
        <v>16</v>
      </c>
      <c r="N27" s="696">
        <v>201.52999879999999</v>
      </c>
      <c r="O27" s="696">
        <v>220.3150024</v>
      </c>
      <c r="P27" s="696">
        <v>224.84800720000001</v>
      </c>
      <c r="Q27" s="686">
        <v>224.5</v>
      </c>
      <c r="AF27" s="266"/>
      <c r="AG27" s="266"/>
      <c r="AH27" s="266"/>
      <c r="AI27" s="266"/>
      <c r="AJ27" s="266"/>
      <c r="AK27" s="266"/>
      <c r="AL27" s="266"/>
    </row>
    <row r="28" spans="1:38" ht="26.25" customHeight="1">
      <c r="A28" s="77"/>
      <c r="C28" s="895" t="str">
        <f>"Cuadro N°9: Volumen útil de los principales embalses y lagunas del SEIN al término del periodo mensual ("&amp;'1. Resumen'!Q7&amp;" de "&amp;'1. Resumen'!Q4&amp;") "</f>
        <v xml:space="preserve">Cuadro N°9: Volumen útil de los principales embalses y lagunas del SEIN al término del periodo mensual (31 de diciembre) </v>
      </c>
      <c r="D28" s="895"/>
      <c r="E28" s="895"/>
      <c r="F28" s="895"/>
      <c r="G28" s="137"/>
      <c r="H28" s="137"/>
      <c r="M28" s="695">
        <v>17</v>
      </c>
      <c r="N28" s="696">
        <v>206.03700259999999</v>
      </c>
      <c r="O28" s="696">
        <v>220.56</v>
      </c>
      <c r="P28" s="696">
        <v>225.27900695800699</v>
      </c>
      <c r="Q28" s="686">
        <v>225.58500670000001</v>
      </c>
      <c r="AF28" s="266"/>
      <c r="AG28" s="266"/>
      <c r="AH28" s="266"/>
      <c r="AI28" s="266"/>
      <c r="AJ28" s="266"/>
      <c r="AK28" s="266"/>
      <c r="AL28" s="266"/>
    </row>
    <row r="29" spans="1:38" ht="12" customHeight="1">
      <c r="A29" s="75"/>
      <c r="G29" s="137"/>
      <c r="H29" s="137"/>
      <c r="I29" s="167"/>
      <c r="J29" s="801"/>
      <c r="M29" s="695">
        <v>18</v>
      </c>
      <c r="N29" s="696">
        <v>213.67399599999999</v>
      </c>
      <c r="O29" s="696">
        <v>224.15199279999999</v>
      </c>
      <c r="P29" s="696">
        <v>226.44200129999999</v>
      </c>
      <c r="Q29" s="700">
        <v>225.2599945</v>
      </c>
      <c r="AF29" s="266"/>
      <c r="AG29" s="266"/>
      <c r="AH29" s="266"/>
      <c r="AI29" s="266"/>
      <c r="AJ29" s="266"/>
      <c r="AK29" s="266"/>
      <c r="AL29" s="266"/>
    </row>
    <row r="30" spans="1:38" ht="11.25" customHeight="1">
      <c r="A30" s="75"/>
      <c r="B30" s="173"/>
      <c r="C30" s="173"/>
      <c r="D30" s="173"/>
      <c r="E30" s="173"/>
      <c r="F30" s="171"/>
      <c r="G30" s="137"/>
      <c r="H30" s="137"/>
      <c r="M30" s="695">
        <v>19</v>
      </c>
      <c r="N30" s="696">
        <v>216.75700380000001</v>
      </c>
      <c r="O30" s="696">
        <v>224.378006</v>
      </c>
      <c r="P30" s="696">
        <v>227.14199830000001</v>
      </c>
      <c r="Q30" s="700">
        <v>225.3280029</v>
      </c>
      <c r="AF30" s="266"/>
      <c r="AG30" s="266"/>
      <c r="AH30" s="266"/>
      <c r="AI30" s="266"/>
      <c r="AJ30" s="266"/>
      <c r="AK30" s="266"/>
      <c r="AL30" s="266"/>
    </row>
    <row r="31" spans="1:38" ht="11.25" customHeight="1">
      <c r="A31" s="75"/>
      <c r="B31" s="173"/>
      <c r="C31" s="173"/>
      <c r="D31" s="173"/>
      <c r="E31" s="173"/>
      <c r="F31" s="171"/>
      <c r="G31" s="171"/>
      <c r="H31" s="171"/>
      <c r="I31" s="167"/>
      <c r="J31" s="801"/>
      <c r="M31" s="695">
        <v>20</v>
      </c>
      <c r="N31" s="696">
        <v>217.29400630000001</v>
      </c>
      <c r="O31" s="696">
        <v>224.60401920000001</v>
      </c>
      <c r="P31" s="696">
        <v>227.625</v>
      </c>
      <c r="Q31" s="700">
        <v>225.2279968</v>
      </c>
      <c r="AF31" s="266"/>
      <c r="AG31" s="266"/>
      <c r="AH31" s="266"/>
      <c r="AI31" s="266"/>
      <c r="AJ31" s="266"/>
      <c r="AK31" s="266"/>
      <c r="AL31" s="266"/>
    </row>
    <row r="32" spans="1:38" ht="13.5" customHeight="1">
      <c r="A32" s="894" t="s">
        <v>431</v>
      </c>
      <c r="B32" s="894"/>
      <c r="C32" s="894"/>
      <c r="D32" s="894"/>
      <c r="E32" s="894"/>
      <c r="F32" s="894"/>
      <c r="G32" s="894"/>
      <c r="H32" s="894"/>
      <c r="I32" s="56"/>
      <c r="J32" s="801"/>
      <c r="M32" s="695">
        <v>21</v>
      </c>
      <c r="N32" s="696">
        <v>218.3190002</v>
      </c>
      <c r="O32" s="696">
        <v>223.4909973</v>
      </c>
      <c r="P32" s="696">
        <v>227.75800000000001</v>
      </c>
      <c r="Q32" s="700">
        <v>225.25399780000001</v>
      </c>
      <c r="AF32" s="266"/>
      <c r="AG32" s="266"/>
      <c r="AH32" s="266"/>
      <c r="AI32" s="266"/>
      <c r="AJ32" s="266"/>
      <c r="AK32" s="266"/>
      <c r="AL32" s="266"/>
    </row>
    <row r="33" spans="1:38" ht="11.25" customHeight="1">
      <c r="A33" s="75"/>
      <c r="B33" s="82"/>
      <c r="C33" s="82"/>
      <c r="D33" s="82"/>
      <c r="E33" s="82"/>
      <c r="F33" s="82"/>
      <c r="G33" s="82"/>
      <c r="H33" s="82"/>
      <c r="I33" s="56"/>
      <c r="J33" s="801"/>
      <c r="M33" s="695">
        <v>22</v>
      </c>
      <c r="N33" s="696">
        <v>218.79899599999999</v>
      </c>
      <c r="O33" s="696">
        <v>222.62600710000001</v>
      </c>
      <c r="P33" s="696">
        <v>226.41700739999999</v>
      </c>
      <c r="Q33" s="700">
        <v>223.9129944</v>
      </c>
      <c r="AF33" s="266"/>
      <c r="AG33" s="266"/>
      <c r="AH33" s="266"/>
      <c r="AI33" s="266"/>
      <c r="AJ33" s="266"/>
      <c r="AK33" s="266"/>
      <c r="AL33" s="266"/>
    </row>
    <row r="34" spans="1:38" ht="11.25" customHeight="1">
      <c r="A34" s="75"/>
      <c r="B34" s="82"/>
      <c r="C34" s="82"/>
      <c r="D34" s="82"/>
      <c r="E34" s="82"/>
      <c r="F34" s="82"/>
      <c r="G34" s="82"/>
      <c r="H34" s="82"/>
      <c r="I34" s="56"/>
      <c r="J34" s="801"/>
      <c r="M34" s="695">
        <v>23</v>
      </c>
      <c r="N34" s="696">
        <v>217.8880005</v>
      </c>
      <c r="O34" s="696">
        <v>221.62399289999999</v>
      </c>
      <c r="P34" s="696">
        <v>224.4589996</v>
      </c>
      <c r="Q34" s="700">
        <v>221.64599609999999</v>
      </c>
      <c r="AF34" s="266"/>
      <c r="AG34" s="266"/>
      <c r="AH34" s="266"/>
      <c r="AI34" s="266"/>
      <c r="AJ34" s="266"/>
      <c r="AK34" s="266"/>
      <c r="AL34" s="266"/>
    </row>
    <row r="35" spans="1:38" ht="11.25" customHeight="1">
      <c r="A35" s="75"/>
      <c r="B35" s="82"/>
      <c r="C35" s="82"/>
      <c r="D35" s="82"/>
      <c r="E35" s="82"/>
      <c r="F35" s="82"/>
      <c r="G35" s="82"/>
      <c r="H35" s="82"/>
      <c r="I35" s="168"/>
      <c r="J35" s="801"/>
      <c r="M35" s="695">
        <v>24</v>
      </c>
      <c r="N35" s="696">
        <v>216.04899599999999</v>
      </c>
      <c r="O35" s="696">
        <v>218.3840027</v>
      </c>
      <c r="P35" s="696">
        <v>220.634994506835</v>
      </c>
      <c r="Q35" s="700">
        <v>218.4100037</v>
      </c>
      <c r="AF35" s="266"/>
      <c r="AG35" s="266"/>
      <c r="AH35" s="266"/>
      <c r="AI35" s="266"/>
      <c r="AJ35" s="266"/>
      <c r="AK35" s="266"/>
      <c r="AL35" s="266"/>
    </row>
    <row r="36" spans="1:38" ht="11.25" customHeight="1">
      <c r="A36" s="75"/>
      <c r="B36" s="82"/>
      <c r="C36" s="82"/>
      <c r="D36" s="82"/>
      <c r="E36" s="82"/>
      <c r="F36" s="82"/>
      <c r="G36" s="82"/>
      <c r="H36" s="82"/>
      <c r="I36" s="56"/>
      <c r="J36" s="801"/>
      <c r="M36" s="695">
        <v>25</v>
      </c>
      <c r="N36" s="696">
        <v>212.24600219999999</v>
      </c>
      <c r="O36" s="696">
        <v>215.08099369999999</v>
      </c>
      <c r="P36" s="696">
        <v>218.28599550000001</v>
      </c>
      <c r="Q36" s="700">
        <v>215.33500670000001</v>
      </c>
      <c r="AF36" s="266"/>
      <c r="AG36" s="266"/>
      <c r="AH36" s="266"/>
      <c r="AI36" s="266"/>
      <c r="AJ36" s="266"/>
      <c r="AK36" s="266"/>
      <c r="AL36" s="266"/>
    </row>
    <row r="37" spans="1:38" ht="11.25" customHeight="1">
      <c r="A37" s="75"/>
      <c r="B37" s="82"/>
      <c r="C37" s="82"/>
      <c r="D37" s="82"/>
      <c r="E37" s="82"/>
      <c r="F37" s="82"/>
      <c r="G37" s="82"/>
      <c r="H37" s="82"/>
      <c r="I37" s="56"/>
      <c r="J37" s="802"/>
      <c r="M37" s="695">
        <v>26</v>
      </c>
      <c r="N37" s="696">
        <v>210.22099299999999</v>
      </c>
      <c r="O37" s="696">
        <v>210.41900630000001</v>
      </c>
      <c r="P37" s="696">
        <v>214.90499879999999</v>
      </c>
      <c r="Q37" s="700">
        <v>212.2720032</v>
      </c>
      <c r="AF37" s="266"/>
      <c r="AG37" s="266"/>
      <c r="AH37" s="266"/>
      <c r="AI37" s="266"/>
      <c r="AJ37" s="266"/>
      <c r="AK37" s="266"/>
      <c r="AL37" s="266"/>
    </row>
    <row r="38" spans="1:38" ht="11.25" customHeight="1">
      <c r="A38" s="75"/>
      <c r="B38" s="82"/>
      <c r="C38" s="82"/>
      <c r="D38" s="82"/>
      <c r="E38" s="82"/>
      <c r="F38" s="82"/>
      <c r="G38" s="82"/>
      <c r="H38" s="82"/>
      <c r="I38" s="56"/>
      <c r="J38" s="802"/>
      <c r="M38" s="695">
        <v>27</v>
      </c>
      <c r="N38" s="696">
        <v>209.85200499999999</v>
      </c>
      <c r="O38" s="696">
        <v>204.23</v>
      </c>
      <c r="P38" s="696">
        <v>210.91799926757801</v>
      </c>
      <c r="Q38" s="700">
        <v>209.19900509999999</v>
      </c>
      <c r="AF38" s="266"/>
      <c r="AG38" s="266"/>
      <c r="AH38" s="266"/>
      <c r="AI38" s="266"/>
      <c r="AJ38" s="266"/>
      <c r="AK38" s="266"/>
      <c r="AL38" s="266"/>
    </row>
    <row r="39" spans="1:38" ht="11.25" customHeight="1">
      <c r="A39" s="75"/>
      <c r="B39" s="82"/>
      <c r="C39" s="82"/>
      <c r="D39" s="82"/>
      <c r="E39" s="82"/>
      <c r="F39" s="82"/>
      <c r="G39" s="82"/>
      <c r="H39" s="82"/>
      <c r="I39" s="56"/>
      <c r="J39" s="803"/>
      <c r="M39" s="695">
        <v>28</v>
      </c>
      <c r="N39" s="696">
        <v>203.92900090000001</v>
      </c>
      <c r="O39" s="698">
        <v>201.1309967</v>
      </c>
      <c r="P39" s="698">
        <v>207.96099849999999</v>
      </c>
      <c r="Q39" s="700">
        <v>207.8560028</v>
      </c>
      <c r="AF39" s="266"/>
      <c r="AG39" s="266"/>
      <c r="AH39" s="266"/>
      <c r="AI39" s="266"/>
      <c r="AJ39" s="266"/>
      <c r="AK39" s="266"/>
      <c r="AL39" s="266"/>
    </row>
    <row r="40" spans="1:38" ht="11.25" customHeight="1">
      <c r="A40" s="75"/>
      <c r="B40" s="82"/>
      <c r="C40" s="82"/>
      <c r="D40" s="82"/>
      <c r="E40" s="82"/>
      <c r="F40" s="82"/>
      <c r="G40" s="82"/>
      <c r="H40" s="82"/>
      <c r="I40" s="56"/>
      <c r="J40" s="803"/>
      <c r="M40" s="695">
        <v>29</v>
      </c>
      <c r="N40" s="696">
        <v>200.56300350000001</v>
      </c>
      <c r="O40" s="696">
        <v>196.16000366210901</v>
      </c>
      <c r="P40" s="696">
        <v>205.66700739999999</v>
      </c>
      <c r="Q40" s="700">
        <v>200.68699649999999</v>
      </c>
      <c r="AF40" s="266"/>
      <c r="AG40" s="266"/>
      <c r="AH40" s="266"/>
      <c r="AI40" s="266"/>
      <c r="AJ40" s="266"/>
      <c r="AK40" s="266"/>
      <c r="AL40" s="266"/>
    </row>
    <row r="41" spans="1:38" ht="11.25" customHeight="1">
      <c r="A41" s="75"/>
      <c r="B41" s="82"/>
      <c r="C41" s="82"/>
      <c r="D41" s="82"/>
      <c r="E41" s="82"/>
      <c r="F41" s="82"/>
      <c r="G41" s="82"/>
      <c r="H41" s="82"/>
      <c r="I41" s="56"/>
      <c r="J41" s="803"/>
      <c r="M41" s="695">
        <v>30</v>
      </c>
      <c r="N41" s="696">
        <v>194.94900509999999</v>
      </c>
      <c r="O41" s="696">
        <v>193.86</v>
      </c>
      <c r="P41" s="696">
        <v>197.3999939</v>
      </c>
      <c r="Q41" s="700">
        <v>197.3999939</v>
      </c>
      <c r="AF41" s="266"/>
      <c r="AG41" s="266"/>
      <c r="AH41" s="266"/>
      <c r="AI41" s="266"/>
      <c r="AJ41" s="266"/>
      <c r="AK41" s="266"/>
      <c r="AL41" s="266"/>
    </row>
    <row r="42" spans="1:38" ht="11.25" customHeight="1">
      <c r="A42" s="75"/>
      <c r="B42" s="82"/>
      <c r="C42" s="82"/>
      <c r="D42" s="82"/>
      <c r="E42" s="82"/>
      <c r="F42" s="82"/>
      <c r="G42" s="82"/>
      <c r="H42" s="82"/>
      <c r="I42" s="168"/>
      <c r="J42" s="802"/>
      <c r="M42" s="695">
        <v>31</v>
      </c>
      <c r="N42" s="696">
        <v>188.386</v>
      </c>
      <c r="O42" s="696">
        <v>186.24800110000001</v>
      </c>
      <c r="P42" s="696">
        <v>194.98199460000001</v>
      </c>
      <c r="Q42" s="700">
        <v>193.71000670000001</v>
      </c>
      <c r="AF42" s="266"/>
      <c r="AG42" s="266"/>
      <c r="AH42" s="266"/>
      <c r="AI42" s="266"/>
      <c r="AJ42" s="266"/>
      <c r="AK42" s="266"/>
      <c r="AL42" s="266"/>
    </row>
    <row r="43" spans="1:38" ht="11.25" customHeight="1">
      <c r="A43" s="75"/>
      <c r="B43" s="82"/>
      <c r="C43" s="82"/>
      <c r="D43" s="82"/>
      <c r="E43" s="82"/>
      <c r="F43" s="82"/>
      <c r="G43" s="82"/>
      <c r="H43" s="82"/>
      <c r="I43" s="56"/>
      <c r="J43" s="802"/>
      <c r="M43" s="695">
        <v>32</v>
      </c>
      <c r="N43" s="696">
        <v>184.72900390000001</v>
      </c>
      <c r="O43" s="696">
        <v>182.40899659999999</v>
      </c>
      <c r="P43" s="696">
        <v>190.13999938964801</v>
      </c>
      <c r="Q43" s="277">
        <v>187.46000670000001</v>
      </c>
      <c r="AF43" s="266"/>
      <c r="AG43" s="266"/>
      <c r="AH43" s="266"/>
      <c r="AI43" s="266"/>
      <c r="AJ43" s="266"/>
      <c r="AK43" s="266"/>
      <c r="AL43" s="266"/>
    </row>
    <row r="44" spans="1:38" ht="11.25" customHeight="1">
      <c r="A44" s="75"/>
      <c r="B44" s="82"/>
      <c r="C44" s="82"/>
      <c r="D44" s="82"/>
      <c r="E44" s="82"/>
      <c r="F44" s="82"/>
      <c r="G44" s="82"/>
      <c r="H44" s="82"/>
      <c r="I44" s="56"/>
      <c r="J44" s="802"/>
      <c r="M44" s="695">
        <v>33</v>
      </c>
      <c r="N44" s="696">
        <v>178.8809967</v>
      </c>
      <c r="O44" s="696">
        <v>178.6940002</v>
      </c>
      <c r="P44" s="696">
        <v>186.17300420000001</v>
      </c>
      <c r="Q44" s="277">
        <v>186.17300420000001</v>
      </c>
      <c r="AF44" s="266"/>
      <c r="AG44" s="266"/>
      <c r="AH44" s="266"/>
      <c r="AI44" s="266"/>
      <c r="AJ44" s="266"/>
      <c r="AK44" s="266"/>
      <c r="AL44" s="266"/>
    </row>
    <row r="45" spans="1:38" ht="11.25" customHeight="1">
      <c r="A45" s="75"/>
      <c r="B45" s="82"/>
      <c r="C45" s="82"/>
      <c r="D45" s="82"/>
      <c r="E45" s="82"/>
      <c r="F45" s="82"/>
      <c r="G45" s="82"/>
      <c r="H45" s="82"/>
      <c r="I45" s="59"/>
      <c r="J45" s="804"/>
      <c r="M45" s="695">
        <v>34</v>
      </c>
      <c r="N45" s="696">
        <v>176.98599239999999</v>
      </c>
      <c r="O45" s="696">
        <v>173.61300660000001</v>
      </c>
      <c r="P45" s="696">
        <v>183.14799500000001</v>
      </c>
      <c r="Q45" s="277">
        <v>181.1710052</v>
      </c>
      <c r="AF45" s="266"/>
      <c r="AG45" s="266"/>
      <c r="AH45" s="266"/>
      <c r="AI45" s="266"/>
      <c r="AJ45" s="266"/>
      <c r="AK45" s="266"/>
      <c r="AL45" s="266"/>
    </row>
    <row r="46" spans="1:38" ht="11.25" customHeight="1">
      <c r="A46" s="75"/>
      <c r="B46" s="82"/>
      <c r="C46" s="82"/>
      <c r="D46" s="82"/>
      <c r="E46" s="82"/>
      <c r="F46" s="82"/>
      <c r="G46" s="82"/>
      <c r="H46" s="82"/>
      <c r="I46" s="59"/>
      <c r="J46" s="804"/>
      <c r="M46" s="695">
        <v>35</v>
      </c>
      <c r="N46" s="699">
        <v>173.36999510000001</v>
      </c>
      <c r="O46" s="696">
        <v>170.0189972</v>
      </c>
      <c r="P46" s="696">
        <v>175.24000549316401</v>
      </c>
      <c r="Q46" s="277">
        <v>176.38999939999999</v>
      </c>
      <c r="AF46" s="266"/>
      <c r="AG46" s="266"/>
      <c r="AH46" s="266"/>
      <c r="AI46" s="266"/>
      <c r="AJ46" s="266"/>
      <c r="AK46" s="266"/>
      <c r="AL46" s="266"/>
    </row>
    <row r="47" spans="1:38" ht="11.25" customHeight="1">
      <c r="A47" s="75"/>
      <c r="B47" s="82"/>
      <c r="C47" s="82"/>
      <c r="D47" s="82"/>
      <c r="E47" s="82"/>
      <c r="F47" s="82"/>
      <c r="G47" s="82"/>
      <c r="H47" s="82"/>
      <c r="I47" s="59"/>
      <c r="J47" s="804"/>
      <c r="M47" s="695">
        <v>36</v>
      </c>
      <c r="N47" s="699">
        <v>167.63</v>
      </c>
      <c r="O47" s="696">
        <v>166.0690002</v>
      </c>
      <c r="P47" s="696">
        <v>171.61000061035099</v>
      </c>
      <c r="Q47" s="277">
        <v>173.66999820000001</v>
      </c>
      <c r="AF47" s="266"/>
      <c r="AG47" s="266"/>
      <c r="AH47" s="266"/>
      <c r="AI47" s="266"/>
      <c r="AJ47" s="266"/>
      <c r="AK47" s="266"/>
      <c r="AL47" s="266"/>
    </row>
    <row r="48" spans="1:38" ht="11.25" customHeight="1">
      <c r="A48" s="75"/>
      <c r="B48" s="82"/>
      <c r="C48" s="82"/>
      <c r="D48" s="82"/>
      <c r="E48" s="82"/>
      <c r="F48" s="82"/>
      <c r="G48" s="82"/>
      <c r="H48" s="82"/>
      <c r="I48" s="59"/>
      <c r="J48" s="804"/>
      <c r="M48" s="695">
        <v>37</v>
      </c>
      <c r="N48" s="696">
        <v>162.30700680000001</v>
      </c>
      <c r="O48" s="696">
        <v>159.17399599999999</v>
      </c>
      <c r="P48" s="696">
        <v>167.78999328613199</v>
      </c>
      <c r="Q48" s="277">
        <v>170.7400055</v>
      </c>
      <c r="AF48" s="266"/>
      <c r="AG48" s="266"/>
      <c r="AH48" s="266"/>
      <c r="AI48" s="266"/>
      <c r="AJ48" s="266"/>
      <c r="AK48" s="266"/>
      <c r="AL48" s="266"/>
    </row>
    <row r="49" spans="1:38" ht="11.25" customHeight="1">
      <c r="A49" s="75"/>
      <c r="B49" s="82"/>
      <c r="C49" s="82"/>
      <c r="D49" s="82"/>
      <c r="E49" s="82"/>
      <c r="F49" s="82"/>
      <c r="G49" s="82"/>
      <c r="H49" s="82"/>
      <c r="I49" s="59"/>
      <c r="J49" s="804"/>
      <c r="M49" s="695">
        <v>38</v>
      </c>
      <c r="N49" s="696">
        <v>159.02699279999999</v>
      </c>
      <c r="O49" s="696">
        <v>157.84</v>
      </c>
      <c r="P49" s="696">
        <v>170.03999328613199</v>
      </c>
      <c r="Q49" s="277">
        <v>167.64599609999999</v>
      </c>
      <c r="AF49" s="266"/>
      <c r="AG49" s="266"/>
      <c r="AH49" s="266"/>
      <c r="AI49" s="266"/>
      <c r="AJ49" s="266"/>
      <c r="AK49" s="266"/>
      <c r="AL49" s="266"/>
    </row>
    <row r="50" spans="1:38" ht="13.2">
      <c r="A50" s="75"/>
      <c r="B50" s="82"/>
      <c r="C50" s="82"/>
      <c r="D50" s="82"/>
      <c r="E50" s="82"/>
      <c r="F50" s="82"/>
      <c r="G50" s="82"/>
      <c r="H50" s="82"/>
      <c r="I50" s="59"/>
      <c r="J50" s="804"/>
      <c r="M50" s="695">
        <v>39</v>
      </c>
      <c r="N50" s="696">
        <v>153.61700440000001</v>
      </c>
      <c r="O50" s="696">
        <v>156.28199768066401</v>
      </c>
      <c r="P50" s="696">
        <v>159.69</v>
      </c>
      <c r="Q50" s="277">
        <v>157.6900024</v>
      </c>
      <c r="AF50" s="266"/>
      <c r="AG50" s="266"/>
      <c r="AH50" s="266"/>
      <c r="AI50" s="266"/>
      <c r="AJ50" s="266"/>
      <c r="AK50" s="266"/>
      <c r="AL50" s="266"/>
    </row>
    <row r="51" spans="1:38" ht="10.5" customHeight="1">
      <c r="A51" s="75"/>
      <c r="B51" s="82"/>
      <c r="C51" s="82"/>
      <c r="D51" s="82"/>
      <c r="E51" s="82"/>
      <c r="F51" s="82"/>
      <c r="G51" s="82"/>
      <c r="H51" s="82"/>
      <c r="I51" s="59"/>
      <c r="J51" s="804"/>
      <c r="M51" s="695">
        <v>40</v>
      </c>
      <c r="N51" s="696">
        <v>151.72999569999999</v>
      </c>
      <c r="O51" s="696">
        <v>148.3529968</v>
      </c>
      <c r="P51" s="696">
        <v>150.2969971</v>
      </c>
      <c r="Q51" s="277">
        <v>154.1900024</v>
      </c>
      <c r="AF51" s="266"/>
      <c r="AG51" s="266"/>
      <c r="AH51" s="266"/>
      <c r="AI51" s="266"/>
      <c r="AJ51" s="266"/>
      <c r="AK51" s="266"/>
      <c r="AL51" s="266"/>
    </row>
    <row r="52" spans="1:38" ht="13.2">
      <c r="A52" s="75"/>
      <c r="B52" s="82"/>
      <c r="C52" s="82"/>
      <c r="D52" s="82"/>
      <c r="E52" s="82"/>
      <c r="F52" s="82"/>
      <c r="G52" s="82"/>
      <c r="H52" s="82"/>
      <c r="I52" s="59"/>
      <c r="J52" s="804"/>
      <c r="M52" s="695">
        <v>41</v>
      </c>
      <c r="N52" s="696">
        <v>147.996002197265</v>
      </c>
      <c r="O52" s="696">
        <v>151.04400630000001</v>
      </c>
      <c r="P52" s="696">
        <v>146.7689972</v>
      </c>
      <c r="Q52" s="277">
        <v>148.9620056</v>
      </c>
      <c r="AF52" s="266"/>
      <c r="AG52" s="266"/>
      <c r="AH52" s="266"/>
      <c r="AI52" s="266"/>
      <c r="AJ52" s="266"/>
      <c r="AK52" s="266"/>
      <c r="AL52" s="266"/>
    </row>
    <row r="53" spans="1:38" ht="13.2">
      <c r="A53" s="75"/>
      <c r="B53" s="82"/>
      <c r="C53" s="82"/>
      <c r="D53" s="82"/>
      <c r="E53" s="82"/>
      <c r="F53" s="82"/>
      <c r="G53" s="82"/>
      <c r="H53" s="82"/>
      <c r="I53" s="59"/>
      <c r="J53" s="804"/>
      <c r="M53" s="695">
        <v>42</v>
      </c>
      <c r="N53" s="696">
        <v>144.53999328613199</v>
      </c>
      <c r="O53" s="696">
        <v>146.53</v>
      </c>
      <c r="P53" s="696">
        <v>142.69900512695301</v>
      </c>
      <c r="Q53" s="277">
        <v>144.58599849999999</v>
      </c>
      <c r="AF53" s="266"/>
      <c r="AG53" s="266"/>
      <c r="AH53" s="266"/>
      <c r="AI53" s="266"/>
      <c r="AJ53" s="266"/>
      <c r="AK53" s="266"/>
      <c r="AL53" s="266"/>
    </row>
    <row r="54" spans="1:38" ht="13.2">
      <c r="A54" s="75"/>
      <c r="B54" s="82"/>
      <c r="C54" s="82"/>
      <c r="D54" s="82"/>
      <c r="E54" s="82"/>
      <c r="F54" s="82"/>
      <c r="G54" s="82"/>
      <c r="H54" s="82"/>
      <c r="I54" s="59"/>
      <c r="J54" s="804"/>
      <c r="M54" s="695">
        <v>43</v>
      </c>
      <c r="N54" s="696">
        <v>143.72300720214801</v>
      </c>
      <c r="O54" s="696">
        <v>137.7400055</v>
      </c>
      <c r="P54" s="696">
        <v>135.75</v>
      </c>
      <c r="Q54" s="277">
        <v>140.38000489999999</v>
      </c>
      <c r="AF54" s="266"/>
      <c r="AG54" s="266"/>
      <c r="AH54" s="266"/>
      <c r="AI54" s="266"/>
      <c r="AJ54" s="266"/>
      <c r="AK54" s="266"/>
      <c r="AL54" s="266"/>
    </row>
    <row r="55" spans="1:38" ht="13.2">
      <c r="A55" s="75"/>
      <c r="B55" s="82"/>
      <c r="C55" s="82"/>
      <c r="D55" s="82"/>
      <c r="E55" s="82"/>
      <c r="F55" s="82"/>
      <c r="G55" s="82"/>
      <c r="H55" s="82"/>
      <c r="I55" s="59"/>
      <c r="J55" s="804"/>
      <c r="M55" s="695">
        <v>44</v>
      </c>
      <c r="N55" s="696">
        <v>142.33900449999999</v>
      </c>
      <c r="O55" s="696">
        <v>133.1380005</v>
      </c>
      <c r="P55" s="696">
        <v>130.27000430000001</v>
      </c>
      <c r="Q55" s="277">
        <v>133.1060028</v>
      </c>
      <c r="AF55" s="266"/>
      <c r="AG55" s="266"/>
      <c r="AH55" s="266"/>
      <c r="AI55" s="266"/>
      <c r="AJ55" s="266"/>
      <c r="AK55" s="266"/>
      <c r="AL55" s="266"/>
    </row>
    <row r="56" spans="1:38" ht="13.2">
      <c r="A56" s="75"/>
      <c r="B56" s="82"/>
      <c r="C56" s="82"/>
      <c r="D56" s="82"/>
      <c r="E56" s="82"/>
      <c r="F56" s="82"/>
      <c r="G56" s="82"/>
      <c r="H56" s="82"/>
      <c r="I56" s="59"/>
      <c r="J56" s="804"/>
      <c r="M56" s="695">
        <v>45</v>
      </c>
      <c r="N56" s="696">
        <v>143.13200380000001</v>
      </c>
      <c r="O56" s="696">
        <v>125.7330017</v>
      </c>
      <c r="P56" s="696">
        <v>124.5780029</v>
      </c>
      <c r="Q56" s="277">
        <v>128.5500031</v>
      </c>
      <c r="AF56" s="266"/>
      <c r="AG56" s="266"/>
      <c r="AH56" s="266"/>
      <c r="AI56" s="266"/>
      <c r="AJ56" s="266"/>
      <c r="AK56" s="266"/>
      <c r="AL56" s="266"/>
    </row>
    <row r="57" spans="1:38" ht="13.2">
      <c r="A57" s="75"/>
      <c r="B57" s="82"/>
      <c r="C57" s="82"/>
      <c r="D57" s="82"/>
      <c r="E57" s="82"/>
      <c r="F57" s="82"/>
      <c r="G57" s="82"/>
      <c r="H57" s="82"/>
      <c r="M57" s="695">
        <v>46</v>
      </c>
      <c r="N57" s="696">
        <v>141.37</v>
      </c>
      <c r="O57" s="696">
        <v>125.2030029</v>
      </c>
      <c r="P57" s="696">
        <v>120.7269974</v>
      </c>
      <c r="Q57" s="277">
        <v>123.4499969</v>
      </c>
      <c r="AF57" s="266"/>
      <c r="AG57" s="266"/>
      <c r="AH57" s="266"/>
      <c r="AI57" s="266"/>
      <c r="AJ57" s="266"/>
      <c r="AK57" s="266"/>
      <c r="AL57" s="266"/>
    </row>
    <row r="58" spans="1:38" ht="13.2">
      <c r="A58" s="75"/>
      <c r="B58" s="82"/>
      <c r="C58" s="82"/>
      <c r="D58" s="82"/>
      <c r="E58" s="82"/>
      <c r="F58" s="82"/>
      <c r="G58" s="82"/>
      <c r="H58" s="82"/>
      <c r="M58" s="695">
        <v>47</v>
      </c>
      <c r="N58" s="696">
        <v>140.33900449999999</v>
      </c>
      <c r="O58" s="696">
        <v>120.5130005</v>
      </c>
      <c r="P58" s="696">
        <v>113.7900009</v>
      </c>
      <c r="Q58" s="277">
        <v>121.12899779999999</v>
      </c>
      <c r="AF58" s="266"/>
      <c r="AG58" s="266"/>
      <c r="AH58" s="266"/>
      <c r="AI58" s="266"/>
      <c r="AJ58" s="266"/>
      <c r="AK58" s="266"/>
      <c r="AL58" s="266"/>
    </row>
    <row r="59" spans="1:38" ht="13.2">
      <c r="A59" s="263" t="s">
        <v>492</v>
      </c>
      <c r="B59" s="82"/>
      <c r="C59" s="82"/>
      <c r="D59" s="82"/>
      <c r="E59" s="82"/>
      <c r="F59" s="82"/>
      <c r="G59" s="82"/>
      <c r="H59" s="82"/>
      <c r="M59" s="695">
        <v>48</v>
      </c>
      <c r="N59" s="696">
        <v>137.8150024</v>
      </c>
      <c r="O59" s="696">
        <v>119.3089981</v>
      </c>
      <c r="P59" s="696">
        <v>104.1470032</v>
      </c>
      <c r="Q59" s="277">
        <v>122.5419998</v>
      </c>
      <c r="AF59" s="266"/>
      <c r="AG59" s="266"/>
      <c r="AH59" s="266"/>
      <c r="AI59" s="266"/>
      <c r="AJ59" s="266"/>
      <c r="AK59" s="266"/>
      <c r="AL59" s="266"/>
    </row>
    <row r="60" spans="1:38" ht="13.2">
      <c r="A60" s="54"/>
      <c r="B60" s="82"/>
      <c r="C60" s="82"/>
      <c r="D60" s="82"/>
      <c r="E60" s="82"/>
      <c r="F60" s="82"/>
      <c r="G60" s="82"/>
      <c r="H60" s="82"/>
      <c r="M60" s="695">
        <v>49</v>
      </c>
      <c r="N60" s="696">
        <v>129.0279999</v>
      </c>
      <c r="O60" s="696">
        <v>119.33200069999999</v>
      </c>
      <c r="P60" s="696">
        <v>104.8560028</v>
      </c>
      <c r="Q60" s="277">
        <v>129.1600037</v>
      </c>
      <c r="AF60" s="266"/>
      <c r="AG60" s="266"/>
      <c r="AH60" s="266"/>
      <c r="AI60" s="266"/>
      <c r="AJ60" s="266"/>
      <c r="AK60" s="266"/>
      <c r="AL60" s="266"/>
    </row>
    <row r="61" spans="1:38" ht="10.8">
      <c r="M61" s="695">
        <v>50</v>
      </c>
      <c r="N61" s="696">
        <v>129.30000000000001</v>
      </c>
      <c r="O61" s="696">
        <v>135.91499329999999</v>
      </c>
      <c r="P61" s="696">
        <v>105.70500180000001</v>
      </c>
      <c r="Q61" s="277">
        <v>131.85099790000001</v>
      </c>
      <c r="AD61" s="298"/>
      <c r="AE61" s="298"/>
      <c r="AF61" s="216"/>
      <c r="AG61" s="216"/>
      <c r="AH61" s="216"/>
      <c r="AI61" s="216"/>
      <c r="AJ61" s="216"/>
      <c r="AK61" s="216"/>
      <c r="AL61" s="216"/>
    </row>
    <row r="62" spans="1:38" ht="10.8">
      <c r="M62" s="695">
        <v>51</v>
      </c>
      <c r="N62" s="696">
        <v>129</v>
      </c>
      <c r="O62" s="696">
        <v>131.21000670000001</v>
      </c>
      <c r="P62" s="696">
        <v>110.41200259999999</v>
      </c>
      <c r="Q62" s="277">
        <v>128.24499510000001</v>
      </c>
      <c r="AD62" s="298"/>
      <c r="AE62" s="298"/>
      <c r="AF62" s="216"/>
      <c r="AG62" s="216"/>
      <c r="AH62" s="216"/>
      <c r="AI62" s="216"/>
      <c r="AJ62" s="216"/>
      <c r="AK62" s="216"/>
      <c r="AL62" s="216"/>
    </row>
    <row r="63" spans="1:38" ht="10.8">
      <c r="M63" s="695">
        <v>52</v>
      </c>
      <c r="N63" s="696">
        <v>130.4810028</v>
      </c>
      <c r="O63" s="696">
        <v>139.86399840000001</v>
      </c>
      <c r="P63" s="696">
        <v>119.1200027</v>
      </c>
      <c r="Q63" s="277">
        <v>127.295997619628</v>
      </c>
      <c r="AD63" s="298"/>
      <c r="AE63" s="298"/>
      <c r="AF63" s="216"/>
      <c r="AG63" s="216"/>
      <c r="AH63" s="216"/>
      <c r="AI63" s="216"/>
      <c r="AJ63" s="216"/>
      <c r="AK63" s="216"/>
      <c r="AL63" s="216"/>
    </row>
    <row r="64" spans="1:38" ht="10.8">
      <c r="M64" s="695">
        <v>53</v>
      </c>
      <c r="N64" s="696"/>
      <c r="O64" s="696">
        <v>146.8090057</v>
      </c>
      <c r="P64" s="701"/>
      <c r="AD64" s="298"/>
      <c r="AE64" s="298"/>
      <c r="AF64" s="216"/>
      <c r="AG64" s="216"/>
      <c r="AH64" s="216"/>
      <c r="AI64" s="216"/>
      <c r="AJ64" s="216"/>
      <c r="AK64" s="216"/>
      <c r="AL64" s="216"/>
    </row>
    <row r="65" spans="13:38">
      <c r="M65" s="278"/>
      <c r="N65" s="278"/>
      <c r="O65" s="278"/>
      <c r="P65" s="278"/>
      <c r="Q65" s="278"/>
      <c r="R65" s="278"/>
      <c r="S65" s="278"/>
      <c r="T65" s="278"/>
      <c r="AD65" s="298"/>
      <c r="AE65" s="298"/>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F52" sqref="F52"/>
    </sheetView>
  </sheetViews>
  <sheetFormatPr baseColWidth="10" defaultColWidth="9.28515625" defaultRowHeight="10.199999999999999"/>
  <cols>
    <col min="10" max="11" width="9.28515625" customWidth="1"/>
    <col min="13" max="13" width="9.28515625" style="509"/>
    <col min="14" max="24" width="9.28515625" style="278"/>
    <col min="25" max="31" width="9.28515625" style="751"/>
  </cols>
  <sheetData>
    <row r="1" spans="1:23" ht="11.25" customHeight="1"/>
    <row r="2" spans="1:23" ht="11.25" customHeight="1">
      <c r="A2" s="289"/>
      <c r="B2" s="295"/>
      <c r="C2" s="295"/>
      <c r="D2" s="295"/>
      <c r="E2" s="295"/>
      <c r="F2" s="295"/>
      <c r="G2" s="296"/>
      <c r="H2" s="29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93" t="s">
        <v>258</v>
      </c>
      <c r="T4" s="806" t="s">
        <v>259</v>
      </c>
    </row>
    <row r="5" spans="1:23" ht="11.25" customHeight="1">
      <c r="A5" s="896"/>
      <c r="B5" s="896"/>
      <c r="C5" s="896"/>
      <c r="D5" s="896"/>
      <c r="E5" s="896"/>
      <c r="F5" s="896"/>
      <c r="G5" s="896"/>
      <c r="H5" s="896"/>
      <c r="I5" s="896"/>
      <c r="J5" s="12"/>
      <c r="K5" s="12"/>
      <c r="L5" s="8"/>
      <c r="O5" s="694">
        <v>2018</v>
      </c>
      <c r="P5" s="694">
        <v>2019</v>
      </c>
      <c r="Q5" s="694">
        <v>2020</v>
      </c>
      <c r="R5" s="694">
        <v>2021</v>
      </c>
      <c r="T5" s="694">
        <v>2018</v>
      </c>
      <c r="U5" s="694">
        <v>2019</v>
      </c>
      <c r="V5" s="694">
        <v>2020</v>
      </c>
      <c r="W5" s="694">
        <v>2021</v>
      </c>
    </row>
    <row r="6" spans="1:23" ht="11.25" customHeight="1">
      <c r="A6" s="17"/>
      <c r="B6" s="159"/>
      <c r="C6" s="68"/>
      <c r="D6" s="69"/>
      <c r="E6" s="69"/>
      <c r="F6" s="70"/>
      <c r="G6" s="66"/>
      <c r="H6" s="66"/>
      <c r="I6" s="71"/>
      <c r="J6" s="12"/>
      <c r="K6" s="12"/>
      <c r="L6" s="5"/>
      <c r="N6" s="695">
        <v>1</v>
      </c>
      <c r="O6" s="696">
        <v>34.76</v>
      </c>
      <c r="P6" s="696">
        <v>71.125</v>
      </c>
      <c r="Q6" s="807">
        <v>133.42999267578099</v>
      </c>
      <c r="R6" s="808">
        <v>78.003997799999993</v>
      </c>
      <c r="S6" s="695">
        <v>1</v>
      </c>
      <c r="T6" s="696">
        <v>210.20000000000002</v>
      </c>
      <c r="U6" s="696">
        <v>190.20000426299998</v>
      </c>
      <c r="V6" s="807">
        <v>186.65300035476668</v>
      </c>
      <c r="W6" s="808">
        <v>222.16899967999998</v>
      </c>
    </row>
    <row r="7" spans="1:23" ht="11.25" customHeight="1">
      <c r="A7" s="17"/>
      <c r="B7" s="897"/>
      <c r="C7" s="897"/>
      <c r="D7" s="160"/>
      <c r="E7" s="160"/>
      <c r="F7" s="70"/>
      <c r="G7" s="66"/>
      <c r="H7" s="66"/>
      <c r="I7" s="71"/>
      <c r="J7" s="3"/>
      <c r="K7" s="3"/>
      <c r="L7" s="15"/>
      <c r="N7" s="695">
        <v>2</v>
      </c>
      <c r="O7" s="696">
        <v>47.749000549999998</v>
      </c>
      <c r="P7" s="696">
        <v>79.228996280000004</v>
      </c>
      <c r="Q7" s="807">
        <v>141.27299500000001</v>
      </c>
      <c r="R7" s="808">
        <v>98.037002560000005</v>
      </c>
      <c r="S7" s="695">
        <v>2</v>
      </c>
      <c r="T7" s="696">
        <v>216.70300435500002</v>
      </c>
      <c r="U7" s="696">
        <v>185.80498987600001</v>
      </c>
      <c r="V7" s="807">
        <v>194.494995117</v>
      </c>
      <c r="W7" s="808">
        <v>243.88599584999997</v>
      </c>
    </row>
    <row r="8" spans="1:23" ht="11.25" customHeight="1">
      <c r="A8" s="17"/>
      <c r="B8" s="161"/>
      <c r="C8" s="39"/>
      <c r="D8" s="162"/>
      <c r="E8" s="162"/>
      <c r="F8" s="70"/>
      <c r="G8" s="66"/>
      <c r="H8" s="66"/>
      <c r="I8" s="71"/>
      <c r="J8" s="4"/>
      <c r="K8" s="4"/>
      <c r="L8" s="12"/>
      <c r="N8" s="695">
        <v>3</v>
      </c>
      <c r="O8" s="696">
        <v>67.130996699999997</v>
      </c>
      <c r="P8" s="696">
        <v>106.65</v>
      </c>
      <c r="Q8" s="807">
        <v>151.56199649999999</v>
      </c>
      <c r="R8" s="808">
        <v>137.10699460000001</v>
      </c>
      <c r="S8" s="695">
        <v>3</v>
      </c>
      <c r="T8" s="696">
        <v>232.83600043999999</v>
      </c>
      <c r="U8" s="696">
        <v>190.06000000000003</v>
      </c>
      <c r="V8" s="807">
        <v>212.15300178999999</v>
      </c>
      <c r="W8" s="808">
        <v>260.96799851000003</v>
      </c>
    </row>
    <row r="9" spans="1:23" ht="11.25" customHeight="1">
      <c r="A9" s="17"/>
      <c r="B9" s="161"/>
      <c r="C9" s="39"/>
      <c r="D9" s="162"/>
      <c r="E9" s="162"/>
      <c r="F9" s="70"/>
      <c r="G9" s="66"/>
      <c r="H9" s="66"/>
      <c r="I9" s="71"/>
      <c r="J9" s="3"/>
      <c r="K9" s="6"/>
      <c r="L9" s="15"/>
      <c r="N9" s="695">
        <v>4</v>
      </c>
      <c r="O9" s="696">
        <v>93.789001459999994</v>
      </c>
      <c r="P9" s="696">
        <v>140.34500120000001</v>
      </c>
      <c r="Q9" s="807">
        <v>167.9100037</v>
      </c>
      <c r="R9" s="808">
        <v>187.18600459999999</v>
      </c>
      <c r="S9" s="695">
        <v>4</v>
      </c>
      <c r="T9" s="696">
        <v>271.78000545999998</v>
      </c>
      <c r="U9" s="696">
        <v>198.06799936900001</v>
      </c>
      <c r="V9" s="807">
        <v>213.71899984999999</v>
      </c>
      <c r="W9" s="808">
        <v>282.90399740999999</v>
      </c>
    </row>
    <row r="10" spans="1:23" ht="11.25" customHeight="1">
      <c r="A10" s="17"/>
      <c r="B10" s="161"/>
      <c r="C10" s="39"/>
      <c r="D10" s="162"/>
      <c r="E10" s="162"/>
      <c r="F10" s="70"/>
      <c r="G10" s="66"/>
      <c r="H10" s="66"/>
      <c r="I10" s="71"/>
      <c r="J10" s="3"/>
      <c r="K10" s="3"/>
      <c r="L10" s="15"/>
      <c r="N10" s="695">
        <v>5</v>
      </c>
      <c r="O10" s="696">
        <v>111.01599880000001</v>
      </c>
      <c r="P10" s="696">
        <v>186.18299870000001</v>
      </c>
      <c r="Q10" s="807">
        <v>209.06850435244098</v>
      </c>
      <c r="R10" s="808">
        <v>240.25399780000001</v>
      </c>
      <c r="S10" s="695">
        <v>5</v>
      </c>
      <c r="T10" s="696">
        <v>269.07999802</v>
      </c>
      <c r="U10" s="696">
        <v>217.55805158600003</v>
      </c>
      <c r="V10" s="807">
        <v>219.56099320000001</v>
      </c>
      <c r="W10" s="808">
        <v>283.46798616000001</v>
      </c>
    </row>
    <row r="11" spans="1:23" ht="11.25" customHeight="1">
      <c r="A11" s="17"/>
      <c r="B11" s="162"/>
      <c r="C11" s="39"/>
      <c r="D11" s="162"/>
      <c r="E11" s="162"/>
      <c r="F11" s="70"/>
      <c r="G11" s="66"/>
      <c r="H11" s="66"/>
      <c r="I11" s="71"/>
      <c r="J11" s="3"/>
      <c r="K11" s="3"/>
      <c r="L11" s="15"/>
      <c r="N11" s="695">
        <v>6</v>
      </c>
      <c r="O11" s="696">
        <v>126.6029968</v>
      </c>
      <c r="P11" s="696">
        <v>222.22</v>
      </c>
      <c r="Q11" s="807">
        <v>250.22700500488199</v>
      </c>
      <c r="R11" s="808">
        <v>285.57900999999998</v>
      </c>
      <c r="S11" s="695">
        <v>6</v>
      </c>
      <c r="T11" s="696">
        <v>273.52000047000001</v>
      </c>
      <c r="U11" s="696">
        <v>279.10000000000002</v>
      </c>
      <c r="V11" s="807">
        <v>285.12099838256813</v>
      </c>
      <c r="W11" s="808">
        <v>323.49900059000004</v>
      </c>
    </row>
    <row r="12" spans="1:23" ht="11.25" customHeight="1">
      <c r="A12" s="17"/>
      <c r="B12" s="162"/>
      <c r="C12" s="39"/>
      <c r="D12" s="162"/>
      <c r="E12" s="162"/>
      <c r="F12" s="70"/>
      <c r="G12" s="66"/>
      <c r="H12" s="66"/>
      <c r="I12" s="71"/>
      <c r="J12" s="3"/>
      <c r="K12" s="3"/>
      <c r="L12" s="15"/>
      <c r="N12" s="695">
        <v>7</v>
      </c>
      <c r="O12" s="696">
        <v>135.7250061</v>
      </c>
      <c r="P12" s="696">
        <v>277.02099609999999</v>
      </c>
      <c r="Q12" s="807">
        <v>274.18798829999997</v>
      </c>
      <c r="R12" s="808">
        <v>286.72699999999998</v>
      </c>
      <c r="S12" s="695">
        <v>7</v>
      </c>
      <c r="T12" s="696">
        <v>302.63299941999998</v>
      </c>
      <c r="U12" s="696">
        <v>338.21854399</v>
      </c>
      <c r="V12" s="807">
        <v>329.34199910000001</v>
      </c>
      <c r="W12" s="808">
        <v>323.53270380002277</v>
      </c>
    </row>
    <row r="13" spans="1:23" ht="11.25" customHeight="1">
      <c r="A13" s="17"/>
      <c r="B13" s="162"/>
      <c r="C13" s="39"/>
      <c r="D13" s="162"/>
      <c r="E13" s="162"/>
      <c r="F13" s="70"/>
      <c r="G13" s="66"/>
      <c r="H13" s="66"/>
      <c r="I13" s="71"/>
      <c r="J13" s="4"/>
      <c r="K13" s="4"/>
      <c r="L13" s="12"/>
      <c r="N13" s="695">
        <v>8</v>
      </c>
      <c r="O13" s="696">
        <v>159.2149963</v>
      </c>
      <c r="P13" s="696">
        <v>293.06698610000001</v>
      </c>
      <c r="Q13" s="807">
        <v>291.3330078125</v>
      </c>
      <c r="R13" s="808">
        <v>276.42099999999999</v>
      </c>
      <c r="S13" s="695">
        <v>8</v>
      </c>
      <c r="T13" s="696">
        <v>328.23703</v>
      </c>
      <c r="U13" s="696">
        <v>388.64800643000001</v>
      </c>
      <c r="V13" s="807">
        <v>352.60932731628355</v>
      </c>
      <c r="W13" s="808">
        <v>320.11500000000001</v>
      </c>
    </row>
    <row r="14" spans="1:23" ht="11.25" customHeight="1">
      <c r="A14" s="17"/>
      <c r="B14" s="162"/>
      <c r="C14" s="39"/>
      <c r="D14" s="162"/>
      <c r="E14" s="162"/>
      <c r="F14" s="70"/>
      <c r="G14" s="66"/>
      <c r="H14" s="66"/>
      <c r="I14" s="71"/>
      <c r="J14" s="3"/>
      <c r="K14" s="6"/>
      <c r="L14" s="15"/>
      <c r="N14" s="695">
        <v>9</v>
      </c>
      <c r="O14" s="696">
        <v>186.18299870000001</v>
      </c>
      <c r="P14" s="696">
        <v>294.29501340000002</v>
      </c>
      <c r="Q14" s="807">
        <v>281.57400510000002</v>
      </c>
      <c r="R14" s="808">
        <v>271.92898559570301</v>
      </c>
      <c r="S14" s="695">
        <v>9</v>
      </c>
      <c r="T14" s="696">
        <v>343.54049999999995</v>
      </c>
      <c r="U14" s="696">
        <v>377.13099283000003</v>
      </c>
      <c r="V14" s="807">
        <v>377.95000650999998</v>
      </c>
      <c r="W14" s="808">
        <v>323.68899917602516</v>
      </c>
    </row>
    <row r="15" spans="1:23" ht="11.25" customHeight="1">
      <c r="A15" s="17"/>
      <c r="B15" s="162"/>
      <c r="C15" s="39"/>
      <c r="D15" s="162"/>
      <c r="E15" s="162"/>
      <c r="F15" s="70"/>
      <c r="G15" s="66"/>
      <c r="H15" s="66"/>
      <c r="I15" s="71"/>
      <c r="J15" s="3"/>
      <c r="K15" s="6"/>
      <c r="L15" s="15"/>
      <c r="N15" s="695">
        <v>10</v>
      </c>
      <c r="O15" s="696">
        <v>203.96099849999999</v>
      </c>
      <c r="P15" s="696">
        <v>291.91101070000002</v>
      </c>
      <c r="Q15" s="807">
        <v>277.58898929999998</v>
      </c>
      <c r="R15" s="808">
        <v>283.85998540000003</v>
      </c>
      <c r="S15" s="695">
        <v>10</v>
      </c>
      <c r="T15" s="696">
        <v>371.29100467000001</v>
      </c>
      <c r="U15" s="696">
        <v>385.62499995999997</v>
      </c>
      <c r="V15" s="807">
        <v>383.25900259000002</v>
      </c>
      <c r="W15" s="808">
        <v>329.89599799999996</v>
      </c>
    </row>
    <row r="16" spans="1:23" ht="11.25" customHeight="1">
      <c r="A16" s="17"/>
      <c r="B16" s="162"/>
      <c r="C16" s="39"/>
      <c r="D16" s="162"/>
      <c r="E16" s="162"/>
      <c r="F16" s="70"/>
      <c r="G16" s="66"/>
      <c r="H16" s="66"/>
      <c r="I16" s="71"/>
      <c r="J16" s="3"/>
      <c r="K16" s="6"/>
      <c r="L16" s="15"/>
      <c r="N16" s="695">
        <v>11</v>
      </c>
      <c r="O16" s="696">
        <v>230.18899540000001</v>
      </c>
      <c r="P16" s="696">
        <v>301.204986572265</v>
      </c>
      <c r="Q16" s="807">
        <v>288.4509888</v>
      </c>
      <c r="R16" s="697">
        <v>297.12600709999998</v>
      </c>
      <c r="S16" s="695">
        <v>11</v>
      </c>
      <c r="T16" s="696">
        <v>390.38299555999998</v>
      </c>
      <c r="U16" s="696">
        <v>389.38100242614604</v>
      </c>
      <c r="V16" s="807">
        <v>394.92200288000009</v>
      </c>
      <c r="W16" s="808">
        <v>345.04400820999996</v>
      </c>
    </row>
    <row r="17" spans="1:23" ht="11.25" customHeight="1">
      <c r="A17" s="17"/>
      <c r="B17" s="162"/>
      <c r="C17" s="39"/>
      <c r="D17" s="162"/>
      <c r="E17" s="162"/>
      <c r="F17" s="70"/>
      <c r="G17" s="66"/>
      <c r="H17" s="66"/>
      <c r="I17" s="71"/>
      <c r="J17" s="3"/>
      <c r="K17" s="6"/>
      <c r="L17" s="15"/>
      <c r="N17" s="695">
        <v>12</v>
      </c>
      <c r="O17" s="696">
        <v>282.71701050000001</v>
      </c>
      <c r="P17" s="696">
        <v>310.0090027</v>
      </c>
      <c r="Q17" s="807">
        <v>295.38400268554602</v>
      </c>
      <c r="R17" s="697">
        <v>303.54400629999998</v>
      </c>
      <c r="S17" s="695">
        <v>12</v>
      </c>
      <c r="T17" s="696">
        <v>412.41217171999995</v>
      </c>
      <c r="U17" s="696">
        <v>386.27799791999996</v>
      </c>
      <c r="V17" s="807">
        <v>390.290998458861</v>
      </c>
      <c r="W17" s="808">
        <v>376.08100894</v>
      </c>
    </row>
    <row r="18" spans="1:23" ht="11.25" customHeight="1">
      <c r="A18" s="17"/>
      <c r="B18" s="162"/>
      <c r="C18" s="39"/>
      <c r="D18" s="162"/>
      <c r="E18" s="162"/>
      <c r="F18" s="70"/>
      <c r="G18" s="66"/>
      <c r="H18" s="66"/>
      <c r="I18" s="71"/>
      <c r="J18" s="3"/>
      <c r="K18" s="6"/>
      <c r="L18" s="15"/>
      <c r="N18" s="695">
        <v>13</v>
      </c>
      <c r="O18" s="696">
        <v>329.68899540000001</v>
      </c>
      <c r="P18" s="696">
        <v>333.91799930000002</v>
      </c>
      <c r="Q18" s="807">
        <v>303.54400634765602</v>
      </c>
      <c r="R18" s="697">
        <v>310.60000609999997</v>
      </c>
      <c r="S18" s="695">
        <v>13</v>
      </c>
      <c r="T18" s="696">
        <v>410.83199501000001</v>
      </c>
      <c r="U18" s="696">
        <v>388.98099517000003</v>
      </c>
      <c r="V18" s="807">
        <v>402.17499160766499</v>
      </c>
      <c r="W18" s="808">
        <v>390.74499132000005</v>
      </c>
    </row>
    <row r="19" spans="1:23" ht="11.25" customHeight="1">
      <c r="A19" s="17"/>
      <c r="B19" s="162"/>
      <c r="C19" s="39"/>
      <c r="D19" s="162"/>
      <c r="E19" s="162"/>
      <c r="F19" s="70"/>
      <c r="G19" s="66"/>
      <c r="H19" s="66"/>
      <c r="I19" s="71"/>
      <c r="J19" s="3"/>
      <c r="K19" s="6"/>
      <c r="L19" s="15"/>
      <c r="N19" s="695">
        <v>14</v>
      </c>
      <c r="O19" s="696">
        <v>329.68899540000001</v>
      </c>
      <c r="P19" s="696">
        <v>335.73699950000002</v>
      </c>
      <c r="Q19" s="807">
        <v>296.54501340000002</v>
      </c>
      <c r="R19" s="277">
        <v>310.60000609999997</v>
      </c>
      <c r="S19" s="695">
        <v>14</v>
      </c>
      <c r="T19" s="696">
        <v>403.70400233999999</v>
      </c>
      <c r="U19" s="696">
        <v>393.36499596000004</v>
      </c>
      <c r="V19" s="807">
        <v>398.93495940999998</v>
      </c>
      <c r="W19" s="278">
        <v>396.33900255999993</v>
      </c>
    </row>
    <row r="20" spans="1:23" ht="11.25" customHeight="1">
      <c r="A20" s="17"/>
      <c r="B20" s="162"/>
      <c r="C20" s="39"/>
      <c r="D20" s="162"/>
      <c r="E20" s="162"/>
      <c r="F20" s="70"/>
      <c r="G20" s="66"/>
      <c r="H20" s="66"/>
      <c r="I20" s="71"/>
      <c r="J20" s="3"/>
      <c r="K20" s="6"/>
      <c r="L20" s="15"/>
      <c r="N20" s="695">
        <v>15</v>
      </c>
      <c r="O20" s="696">
        <v>326.67999270000001</v>
      </c>
      <c r="P20" s="696">
        <v>335.73699950000002</v>
      </c>
      <c r="Q20" s="807">
        <v>289.60299680000003</v>
      </c>
      <c r="R20" s="277">
        <v>308.24200439999998</v>
      </c>
      <c r="S20" s="695">
        <v>15</v>
      </c>
      <c r="T20" s="696">
        <v>399.27400204999998</v>
      </c>
      <c r="U20" s="696">
        <v>385.77799804</v>
      </c>
      <c r="V20" s="807">
        <v>388.01895332999999</v>
      </c>
      <c r="W20" s="278">
        <v>407.79200167999994</v>
      </c>
    </row>
    <row r="21" spans="1:23" ht="11.25" customHeight="1">
      <c r="A21" s="17"/>
      <c r="B21" s="162"/>
      <c r="C21" s="39"/>
      <c r="D21" s="162"/>
      <c r="E21" s="162"/>
      <c r="F21" s="70"/>
      <c r="G21" s="66"/>
      <c r="H21" s="66"/>
      <c r="I21" s="71"/>
      <c r="J21" s="3"/>
      <c r="K21" s="7"/>
      <c r="L21" s="16"/>
      <c r="N21" s="695">
        <v>16</v>
      </c>
      <c r="O21" s="696">
        <v>314.7409973</v>
      </c>
      <c r="P21" s="696">
        <v>335.73699950000002</v>
      </c>
      <c r="Q21" s="807">
        <v>285.006012</v>
      </c>
      <c r="R21" s="277">
        <v>302.9590149</v>
      </c>
      <c r="S21" s="695">
        <v>16</v>
      </c>
      <c r="T21" s="696">
        <v>394.58499913000003</v>
      </c>
      <c r="U21" s="696">
        <v>385.72399323999997</v>
      </c>
      <c r="V21" s="807">
        <v>383.39695458999995</v>
      </c>
      <c r="W21" s="278">
        <v>404.66700356000001</v>
      </c>
    </row>
    <row r="22" spans="1:23" ht="11.25" customHeight="1">
      <c r="A22" s="77"/>
      <c r="B22" s="162"/>
      <c r="C22" s="39"/>
      <c r="D22" s="162"/>
      <c r="E22" s="162"/>
      <c r="F22" s="70"/>
      <c r="G22" s="66"/>
      <c r="H22" s="66"/>
      <c r="I22" s="71"/>
      <c r="J22" s="3"/>
      <c r="K22" s="6"/>
      <c r="L22" s="15"/>
      <c r="N22" s="695">
        <v>17</v>
      </c>
      <c r="O22" s="696">
        <v>305.89001459999997</v>
      </c>
      <c r="P22" s="696">
        <v>335.73699950000002</v>
      </c>
      <c r="Q22" s="807">
        <v>285.00601196289</v>
      </c>
      <c r="R22" s="277">
        <v>304.71600339999998</v>
      </c>
      <c r="S22" s="695">
        <v>17</v>
      </c>
      <c r="T22" s="696">
        <v>392.29800030000007</v>
      </c>
      <c r="U22" s="696">
        <v>388.74200823000001</v>
      </c>
      <c r="V22" s="807">
        <v>381.56399345397853</v>
      </c>
      <c r="W22" s="278">
        <v>401.20799636000004</v>
      </c>
    </row>
    <row r="23" spans="1:23" ht="11.25" customHeight="1">
      <c r="A23" s="77"/>
      <c r="B23" s="162"/>
      <c r="C23" s="39"/>
      <c r="D23" s="162"/>
      <c r="E23" s="162"/>
      <c r="F23" s="70"/>
      <c r="G23" s="66"/>
      <c r="H23" s="66"/>
      <c r="I23" s="71"/>
      <c r="J23" s="3"/>
      <c r="K23" s="6"/>
      <c r="L23" s="15"/>
      <c r="N23" s="695">
        <v>18</v>
      </c>
      <c r="O23" s="696">
        <v>314.7409973</v>
      </c>
      <c r="P23" s="696">
        <v>335.73699950000002</v>
      </c>
      <c r="Q23" s="807">
        <v>285.006012</v>
      </c>
      <c r="R23" s="277">
        <v>301.20498659999998</v>
      </c>
      <c r="S23" s="695">
        <v>18</v>
      </c>
      <c r="T23" s="696">
        <v>390.15600400999995</v>
      </c>
      <c r="U23" s="696">
        <v>386.49800113000003</v>
      </c>
      <c r="V23" s="807">
        <v>379.87400246999994</v>
      </c>
      <c r="W23" s="278">
        <v>398.68500135999994</v>
      </c>
    </row>
    <row r="24" spans="1:23" ht="11.25" customHeight="1">
      <c r="A24" s="77"/>
      <c r="B24" s="162"/>
      <c r="C24" s="39"/>
      <c r="D24" s="162"/>
      <c r="E24" s="162"/>
      <c r="F24" s="70"/>
      <c r="G24" s="66"/>
      <c r="H24" s="66"/>
      <c r="I24" s="71"/>
      <c r="J24" s="6"/>
      <c r="K24" s="6"/>
      <c r="L24" s="15"/>
      <c r="N24" s="695">
        <v>19</v>
      </c>
      <c r="O24" s="696">
        <v>314.7409973</v>
      </c>
      <c r="P24" s="696">
        <v>314.7409973</v>
      </c>
      <c r="Q24" s="807">
        <v>314.7409973</v>
      </c>
      <c r="R24" s="277">
        <v>301.78900149999998</v>
      </c>
      <c r="S24" s="695">
        <v>19</v>
      </c>
      <c r="T24" s="696">
        <v>386.47099490999994</v>
      </c>
      <c r="U24" s="696">
        <v>384.38200000000001</v>
      </c>
      <c r="V24" s="807">
        <v>375.69400404000004</v>
      </c>
      <c r="W24" s="278">
        <v>396.22801973000003</v>
      </c>
    </row>
    <row r="25" spans="1:23" ht="11.25" customHeight="1">
      <c r="A25" s="264" t="s">
        <v>493</v>
      </c>
      <c r="B25" s="162"/>
      <c r="C25" s="39"/>
      <c r="D25" s="162"/>
      <c r="E25" s="162"/>
      <c r="F25" s="70"/>
      <c r="G25" s="66"/>
      <c r="H25" s="66"/>
      <c r="I25" s="71"/>
      <c r="J25" s="3"/>
      <c r="K25" s="7"/>
      <c r="L25" s="16"/>
      <c r="N25" s="809">
        <v>20</v>
      </c>
      <c r="O25" s="696">
        <v>314.7409973</v>
      </c>
      <c r="P25" s="696">
        <v>315.3340149</v>
      </c>
      <c r="Q25" s="807">
        <v>314.14801030000001</v>
      </c>
      <c r="R25" s="277">
        <v>305.30300899999997</v>
      </c>
      <c r="S25" s="695">
        <v>20</v>
      </c>
      <c r="T25" s="696">
        <v>382.00799562999993</v>
      </c>
      <c r="U25" s="696">
        <v>381.56399727000002</v>
      </c>
      <c r="V25" s="807">
        <v>370.56599616999995</v>
      </c>
      <c r="W25" s="810">
        <v>391.74099727000004</v>
      </c>
    </row>
    <row r="26" spans="1:23" ht="11.25" customHeight="1">
      <c r="A26" s="54"/>
      <c r="B26" s="162"/>
      <c r="C26" s="39"/>
      <c r="D26" s="162"/>
      <c r="E26" s="162"/>
      <c r="F26" s="70"/>
      <c r="G26" s="66"/>
      <c r="H26" s="66"/>
      <c r="I26" s="71"/>
      <c r="J26" s="4"/>
      <c r="K26" s="6"/>
      <c r="L26" s="15"/>
      <c r="N26" s="695">
        <v>21</v>
      </c>
      <c r="O26" s="696">
        <v>314.7409973</v>
      </c>
      <c r="P26" s="696">
        <v>311.78100590000003</v>
      </c>
      <c r="Q26" s="807">
        <v>312.37200927734301</v>
      </c>
      <c r="R26" s="811">
        <v>308.24200439999998</v>
      </c>
      <c r="S26" s="695">
        <v>21</v>
      </c>
      <c r="T26" s="696">
        <v>378.52099610999994</v>
      </c>
      <c r="U26" s="696">
        <v>376.47088237999998</v>
      </c>
      <c r="V26" s="807">
        <v>365.52200794219863</v>
      </c>
      <c r="W26" s="278">
        <v>387.63294980000006</v>
      </c>
    </row>
    <row r="27" spans="1:23" ht="11.25" customHeight="1">
      <c r="A27" s="77"/>
      <c r="B27" s="162"/>
      <c r="C27" s="39"/>
      <c r="D27" s="162"/>
      <c r="E27" s="162"/>
      <c r="F27" s="73"/>
      <c r="G27" s="73"/>
      <c r="H27" s="73"/>
      <c r="I27" s="73"/>
      <c r="J27" s="4"/>
      <c r="K27" s="6"/>
      <c r="L27" s="15"/>
      <c r="N27" s="695">
        <v>22</v>
      </c>
      <c r="O27" s="696">
        <v>311.78100590000003</v>
      </c>
      <c r="P27" s="696">
        <v>310.60000609999997</v>
      </c>
      <c r="Q27" s="807">
        <v>310.60000609999997</v>
      </c>
      <c r="R27" s="811">
        <v>307.6530151</v>
      </c>
      <c r="S27" s="695">
        <v>22</v>
      </c>
      <c r="T27" s="696">
        <v>375.20999716</v>
      </c>
      <c r="U27" s="696">
        <v>370.73099807</v>
      </c>
      <c r="V27" s="807">
        <v>359.19900507300002</v>
      </c>
      <c r="W27" s="278">
        <v>383.63200570999999</v>
      </c>
    </row>
    <row r="28" spans="1:23" ht="11.25" customHeight="1">
      <c r="A28" s="77"/>
      <c r="B28" s="162"/>
      <c r="C28" s="39"/>
      <c r="D28" s="162"/>
      <c r="E28" s="162"/>
      <c r="F28" s="73"/>
      <c r="G28" s="73"/>
      <c r="H28" s="73"/>
      <c r="I28" s="73"/>
      <c r="J28" s="4"/>
      <c r="K28" s="6"/>
      <c r="L28" s="15"/>
      <c r="N28" s="695">
        <v>23</v>
      </c>
      <c r="O28" s="696">
        <v>308.82998659999998</v>
      </c>
      <c r="P28" s="696">
        <v>307.06500240000003</v>
      </c>
      <c r="Q28" s="807">
        <v>307.06500240000003</v>
      </c>
      <c r="R28" s="811">
        <v>302.9590149</v>
      </c>
      <c r="S28" s="695">
        <v>23</v>
      </c>
      <c r="T28" s="696">
        <v>374.07600211999994</v>
      </c>
      <c r="U28" s="696">
        <v>363.24299430999997</v>
      </c>
      <c r="V28" s="807">
        <v>354.24799921000005</v>
      </c>
      <c r="W28" s="278">
        <v>379.05501368</v>
      </c>
    </row>
    <row r="29" spans="1:23" ht="11.25" customHeight="1">
      <c r="A29" s="77"/>
      <c r="B29" s="162"/>
      <c r="C29" s="39"/>
      <c r="D29" s="162"/>
      <c r="E29" s="162"/>
      <c r="F29" s="73"/>
      <c r="G29" s="73"/>
      <c r="H29" s="73"/>
      <c r="I29" s="73"/>
      <c r="J29" s="4"/>
      <c r="K29" s="6"/>
      <c r="L29" s="15"/>
      <c r="N29" s="695">
        <v>24</v>
      </c>
      <c r="O29" s="696">
        <v>300.0379944</v>
      </c>
      <c r="P29" s="696">
        <v>302.9590149</v>
      </c>
      <c r="Q29" s="807">
        <v>300.621002197265</v>
      </c>
      <c r="R29" s="811">
        <v>291.91101070000002</v>
      </c>
      <c r="S29" s="695">
        <v>24</v>
      </c>
      <c r="T29" s="696">
        <v>370.89200402</v>
      </c>
      <c r="U29" s="696">
        <v>357.21200376000002</v>
      </c>
      <c r="V29" s="807">
        <v>348.87000203132561</v>
      </c>
      <c r="W29" s="278">
        <v>374.35099984999999</v>
      </c>
    </row>
    <row r="30" spans="1:23" ht="11.25" customHeight="1">
      <c r="A30" s="74"/>
      <c r="B30" s="73"/>
      <c r="C30" s="73"/>
      <c r="D30" s="73"/>
      <c r="E30" s="73"/>
      <c r="F30" s="73"/>
      <c r="G30" s="73"/>
      <c r="H30" s="73"/>
      <c r="I30" s="73"/>
      <c r="J30" s="3"/>
      <c r="K30" s="6"/>
      <c r="L30" s="15"/>
      <c r="N30" s="695">
        <v>25</v>
      </c>
      <c r="O30" s="696">
        <v>294.22500609999997</v>
      </c>
      <c r="P30" s="696">
        <v>300.0379944</v>
      </c>
      <c r="Q30" s="807">
        <v>286.72698969999999</v>
      </c>
      <c r="R30" s="811">
        <v>282.14498900000001</v>
      </c>
      <c r="S30" s="695">
        <v>25</v>
      </c>
      <c r="T30" s="696">
        <v>366.71700096999996</v>
      </c>
      <c r="U30" s="696">
        <v>352.1909981</v>
      </c>
      <c r="V30" s="807">
        <v>343.83099551700002</v>
      </c>
      <c r="W30" s="278">
        <v>369.41900067</v>
      </c>
    </row>
    <row r="31" spans="1:23" ht="11.25" customHeight="1">
      <c r="A31" s="74"/>
      <c r="B31" s="73"/>
      <c r="C31" s="73"/>
      <c r="D31" s="73"/>
      <c r="E31" s="73"/>
      <c r="F31" s="73"/>
      <c r="G31" s="73"/>
      <c r="H31" s="73"/>
      <c r="I31" s="73"/>
      <c r="J31" s="3"/>
      <c r="K31" s="6"/>
      <c r="L31" s="15"/>
      <c r="N31" s="695">
        <v>26</v>
      </c>
      <c r="O31" s="696">
        <v>282.71701050000001</v>
      </c>
      <c r="P31" s="696">
        <v>296.06698610000001</v>
      </c>
      <c r="Q31" s="807">
        <v>266.86801150000002</v>
      </c>
      <c r="R31" s="811">
        <v>270.23800660000001</v>
      </c>
      <c r="S31" s="695">
        <v>26</v>
      </c>
      <c r="T31" s="696">
        <v>361.43599508999995</v>
      </c>
      <c r="U31" s="696">
        <v>346.62612917400003</v>
      </c>
      <c r="V31" s="807">
        <v>338.47100355099997</v>
      </c>
      <c r="W31" s="278">
        <v>363.95100021999997</v>
      </c>
    </row>
    <row r="32" spans="1:23" ht="11.25" customHeight="1">
      <c r="A32" s="74"/>
      <c r="B32" s="73"/>
      <c r="C32" s="73"/>
      <c r="D32" s="73"/>
      <c r="E32" s="73"/>
      <c r="F32" s="73"/>
      <c r="G32" s="73"/>
      <c r="H32" s="73"/>
      <c r="I32" s="73"/>
      <c r="J32" s="3"/>
      <c r="K32" s="6"/>
      <c r="L32" s="15"/>
      <c r="N32" s="695">
        <v>27</v>
      </c>
      <c r="O32" s="696">
        <v>271.36</v>
      </c>
      <c r="P32" s="696">
        <v>275.89</v>
      </c>
      <c r="Q32" s="807">
        <v>255.73500061035099</v>
      </c>
      <c r="R32" s="811">
        <v>251.32600400000001</v>
      </c>
      <c r="S32" s="695">
        <v>27</v>
      </c>
      <c r="T32" s="696">
        <v>355.34</v>
      </c>
      <c r="U32" s="696">
        <v>341.25900444999996</v>
      </c>
      <c r="V32" s="807">
        <v>333.23996639251612</v>
      </c>
      <c r="W32" s="278">
        <v>358.46099474000005</v>
      </c>
    </row>
    <row r="33" spans="1:23" ht="11.25" customHeight="1">
      <c r="A33" s="74"/>
      <c r="B33" s="73"/>
      <c r="C33" s="73"/>
      <c r="D33" s="73"/>
      <c r="E33" s="73"/>
      <c r="F33" s="73"/>
      <c r="G33" s="73"/>
      <c r="H33" s="73"/>
      <c r="I33" s="73"/>
      <c r="J33" s="3"/>
      <c r="K33" s="6"/>
      <c r="L33" s="15"/>
      <c r="N33" s="695">
        <v>28</v>
      </c>
      <c r="O33" s="696">
        <v>260.16900629999998</v>
      </c>
      <c r="P33" s="698">
        <v>248.58200070000001</v>
      </c>
      <c r="Q33" s="807">
        <v>244.7590027</v>
      </c>
      <c r="R33" s="811">
        <v>243.66999820000001</v>
      </c>
      <c r="S33" s="695">
        <v>28</v>
      </c>
      <c r="T33" s="696">
        <v>349.01599981000004</v>
      </c>
      <c r="U33" s="696">
        <v>337.18899436699996</v>
      </c>
      <c r="V33" s="807">
        <v>327.71050074999999</v>
      </c>
      <c r="W33" s="278">
        <v>352.90699958999994</v>
      </c>
    </row>
    <row r="34" spans="1:23" ht="11.25" customHeight="1">
      <c r="A34" s="74"/>
      <c r="B34" s="73"/>
      <c r="C34" s="73"/>
      <c r="D34" s="73"/>
      <c r="E34" s="73"/>
      <c r="F34" s="73"/>
      <c r="G34" s="73"/>
      <c r="H34" s="73"/>
      <c r="I34" s="73"/>
      <c r="J34" s="3"/>
      <c r="K34" s="6"/>
      <c r="L34" s="15"/>
      <c r="N34" s="695">
        <v>29</v>
      </c>
      <c r="O34" s="696">
        <v>251.88</v>
      </c>
      <c r="P34" s="696">
        <v>238.787994384765</v>
      </c>
      <c r="Q34" s="807">
        <v>231.25799559999999</v>
      </c>
      <c r="R34" s="811">
        <v>236.0899963</v>
      </c>
      <c r="S34" s="695">
        <v>29</v>
      </c>
      <c r="T34" s="696">
        <v>343.97999999999996</v>
      </c>
      <c r="U34" s="696">
        <v>333.50600986443789</v>
      </c>
      <c r="V34" s="807">
        <v>322.11699965099996</v>
      </c>
      <c r="W34" s="278">
        <v>346.83199694000007</v>
      </c>
    </row>
    <row r="35" spans="1:23" ht="11.25" customHeight="1">
      <c r="A35" s="74"/>
      <c r="B35" s="73"/>
      <c r="C35" s="73"/>
      <c r="D35" s="73"/>
      <c r="E35" s="73"/>
      <c r="F35" s="73"/>
      <c r="G35" s="73"/>
      <c r="H35" s="73"/>
      <c r="I35" s="73"/>
      <c r="J35" s="6"/>
      <c r="K35" s="6"/>
      <c r="L35" s="15"/>
      <c r="N35" s="695">
        <v>30</v>
      </c>
      <c r="O35" s="696">
        <v>232.8650055</v>
      </c>
      <c r="P35" s="696">
        <v>229.12</v>
      </c>
      <c r="Q35" s="807">
        <v>219.58000179999999</v>
      </c>
      <c r="R35" s="811">
        <v>223.80499270000001</v>
      </c>
      <c r="S35" s="695">
        <v>30</v>
      </c>
      <c r="T35" s="696">
        <v>342.06599807739167</v>
      </c>
      <c r="U35" s="696">
        <v>324.04999999999995</v>
      </c>
      <c r="V35" s="807">
        <v>316.39600081599997</v>
      </c>
      <c r="W35" s="278">
        <v>340.42700004</v>
      </c>
    </row>
    <row r="36" spans="1:23" ht="11.25" customHeight="1">
      <c r="A36" s="74"/>
      <c r="B36" s="73"/>
      <c r="C36" s="73"/>
      <c r="D36" s="73"/>
      <c r="E36" s="73"/>
      <c r="F36" s="73"/>
      <c r="G36" s="73"/>
      <c r="H36" s="73"/>
      <c r="I36" s="73"/>
      <c r="J36" s="3"/>
      <c r="K36" s="6"/>
      <c r="L36" s="15"/>
      <c r="N36" s="695">
        <v>31</v>
      </c>
      <c r="O36" s="696">
        <v>211.726</v>
      </c>
      <c r="P36" s="696">
        <v>219.05400090000001</v>
      </c>
      <c r="Q36" s="807">
        <v>209.128006</v>
      </c>
      <c r="R36" s="811">
        <v>211.72599790000001</v>
      </c>
      <c r="S36" s="695">
        <v>31</v>
      </c>
      <c r="T36" s="696">
        <v>335.23199999999997</v>
      </c>
      <c r="U36" s="696">
        <v>318.10600236499999</v>
      </c>
      <c r="V36" s="807">
        <v>310.66199637099999</v>
      </c>
      <c r="W36" s="278">
        <v>333.77900123000001</v>
      </c>
    </row>
    <row r="37" spans="1:23" ht="11.25" customHeight="1">
      <c r="A37" s="74"/>
      <c r="B37" s="73"/>
      <c r="C37" s="73"/>
      <c r="D37" s="73"/>
      <c r="E37" s="73"/>
      <c r="F37" s="73"/>
      <c r="G37" s="73"/>
      <c r="H37" s="73"/>
      <c r="I37" s="73"/>
      <c r="J37" s="3"/>
      <c r="K37" s="10"/>
      <c r="L37" s="15"/>
      <c r="N37" s="695">
        <v>32</v>
      </c>
      <c r="O37" s="696">
        <v>181.19200129999999</v>
      </c>
      <c r="P37" s="696">
        <v>209.128006</v>
      </c>
      <c r="Q37" s="807">
        <v>201.39199830000001</v>
      </c>
      <c r="R37" s="277">
        <v>200.36700440000001</v>
      </c>
      <c r="S37" s="695">
        <v>32</v>
      </c>
      <c r="T37" s="696">
        <v>329.56800555999996</v>
      </c>
      <c r="U37" s="696">
        <v>312.078003352</v>
      </c>
      <c r="V37" s="807">
        <v>304.63100243800005</v>
      </c>
      <c r="W37" s="278">
        <v>326.91499899999997</v>
      </c>
    </row>
    <row r="38" spans="1:23" ht="11.25" customHeight="1">
      <c r="A38" s="74"/>
      <c r="B38" s="73"/>
      <c r="C38" s="73"/>
      <c r="D38" s="73"/>
      <c r="E38" s="73"/>
      <c r="F38" s="73"/>
      <c r="G38" s="73"/>
      <c r="H38" s="73"/>
      <c r="I38" s="73"/>
      <c r="J38" s="3"/>
      <c r="K38" s="10"/>
      <c r="L38" s="38"/>
      <c r="N38" s="695">
        <v>33</v>
      </c>
      <c r="O38" s="696">
        <v>152.0650024</v>
      </c>
      <c r="P38" s="696">
        <v>199.85499569999999</v>
      </c>
      <c r="Q38" s="807">
        <v>189.6999969</v>
      </c>
      <c r="R38" s="277">
        <v>187.18600459999999</v>
      </c>
      <c r="S38" s="695">
        <v>33</v>
      </c>
      <c r="T38" s="696">
        <v>323.79099748000004</v>
      </c>
      <c r="U38" s="696">
        <v>312.078003352</v>
      </c>
      <c r="V38" s="807">
        <v>299.14499665</v>
      </c>
      <c r="W38" s="278">
        <v>320.04999731999993</v>
      </c>
    </row>
    <row r="39" spans="1:23" ht="11.25" customHeight="1">
      <c r="A39" s="74"/>
      <c r="B39" s="73"/>
      <c r="C39" s="73"/>
      <c r="D39" s="73"/>
      <c r="E39" s="73"/>
      <c r="F39" s="73"/>
      <c r="G39" s="73"/>
      <c r="H39" s="73"/>
      <c r="I39" s="73"/>
      <c r="J39" s="3"/>
      <c r="K39" s="7"/>
      <c r="L39" s="15"/>
      <c r="N39" s="695">
        <v>34</v>
      </c>
      <c r="O39" s="696">
        <v>156.8220062</v>
      </c>
      <c r="P39" s="696">
        <v>188.69299319999999</v>
      </c>
      <c r="Q39" s="807">
        <v>178.71099849999999</v>
      </c>
      <c r="R39" s="277">
        <v>176.73300169999999</v>
      </c>
      <c r="S39" s="695">
        <v>34</v>
      </c>
      <c r="T39" s="696">
        <v>317.64699750999995</v>
      </c>
      <c r="U39" s="696">
        <v>299.58200316099999</v>
      </c>
      <c r="V39" s="807">
        <v>293.22399712800001</v>
      </c>
      <c r="W39" s="278">
        <v>312.22399334000005</v>
      </c>
    </row>
    <row r="40" spans="1:23" ht="11.25" customHeight="1">
      <c r="A40" s="74"/>
      <c r="B40" s="73"/>
      <c r="C40" s="73"/>
      <c r="D40" s="73"/>
      <c r="E40" s="73"/>
      <c r="F40" s="73"/>
      <c r="G40" s="73"/>
      <c r="H40" s="73"/>
      <c r="I40" s="73"/>
      <c r="J40" s="3"/>
      <c r="K40" s="7"/>
      <c r="L40" s="15"/>
      <c r="N40" s="695">
        <v>35</v>
      </c>
      <c r="O40" s="696">
        <v>156.82</v>
      </c>
      <c r="P40" s="699">
        <v>177.72099299999999</v>
      </c>
      <c r="Q40" s="807">
        <v>167.91000366210901</v>
      </c>
      <c r="R40" s="277">
        <v>168.8840027</v>
      </c>
      <c r="S40" s="695">
        <v>35</v>
      </c>
      <c r="T40" s="696">
        <v>311.42</v>
      </c>
      <c r="U40" s="696">
        <v>292.71899843200003</v>
      </c>
      <c r="V40" s="807">
        <v>287.11000061035065</v>
      </c>
      <c r="W40" s="278">
        <v>304.73300071000006</v>
      </c>
    </row>
    <row r="41" spans="1:23" ht="11.25" customHeight="1">
      <c r="A41" s="74"/>
      <c r="B41" s="73"/>
      <c r="C41" s="73"/>
      <c r="D41" s="73"/>
      <c r="E41" s="73"/>
      <c r="F41" s="73"/>
      <c r="G41" s="73"/>
      <c r="H41" s="73"/>
      <c r="I41" s="73"/>
      <c r="J41" s="3"/>
      <c r="K41" s="7"/>
      <c r="L41" s="15"/>
      <c r="N41" s="695">
        <v>36</v>
      </c>
      <c r="O41" s="696">
        <v>159.21</v>
      </c>
      <c r="P41" s="699">
        <v>164.99800110000001</v>
      </c>
      <c r="Q41" s="807">
        <v>158.25599670410099</v>
      </c>
      <c r="R41" s="277">
        <v>158.2559967</v>
      </c>
      <c r="S41" s="695">
        <v>36</v>
      </c>
      <c r="T41" s="696">
        <v>305.20999999999998</v>
      </c>
      <c r="U41" s="696">
        <v>286.64699412499999</v>
      </c>
      <c r="V41" s="807">
        <v>280.34500217437699</v>
      </c>
      <c r="W41" s="278">
        <v>297.47899814000004</v>
      </c>
    </row>
    <row r="42" spans="1:23" ht="11.25" customHeight="1">
      <c r="A42" s="74"/>
      <c r="B42" s="73"/>
      <c r="C42" s="73"/>
      <c r="D42" s="73"/>
      <c r="E42" s="73"/>
      <c r="F42" s="73"/>
      <c r="G42" s="73"/>
      <c r="H42" s="73"/>
      <c r="I42" s="73"/>
      <c r="J42" s="6"/>
      <c r="K42" s="10"/>
      <c r="L42" s="15"/>
      <c r="N42" s="695">
        <v>37</v>
      </c>
      <c r="O42" s="696">
        <v>159.2149963</v>
      </c>
      <c r="P42" s="699">
        <v>154.53400055</v>
      </c>
      <c r="Q42" s="807">
        <v>147.34800720214801</v>
      </c>
      <c r="R42" s="277">
        <v>147.34800720000001</v>
      </c>
      <c r="S42" s="695">
        <v>37</v>
      </c>
      <c r="T42" s="696">
        <v>299.17000225600003</v>
      </c>
      <c r="U42" s="696">
        <v>280.605003845</v>
      </c>
      <c r="V42" s="807">
        <v>273.90200042724575</v>
      </c>
      <c r="W42" s="278">
        <v>289.18600270099995</v>
      </c>
    </row>
    <row r="43" spans="1:23" ht="11.25" customHeight="1">
      <c r="A43" s="74"/>
      <c r="B43" s="73"/>
      <c r="C43" s="73"/>
      <c r="D43" s="73"/>
      <c r="E43" s="73"/>
      <c r="F43" s="73"/>
      <c r="G43" s="73"/>
      <c r="H43" s="73"/>
      <c r="I43" s="73"/>
      <c r="J43" s="3"/>
      <c r="K43" s="10"/>
      <c r="L43" s="15"/>
      <c r="N43" s="695">
        <v>38</v>
      </c>
      <c r="O43" s="696">
        <v>149.70199579999999</v>
      </c>
      <c r="P43" s="699">
        <v>144.07</v>
      </c>
      <c r="Q43" s="807">
        <v>136.64599609375</v>
      </c>
      <c r="R43" s="277">
        <v>131.14500430000001</v>
      </c>
      <c r="S43" s="695">
        <v>38</v>
      </c>
      <c r="T43" s="696">
        <v>292.45899891799996</v>
      </c>
      <c r="U43" s="696">
        <v>274.21999999999997</v>
      </c>
      <c r="V43" s="807">
        <v>267.16300058364783</v>
      </c>
      <c r="W43" s="278">
        <v>281.63800617199996</v>
      </c>
    </row>
    <row r="44" spans="1:23" ht="11.25" customHeight="1">
      <c r="A44" s="74"/>
      <c r="B44" s="73"/>
      <c r="C44" s="73"/>
      <c r="D44" s="73"/>
      <c r="E44" s="73"/>
      <c r="F44" s="73"/>
      <c r="G44" s="73"/>
      <c r="H44" s="73"/>
      <c r="I44" s="73"/>
      <c r="J44" s="3"/>
      <c r="K44" s="10"/>
      <c r="L44" s="15"/>
      <c r="N44" s="695">
        <v>39</v>
      </c>
      <c r="O44" s="696">
        <v>117.6380005</v>
      </c>
      <c r="P44" s="699">
        <v>135.725006103515</v>
      </c>
      <c r="Q44" s="807">
        <v>131.14500430000001</v>
      </c>
      <c r="R44" s="277">
        <v>117.1940002</v>
      </c>
      <c r="S44" s="695">
        <v>39</v>
      </c>
      <c r="T44" s="696">
        <v>286.11999916000002</v>
      </c>
      <c r="U44" s="696">
        <v>267.58499765396107</v>
      </c>
      <c r="V44" s="807">
        <v>262.426999588</v>
      </c>
      <c r="W44" s="278">
        <v>274.41000078900004</v>
      </c>
    </row>
    <row r="45" spans="1:23" ht="11.25" customHeight="1">
      <c r="A45" s="74"/>
      <c r="B45" s="73"/>
      <c r="C45" s="73"/>
      <c r="D45" s="73"/>
      <c r="E45" s="73"/>
      <c r="F45" s="73"/>
      <c r="G45" s="73"/>
      <c r="H45" s="73"/>
      <c r="I45" s="73"/>
      <c r="J45" s="11"/>
      <c r="K45" s="11"/>
      <c r="L45" s="11"/>
      <c r="N45" s="695">
        <v>40</v>
      </c>
      <c r="O45" s="696">
        <v>91.680000309999997</v>
      </c>
      <c r="P45" s="696">
        <v>127.0559998</v>
      </c>
      <c r="Q45" s="807">
        <v>120.7580032</v>
      </c>
      <c r="R45" s="277">
        <v>113.2139969</v>
      </c>
      <c r="S45" s="695">
        <v>40</v>
      </c>
      <c r="T45" s="696">
        <v>278.57999837699998</v>
      </c>
      <c r="U45" s="696">
        <v>260.96199703900004</v>
      </c>
      <c r="V45" s="807">
        <v>258.968997</v>
      </c>
      <c r="W45" s="278">
        <v>267.74887463900001</v>
      </c>
    </row>
    <row r="46" spans="1:23" ht="11.25" customHeight="1">
      <c r="A46" s="74"/>
      <c r="B46" s="73"/>
      <c r="C46" s="73"/>
      <c r="D46" s="73"/>
      <c r="E46" s="73"/>
      <c r="F46" s="73"/>
      <c r="G46" s="73"/>
      <c r="H46" s="73"/>
      <c r="I46" s="73"/>
      <c r="J46" s="11"/>
      <c r="K46" s="11"/>
      <c r="L46" s="11"/>
      <c r="N46" s="695">
        <v>41</v>
      </c>
      <c r="O46" s="696">
        <v>71.125</v>
      </c>
      <c r="P46" s="696">
        <v>110.13999939999999</v>
      </c>
      <c r="Q46" s="807">
        <v>102.3249969</v>
      </c>
      <c r="R46" s="277">
        <v>105.78199770000001</v>
      </c>
      <c r="S46" s="695">
        <v>41</v>
      </c>
      <c r="T46" s="696">
        <v>271.23250496387476</v>
      </c>
      <c r="U46" s="696">
        <v>253.29600046600001</v>
      </c>
      <c r="V46" s="807">
        <v>255.76199719799999</v>
      </c>
      <c r="W46" s="278">
        <v>261.11699532200004</v>
      </c>
    </row>
    <row r="47" spans="1:23" ht="11.25" customHeight="1">
      <c r="A47" s="74"/>
      <c r="B47" s="73"/>
      <c r="C47" s="73"/>
      <c r="D47" s="73"/>
      <c r="E47" s="73"/>
      <c r="F47" s="73"/>
      <c r="G47" s="73"/>
      <c r="H47" s="73"/>
      <c r="I47" s="73"/>
      <c r="J47" s="11"/>
      <c r="K47" s="11"/>
      <c r="L47" s="11"/>
      <c r="N47" s="695">
        <v>42</v>
      </c>
      <c r="O47" s="696">
        <v>59.261001586913999</v>
      </c>
      <c r="P47" s="696">
        <v>100.61</v>
      </c>
      <c r="Q47" s="807">
        <v>92.944999694824205</v>
      </c>
      <c r="R47" s="277">
        <v>94.636001590000006</v>
      </c>
      <c r="S47" s="695">
        <v>42</v>
      </c>
      <c r="T47" s="696">
        <v>256.27199935913058</v>
      </c>
      <c r="U47" s="696">
        <v>246.06</v>
      </c>
      <c r="V47" s="807">
        <v>251.31199836730943</v>
      </c>
      <c r="W47" s="278">
        <v>255.18400193299999</v>
      </c>
    </row>
    <row r="48" spans="1:23" ht="11.25" customHeight="1">
      <c r="A48" s="74"/>
      <c r="B48" s="73"/>
      <c r="C48" s="73"/>
      <c r="D48" s="73"/>
      <c r="E48" s="73"/>
      <c r="F48" s="73"/>
      <c r="G48" s="73"/>
      <c r="H48" s="73"/>
      <c r="I48" s="73"/>
      <c r="J48" s="11"/>
      <c r="K48" s="11"/>
      <c r="L48" s="11"/>
      <c r="N48" s="695">
        <v>43</v>
      </c>
      <c r="O48" s="696">
        <v>47.749000549316399</v>
      </c>
      <c r="P48" s="696">
        <v>95.484001160000005</v>
      </c>
      <c r="Q48" s="807">
        <v>84.166999820000001</v>
      </c>
      <c r="R48" s="277">
        <v>83.753997799999993</v>
      </c>
      <c r="S48" s="695">
        <v>43</v>
      </c>
      <c r="T48" s="696">
        <v>249.67099761962871</v>
      </c>
      <c r="U48" s="696">
        <v>241.02699661899999</v>
      </c>
      <c r="V48" s="807">
        <v>245.88199755799999</v>
      </c>
      <c r="W48" s="278">
        <v>247.82599997900002</v>
      </c>
    </row>
    <row r="49" spans="1:23" ht="11.25" customHeight="1">
      <c r="A49" s="74"/>
      <c r="B49" s="73"/>
      <c r="C49" s="73"/>
      <c r="D49" s="73"/>
      <c r="E49" s="73"/>
      <c r="F49" s="73"/>
      <c r="G49" s="73"/>
      <c r="H49" s="73"/>
      <c r="I49" s="73"/>
      <c r="J49" s="11"/>
      <c r="K49" s="11"/>
      <c r="L49" s="11"/>
      <c r="N49" s="695">
        <v>44</v>
      </c>
      <c r="O49" s="696">
        <v>38.424999239999998</v>
      </c>
      <c r="P49" s="696">
        <v>89.581001279999995</v>
      </c>
      <c r="Q49" s="807">
        <v>82.51499939</v>
      </c>
      <c r="R49" s="277">
        <v>73.136001590000006</v>
      </c>
      <c r="S49" s="695">
        <v>44</v>
      </c>
      <c r="T49" s="696">
        <v>249.67099761962871</v>
      </c>
      <c r="U49" s="696">
        <v>234.19399833099999</v>
      </c>
      <c r="V49" s="807">
        <v>239.051002463</v>
      </c>
      <c r="W49" s="278">
        <v>240.19699645200001</v>
      </c>
    </row>
    <row r="50" spans="1:23" ht="13.2">
      <c r="A50" s="74"/>
      <c r="B50" s="73"/>
      <c r="C50" s="73"/>
      <c r="D50" s="73"/>
      <c r="E50" s="73"/>
      <c r="F50" s="73"/>
      <c r="G50" s="73"/>
      <c r="H50" s="73"/>
      <c r="I50" s="73"/>
      <c r="J50" s="11"/>
      <c r="K50" s="11"/>
      <c r="L50" s="11"/>
      <c r="N50" s="695">
        <v>45</v>
      </c>
      <c r="O50" s="696">
        <v>31.142000199999998</v>
      </c>
      <c r="P50" s="696">
        <v>79.638999940000005</v>
      </c>
      <c r="Q50" s="807">
        <v>72.33000183</v>
      </c>
      <c r="R50" s="277">
        <v>72.33000183</v>
      </c>
      <c r="S50" s="695">
        <v>45</v>
      </c>
      <c r="T50" s="696">
        <v>243.378839739</v>
      </c>
      <c r="U50" s="696">
        <v>228.64612817499997</v>
      </c>
      <c r="V50" s="807">
        <v>232.679000852</v>
      </c>
      <c r="W50" s="278">
        <v>232.069998986</v>
      </c>
    </row>
    <row r="51" spans="1:23" ht="13.2">
      <c r="A51" s="74"/>
      <c r="B51" s="73"/>
      <c r="C51" s="73"/>
      <c r="D51" s="73"/>
      <c r="E51" s="73"/>
      <c r="F51" s="73"/>
      <c r="G51" s="73"/>
      <c r="H51" s="73"/>
      <c r="I51" s="73"/>
      <c r="J51" s="11"/>
      <c r="K51" s="11"/>
      <c r="L51" s="11"/>
      <c r="N51" s="695">
        <v>46</v>
      </c>
      <c r="O51" s="696">
        <v>22.26</v>
      </c>
      <c r="P51" s="696">
        <v>80.049003600000006</v>
      </c>
      <c r="Q51" s="807">
        <v>57.318000789999999</v>
      </c>
      <c r="R51" s="277">
        <v>66.33699799</v>
      </c>
      <c r="S51" s="695">
        <v>46</v>
      </c>
      <c r="T51" s="696">
        <v>236.34</v>
      </c>
      <c r="U51" s="696">
        <v>222.81199835999999</v>
      </c>
      <c r="V51" s="807">
        <v>225.80399990800001</v>
      </c>
      <c r="W51" s="278">
        <v>224.04500101899998</v>
      </c>
    </row>
    <row r="52" spans="1:23" ht="13.2">
      <c r="A52" s="74"/>
      <c r="B52" s="73"/>
      <c r="C52" s="73"/>
      <c r="D52" s="73"/>
      <c r="E52" s="73"/>
      <c r="F52" s="73"/>
      <c r="G52" s="73"/>
      <c r="H52" s="73"/>
      <c r="I52" s="73"/>
      <c r="J52" s="11"/>
      <c r="K52" s="11"/>
      <c r="L52" s="11"/>
      <c r="N52" s="695">
        <v>47</v>
      </c>
      <c r="O52" s="696">
        <v>17.044000629999999</v>
      </c>
      <c r="P52" s="696">
        <v>85.825996399999994</v>
      </c>
      <c r="Q52" s="807">
        <v>44.738998410000001</v>
      </c>
      <c r="R52" s="277">
        <v>59.261001589999999</v>
      </c>
      <c r="S52" s="695">
        <v>47</v>
      </c>
      <c r="T52" s="696">
        <v>227.62000255999999</v>
      </c>
      <c r="U52" s="696">
        <v>216.31200409100001</v>
      </c>
      <c r="V52" s="807">
        <v>219.24500608799997</v>
      </c>
      <c r="W52" s="278">
        <v>219.29099989100001</v>
      </c>
    </row>
    <row r="53" spans="1:23" ht="13.2">
      <c r="A53" s="74"/>
      <c r="B53" s="73"/>
      <c r="C53" s="73"/>
      <c r="D53" s="73"/>
      <c r="E53" s="73"/>
      <c r="F53" s="73"/>
      <c r="G53" s="73"/>
      <c r="H53" s="73"/>
      <c r="I53" s="73"/>
      <c r="J53" s="11"/>
      <c r="K53" s="11"/>
      <c r="L53" s="11"/>
      <c r="N53" s="695">
        <v>48</v>
      </c>
      <c r="O53" s="696">
        <v>36.5890007</v>
      </c>
      <c r="P53" s="696">
        <v>77.596000669999995</v>
      </c>
      <c r="Q53" s="807">
        <v>34.763999939999998</v>
      </c>
      <c r="R53" s="277">
        <v>59.261001589999999</v>
      </c>
      <c r="S53" s="695">
        <v>48</v>
      </c>
      <c r="T53" s="696">
        <v>220.01436420799999</v>
      </c>
      <c r="U53" s="696">
        <v>210.250997547</v>
      </c>
      <c r="V53" s="807">
        <v>212.09200192</v>
      </c>
      <c r="W53" s="278">
        <v>216.02500223999999</v>
      </c>
    </row>
    <row r="54" spans="1:23" ht="13.2">
      <c r="A54" s="74"/>
      <c r="B54" s="73"/>
      <c r="C54" s="73"/>
      <c r="D54" s="73"/>
      <c r="E54" s="73"/>
      <c r="F54" s="73"/>
      <c r="G54" s="73"/>
      <c r="H54" s="73"/>
      <c r="I54" s="73"/>
      <c r="J54" s="11"/>
      <c r="K54" s="11"/>
      <c r="L54" s="11"/>
      <c r="N54" s="695">
        <v>49</v>
      </c>
      <c r="O54" s="812">
        <v>36.590000000000003</v>
      </c>
      <c r="P54" s="696">
        <v>54.613998410000001</v>
      </c>
      <c r="Q54" s="807">
        <v>27.915000920000001</v>
      </c>
      <c r="R54" s="277">
        <v>47.749000549999998</v>
      </c>
      <c r="S54" s="695">
        <v>49</v>
      </c>
      <c r="T54" s="696">
        <v>212.37999999999997</v>
      </c>
      <c r="U54" s="696">
        <v>202.73299884100001</v>
      </c>
      <c r="V54" s="807">
        <v>206.70499944799997</v>
      </c>
      <c r="W54" s="278">
        <v>215.407995212</v>
      </c>
    </row>
    <row r="55" spans="1:23" ht="13.2">
      <c r="A55" s="74"/>
      <c r="B55" s="73"/>
      <c r="C55" s="73"/>
      <c r="D55" s="73"/>
      <c r="E55" s="73"/>
      <c r="F55" s="73"/>
      <c r="G55" s="73"/>
      <c r="H55" s="73"/>
      <c r="I55" s="73"/>
      <c r="J55" s="11"/>
      <c r="K55" s="11"/>
      <c r="L55" s="11"/>
      <c r="N55" s="695">
        <v>50</v>
      </c>
      <c r="O55" s="696">
        <v>34.763999939999998</v>
      </c>
      <c r="P55" s="696">
        <v>64.358001709999996</v>
      </c>
      <c r="Q55" s="807">
        <v>19.81399918</v>
      </c>
      <c r="R55" s="277">
        <v>46.993999479999999</v>
      </c>
      <c r="S55" s="695">
        <v>50</v>
      </c>
      <c r="T55" s="696">
        <v>205.46782675599999</v>
      </c>
      <c r="U55" s="696">
        <v>195.51400422099999</v>
      </c>
      <c r="V55" s="807">
        <v>200.08300209800001</v>
      </c>
      <c r="W55" s="278">
        <v>212.33400107200001</v>
      </c>
    </row>
    <row r="56" spans="1:23" ht="13.2">
      <c r="A56" s="74"/>
      <c r="B56" s="73"/>
      <c r="C56" s="73"/>
      <c r="D56" s="73"/>
      <c r="E56" s="73"/>
      <c r="F56" s="73"/>
      <c r="G56" s="73"/>
      <c r="H56" s="73"/>
      <c r="I56" s="73"/>
      <c r="J56" s="11"/>
      <c r="K56" s="11"/>
      <c r="L56" s="11"/>
      <c r="N56" s="695">
        <v>51</v>
      </c>
      <c r="O56" s="696">
        <v>38.4</v>
      </c>
      <c r="P56" s="696">
        <v>80.049003600000006</v>
      </c>
      <c r="Q56" s="807">
        <v>22.256999969999999</v>
      </c>
      <c r="R56" s="277">
        <v>35.858001710000003</v>
      </c>
      <c r="S56" s="695">
        <v>51</v>
      </c>
      <c r="T56" s="696">
        <v>199</v>
      </c>
      <c r="U56" s="696">
        <v>188.995997891</v>
      </c>
      <c r="V56" s="807">
        <v>200.81900405299996</v>
      </c>
      <c r="W56" s="278">
        <v>207.130002496</v>
      </c>
    </row>
    <row r="57" spans="1:23" ht="13.2">
      <c r="A57" s="74"/>
      <c r="B57" s="73"/>
      <c r="C57" s="73"/>
      <c r="D57" s="73"/>
      <c r="E57" s="73"/>
      <c r="F57" s="73"/>
      <c r="G57" s="73"/>
      <c r="H57" s="73"/>
      <c r="I57" s="73"/>
      <c r="N57" s="695">
        <v>52</v>
      </c>
      <c r="O57" s="696">
        <v>59.261001589999999</v>
      </c>
      <c r="P57" s="696">
        <v>108.82900239999999</v>
      </c>
      <c r="Q57" s="807">
        <v>51.54700089</v>
      </c>
      <c r="R57" s="277">
        <v>31.502000809999998</v>
      </c>
      <c r="S57" s="695">
        <v>52</v>
      </c>
      <c r="T57" s="696">
        <v>192.88799664499999</v>
      </c>
      <c r="U57" s="696">
        <v>184.65400219100002</v>
      </c>
      <c r="V57" s="807">
        <v>217.92999649000001</v>
      </c>
      <c r="W57" s="278">
        <v>207.130002496</v>
      </c>
    </row>
    <row r="58" spans="1:23" ht="13.2">
      <c r="A58" s="74"/>
      <c r="B58" s="73"/>
      <c r="C58" s="73"/>
      <c r="D58" s="73"/>
      <c r="E58" s="73"/>
      <c r="F58" s="73"/>
      <c r="G58" s="73"/>
      <c r="H58" s="73"/>
      <c r="I58" s="73"/>
      <c r="N58" s="695">
        <v>53</v>
      </c>
      <c r="O58" s="277"/>
      <c r="P58" s="277">
        <v>140.34500120000001</v>
      </c>
      <c r="Q58" s="277"/>
      <c r="R58" s="277"/>
      <c r="S58" s="695">
        <v>53</v>
      </c>
      <c r="T58" s="696"/>
      <c r="U58" s="696">
        <v>183.63100289100001</v>
      </c>
      <c r="V58" s="807"/>
    </row>
    <row r="59" spans="1:23" ht="13.2">
      <c r="B59" s="73"/>
      <c r="C59" s="73"/>
      <c r="D59" s="73"/>
      <c r="E59" s="73"/>
      <c r="F59" s="73"/>
      <c r="G59" s="73"/>
      <c r="H59" s="73"/>
      <c r="I59" s="73"/>
    </row>
    <row r="60" spans="1:23" ht="13.2">
      <c r="A60" s="74"/>
      <c r="B60" s="73"/>
      <c r="C60" s="73"/>
      <c r="D60" s="73"/>
      <c r="E60" s="73"/>
      <c r="F60" s="73"/>
      <c r="G60" s="73"/>
      <c r="H60" s="73"/>
      <c r="I60" s="73"/>
    </row>
    <row r="63" spans="1:23">
      <c r="A63" s="264" t="s">
        <v>494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86"/>
  <sheetViews>
    <sheetView showGridLines="0" view="pageBreakPreview" zoomScaleNormal="100" zoomScaleSheetLayoutView="100" workbookViewId="0">
      <selection activeCell="F52" sqref="F52"/>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4"/>
    <col min="12" max="12" width="3.140625" style="544" bestFit="1" customWidth="1"/>
    <col min="13" max="16" width="9.28515625" style="277"/>
    <col min="17" max="17" width="9.28515625" style="278"/>
    <col min="18" max="34" width="9.28515625" style="751"/>
  </cols>
  <sheetData>
    <row r="1" spans="1:15" ht="11.25" customHeight="1"/>
    <row r="2" spans="1:15" ht="11.25" customHeight="1">
      <c r="A2" s="17"/>
      <c r="B2" s="17"/>
      <c r="C2" s="17"/>
      <c r="D2" s="17"/>
      <c r="E2" s="73"/>
      <c r="F2" s="73"/>
      <c r="G2" s="73"/>
    </row>
    <row r="3" spans="1:15" ht="17.25" customHeight="1">
      <c r="A3" s="898" t="s">
        <v>380</v>
      </c>
      <c r="B3" s="898"/>
      <c r="C3" s="898"/>
      <c r="D3" s="898"/>
      <c r="E3" s="898"/>
      <c r="F3" s="898"/>
      <c r="G3" s="898"/>
      <c r="H3" s="36"/>
      <c r="I3" s="36"/>
      <c r="K3" s="544" t="s">
        <v>260</v>
      </c>
      <c r="M3" s="277" t="s">
        <v>261</v>
      </c>
      <c r="N3" s="277" t="s">
        <v>262</v>
      </c>
      <c r="O3" s="277" t="s">
        <v>263</v>
      </c>
    </row>
    <row r="4" spans="1:15" ht="11.25" customHeight="1">
      <c r="A4" s="74"/>
      <c r="B4" s="73"/>
      <c r="C4" s="73"/>
      <c r="D4" s="73"/>
      <c r="E4" s="73"/>
      <c r="F4" s="73"/>
      <c r="G4" s="73"/>
      <c r="H4" s="36"/>
      <c r="I4" s="36"/>
      <c r="J4" s="277">
        <v>2018</v>
      </c>
      <c r="K4" s="544">
        <v>1</v>
      </c>
      <c r="L4" s="544">
        <v>1</v>
      </c>
      <c r="M4" s="700">
        <v>29.44</v>
      </c>
      <c r="N4" s="700">
        <v>69.087142857142865</v>
      </c>
      <c r="O4" s="700">
        <v>15.747142857142856</v>
      </c>
    </row>
    <row r="5" spans="1:15" ht="11.25" customHeight="1">
      <c r="A5" s="74"/>
      <c r="B5" s="73"/>
      <c r="C5" s="73"/>
      <c r="D5" s="73"/>
      <c r="E5" s="73"/>
      <c r="F5" s="73"/>
      <c r="G5" s="73"/>
      <c r="H5" s="12"/>
      <c r="I5" s="12"/>
      <c r="L5" s="544">
        <v>2</v>
      </c>
      <c r="M5" s="700">
        <v>42.880857194285717</v>
      </c>
      <c r="N5" s="700">
        <v>96.785858138571413</v>
      </c>
      <c r="O5" s="700">
        <v>37.6</v>
      </c>
    </row>
    <row r="6" spans="1:15" ht="29.25" customHeight="1">
      <c r="A6" s="136"/>
      <c r="C6" s="376" t="s">
        <v>144</v>
      </c>
      <c r="D6" s="379" t="str">
        <f>UPPER('1. Resumen'!Q4)&amp;"
 "&amp;'1. Resumen'!Q5</f>
        <v>DICIEMBRE
 2021</v>
      </c>
      <c r="E6" s="380" t="str">
        <f>UPPER('1. Resumen'!Q4)&amp;"
 "&amp;'1. Resumen'!Q5-1</f>
        <v>DICIEMBRE
 2020</v>
      </c>
      <c r="F6" s="381" t="s">
        <v>433</v>
      </c>
      <c r="G6" s="138"/>
      <c r="H6" s="24"/>
      <c r="I6" s="12"/>
      <c r="L6" s="544">
        <v>3</v>
      </c>
      <c r="M6" s="700">
        <v>74.002572194285705</v>
      </c>
      <c r="N6" s="700">
        <v>158.17728531428571</v>
      </c>
      <c r="O6" s="700">
        <v>101.26128550142856</v>
      </c>
    </row>
    <row r="7" spans="1:15" ht="11.25" customHeight="1">
      <c r="A7" s="174"/>
      <c r="C7" s="428" t="s">
        <v>145</v>
      </c>
      <c r="D7" s="429">
        <v>63.123644736505184</v>
      </c>
      <c r="E7" s="576">
        <v>22.611838556105052</v>
      </c>
      <c r="F7" s="430">
        <f>IF(E7=0,"",(D7-E7)/E7)</f>
        <v>1.7916192918095197</v>
      </c>
      <c r="G7" s="138"/>
      <c r="H7" s="25"/>
      <c r="I7" s="3"/>
      <c r="L7" s="544">
        <v>4</v>
      </c>
      <c r="M7" s="700">
        <v>77.812570845714291</v>
      </c>
      <c r="N7" s="700">
        <v>167.02357267142858</v>
      </c>
      <c r="O7" s="700">
        <v>77.354000085714276</v>
      </c>
    </row>
    <row r="8" spans="1:15" ht="11.25" customHeight="1">
      <c r="A8" s="174"/>
      <c r="C8" s="431" t="s">
        <v>151</v>
      </c>
      <c r="D8" s="432">
        <v>17.736387129752828</v>
      </c>
      <c r="E8" s="432">
        <v>15.604258029691609</v>
      </c>
      <c r="F8" s="433">
        <f t="shared" ref="F8:F30" si="0">IF(E8=0,"",(D8-E8)/E8)</f>
        <v>0.13663764698098604</v>
      </c>
      <c r="G8" s="138"/>
      <c r="H8" s="23"/>
      <c r="I8" s="3"/>
      <c r="L8" s="544">
        <v>5</v>
      </c>
      <c r="M8" s="700">
        <v>61.531714848571433</v>
      </c>
      <c r="N8" s="700">
        <v>113.19585745142855</v>
      </c>
      <c r="O8" s="700">
        <v>30.667142595714285</v>
      </c>
    </row>
    <row r="9" spans="1:15" ht="11.25" customHeight="1">
      <c r="A9" s="174"/>
      <c r="C9" s="434" t="s">
        <v>152</v>
      </c>
      <c r="D9" s="435">
        <v>102.15454839890987</v>
      </c>
      <c r="E9" s="435">
        <v>83.17745085685462</v>
      </c>
      <c r="F9" s="436">
        <f t="shared" si="0"/>
        <v>0.22815194919491036</v>
      </c>
      <c r="G9" s="138"/>
      <c r="H9" s="25"/>
      <c r="I9" s="3"/>
      <c r="L9" s="544">
        <v>6</v>
      </c>
      <c r="M9" s="700">
        <v>54.024142672857138</v>
      </c>
      <c r="N9" s="700">
        <v>88.535714287142852</v>
      </c>
      <c r="O9" s="700">
        <v>32.444142750000005</v>
      </c>
    </row>
    <row r="10" spans="1:15" ht="11.25" customHeight="1">
      <c r="A10" s="174"/>
      <c r="C10" s="431" t="s">
        <v>159</v>
      </c>
      <c r="D10" s="432">
        <v>127.26693614836645</v>
      </c>
      <c r="E10" s="432">
        <v>112.92938773862751</v>
      </c>
      <c r="F10" s="433">
        <f t="shared" si="0"/>
        <v>0.12696029525036362</v>
      </c>
      <c r="G10" s="138"/>
      <c r="H10" s="25"/>
      <c r="I10" s="3"/>
      <c r="L10" s="544">
        <v>7</v>
      </c>
      <c r="M10" s="700">
        <v>59.271427155714285</v>
      </c>
      <c r="N10" s="700">
        <v>99.37822619047617</v>
      </c>
      <c r="O10" s="700">
        <v>30.338148809523812</v>
      </c>
    </row>
    <row r="11" spans="1:15" ht="11.25" customHeight="1">
      <c r="A11" s="174"/>
      <c r="C11" s="434" t="s">
        <v>160</v>
      </c>
      <c r="D11" s="435">
        <v>64.856548801545088</v>
      </c>
      <c r="E11" s="435">
        <v>89.511128456361675</v>
      </c>
      <c r="F11" s="436">
        <f t="shared" si="0"/>
        <v>-0.27543591595804928</v>
      </c>
      <c r="G11" s="138"/>
      <c r="H11" s="25"/>
      <c r="I11" s="3"/>
      <c r="K11" s="544">
        <v>8</v>
      </c>
      <c r="L11" s="544">
        <v>8</v>
      </c>
      <c r="M11" s="700">
        <v>78.025571005714284</v>
      </c>
      <c r="N11" s="700">
        <v>140.28</v>
      </c>
      <c r="O11" s="700">
        <v>62.97</v>
      </c>
    </row>
    <row r="12" spans="1:15" ht="11.25" customHeight="1">
      <c r="A12" s="174"/>
      <c r="C12" s="431" t="s">
        <v>162</v>
      </c>
      <c r="D12" s="432">
        <v>39.767355026737299</v>
      </c>
      <c r="E12" s="432">
        <v>39.239128928030652</v>
      </c>
      <c r="F12" s="433">
        <f t="shared" si="0"/>
        <v>1.3461718267892175E-2</v>
      </c>
      <c r="G12" s="138"/>
      <c r="H12" s="25"/>
      <c r="I12" s="3"/>
      <c r="L12" s="544">
        <v>9</v>
      </c>
      <c r="M12" s="700">
        <v>61.11871501571428</v>
      </c>
      <c r="N12" s="700">
        <v>102.99642836285715</v>
      </c>
      <c r="O12" s="700">
        <v>31.244571685714288</v>
      </c>
    </row>
    <row r="13" spans="1:15" ht="11.25" customHeight="1">
      <c r="A13" s="174"/>
      <c r="C13" s="434" t="s">
        <v>150</v>
      </c>
      <c r="D13" s="435">
        <v>42.884059139784981</v>
      </c>
      <c r="E13" s="435">
        <v>42.590053763440864</v>
      </c>
      <c r="F13" s="436">
        <f t="shared" si="0"/>
        <v>6.9031464007328893E-3</v>
      </c>
      <c r="G13" s="138"/>
      <c r="H13" s="23"/>
      <c r="I13" s="3"/>
      <c r="L13" s="544">
        <v>10</v>
      </c>
      <c r="M13" s="700">
        <v>84.500714981428573</v>
      </c>
      <c r="N13" s="700">
        <v>175.90485927142853</v>
      </c>
      <c r="O13" s="700">
        <v>36.038285662857142</v>
      </c>
    </row>
    <row r="14" spans="1:15" ht="11.25" customHeight="1">
      <c r="A14" s="174"/>
      <c r="C14" s="431" t="s">
        <v>251</v>
      </c>
      <c r="D14" s="432">
        <v>48.154552459716747</v>
      </c>
      <c r="E14" s="432">
        <v>46.799296840544564</v>
      </c>
      <c r="F14" s="433">
        <f t="shared" si="0"/>
        <v>2.8958888501890011E-2</v>
      </c>
      <c r="G14" s="138"/>
      <c r="H14" s="25"/>
      <c r="I14" s="3"/>
      <c r="L14" s="544">
        <v>11</v>
      </c>
      <c r="M14" s="700">
        <v>83.643855504285725</v>
      </c>
      <c r="N14" s="700">
        <v>169.64671761428571</v>
      </c>
      <c r="O14" s="700">
        <v>25.076428275714282</v>
      </c>
    </row>
    <row r="15" spans="1:15" ht="11.25" customHeight="1">
      <c r="A15" s="174"/>
      <c r="C15" s="434" t="s">
        <v>252</v>
      </c>
      <c r="D15" s="435">
        <v>178.01403168709001</v>
      </c>
      <c r="E15" s="435">
        <v>94.296934927663258</v>
      </c>
      <c r="F15" s="436">
        <f t="shared" si="0"/>
        <v>0.88780294739852916</v>
      </c>
      <c r="G15" s="138"/>
      <c r="H15" s="25"/>
      <c r="I15" s="3"/>
      <c r="L15" s="544">
        <v>12</v>
      </c>
      <c r="M15" s="700">
        <v>98.99</v>
      </c>
      <c r="N15" s="700">
        <v>198.22</v>
      </c>
      <c r="O15" s="700">
        <v>24.63</v>
      </c>
    </row>
    <row r="16" spans="1:15" ht="11.25" customHeight="1">
      <c r="A16" s="174"/>
      <c r="C16" s="431" t="s">
        <v>157</v>
      </c>
      <c r="D16" s="432">
        <v>44.079322753414012</v>
      </c>
      <c r="E16" s="432">
        <v>59.380613511608473</v>
      </c>
      <c r="F16" s="433">
        <f t="shared" si="0"/>
        <v>-0.25768158753030013</v>
      </c>
      <c r="G16" s="138"/>
      <c r="H16" s="25"/>
      <c r="I16" s="3"/>
      <c r="L16" s="544">
        <v>13</v>
      </c>
      <c r="M16" s="700">
        <v>106.64928652857144</v>
      </c>
      <c r="N16" s="700">
        <v>312.6314304857143</v>
      </c>
      <c r="O16" s="700">
        <v>38.701428550000003</v>
      </c>
    </row>
    <row r="17" spans="1:15" ht="11.25" customHeight="1">
      <c r="A17" s="174"/>
      <c r="C17" s="434" t="s">
        <v>161</v>
      </c>
      <c r="D17" s="435">
        <v>11.714483937909497</v>
      </c>
      <c r="E17" s="435">
        <v>17.254322590366456</v>
      </c>
      <c r="F17" s="436">
        <f t="shared" si="0"/>
        <v>-0.32106961159692221</v>
      </c>
      <c r="G17" s="138"/>
      <c r="H17" s="25"/>
      <c r="I17" s="3"/>
      <c r="L17" s="544">
        <v>14</v>
      </c>
      <c r="M17" s="700">
        <v>86.488428389999996</v>
      </c>
      <c r="N17" s="700">
        <v>235.31328691428573</v>
      </c>
      <c r="O17" s="700">
        <v>94.596427907142839</v>
      </c>
    </row>
    <row r="18" spans="1:15" ht="11.25" customHeight="1">
      <c r="A18" s="174"/>
      <c r="C18" s="431" t="s">
        <v>253</v>
      </c>
      <c r="D18" s="432">
        <v>14.128978760011687</v>
      </c>
      <c r="E18" s="432">
        <v>14.062782533707125</v>
      </c>
      <c r="F18" s="433">
        <f t="shared" si="0"/>
        <v>4.7071926303273491E-3</v>
      </c>
      <c r="G18" s="138"/>
      <c r="H18" s="25"/>
      <c r="I18" s="3"/>
      <c r="L18" s="544">
        <v>15</v>
      </c>
      <c r="M18" s="700">
        <v>88.217001778571429</v>
      </c>
      <c r="N18" s="700">
        <v>294.1721409428572</v>
      </c>
      <c r="O18" s="700">
        <v>92.07</v>
      </c>
    </row>
    <row r="19" spans="1:15" ht="11.25" customHeight="1">
      <c r="A19" s="174"/>
      <c r="C19" s="434" t="s">
        <v>254</v>
      </c>
      <c r="D19" s="435">
        <v>31.171639784946198</v>
      </c>
      <c r="E19" s="435">
        <v>31.469327956989261</v>
      </c>
      <c r="F19" s="436">
        <f t="shared" si="0"/>
        <v>-9.4596291490536104E-3</v>
      </c>
      <c r="G19" s="138"/>
      <c r="H19" s="25"/>
      <c r="I19" s="3"/>
      <c r="K19" s="544">
        <v>16</v>
      </c>
      <c r="L19" s="544">
        <v>16</v>
      </c>
      <c r="M19" s="700">
        <v>65.84</v>
      </c>
      <c r="N19" s="700">
        <v>149.18</v>
      </c>
      <c r="O19" s="700">
        <v>45.4</v>
      </c>
    </row>
    <row r="20" spans="1:15" ht="11.25" customHeight="1">
      <c r="A20" s="174"/>
      <c r="C20" s="431" t="s">
        <v>255</v>
      </c>
      <c r="D20" s="432">
        <v>1.5054193465940382</v>
      </c>
      <c r="E20" s="432">
        <v>1.1728064447280833</v>
      </c>
      <c r="F20" s="433">
        <f t="shared" si="0"/>
        <v>0.28360425828242414</v>
      </c>
      <c r="G20" s="138"/>
      <c r="H20" s="25"/>
      <c r="I20" s="3"/>
      <c r="L20" s="544">
        <v>17</v>
      </c>
      <c r="M20" s="700">
        <v>51.88</v>
      </c>
      <c r="N20" s="700">
        <v>104.35</v>
      </c>
      <c r="O20" s="700">
        <v>41.47</v>
      </c>
    </row>
    <row r="21" spans="1:15" ht="11.25" customHeight="1">
      <c r="A21" s="174"/>
      <c r="C21" s="434" t="s">
        <v>148</v>
      </c>
      <c r="D21" s="435">
        <v>217.17645214449948</v>
      </c>
      <c r="E21" s="435">
        <v>114.74957989108154</v>
      </c>
      <c r="F21" s="436">
        <f t="shared" si="0"/>
        <v>0.8926121764510152</v>
      </c>
      <c r="G21" s="138"/>
      <c r="H21" s="25"/>
      <c r="I21" s="3"/>
      <c r="L21" s="544">
        <v>18</v>
      </c>
      <c r="M21" s="700">
        <v>49.672285897142856</v>
      </c>
      <c r="N21" s="700">
        <v>78.038143701428567</v>
      </c>
      <c r="O21" s="700">
        <v>65.800999782857133</v>
      </c>
    </row>
    <row r="22" spans="1:15" ht="11.25" customHeight="1">
      <c r="A22" s="174"/>
      <c r="C22" s="431" t="s">
        <v>146</v>
      </c>
      <c r="D22" s="432">
        <v>0.12580644699834967</v>
      </c>
      <c r="E22" s="432">
        <v>0.48364516323612544</v>
      </c>
      <c r="F22" s="433">
        <f t="shared" si="0"/>
        <v>-0.73987862060572618</v>
      </c>
      <c r="G22" s="138"/>
      <c r="H22" s="25"/>
      <c r="I22" s="3"/>
      <c r="L22" s="544">
        <v>19</v>
      </c>
      <c r="M22" s="700">
        <v>45.203000204285708</v>
      </c>
      <c r="N22" s="700">
        <v>78.313856942857129</v>
      </c>
      <c r="O22" s="700">
        <v>75.104713441428572</v>
      </c>
    </row>
    <row r="23" spans="1:15" ht="11.25" customHeight="1">
      <c r="A23" s="174"/>
      <c r="C23" s="434" t="s">
        <v>147</v>
      </c>
      <c r="D23" s="435">
        <v>34.887001037597628</v>
      </c>
      <c r="E23" s="435">
        <v>7.6991288642729234</v>
      </c>
      <c r="F23" s="436">
        <f t="shared" si="0"/>
        <v>3.5312920010324085</v>
      </c>
      <c r="G23" s="138"/>
      <c r="H23" s="25"/>
      <c r="I23" s="3"/>
      <c r="L23" s="544">
        <v>20</v>
      </c>
      <c r="M23" s="700">
        <v>37.385857718571437</v>
      </c>
      <c r="N23" s="700">
        <v>130.92628696285712</v>
      </c>
      <c r="O23" s="700">
        <v>97.861000055714285</v>
      </c>
    </row>
    <row r="24" spans="1:15" ht="11.25" customHeight="1">
      <c r="A24" s="174"/>
      <c r="C24" s="431" t="s">
        <v>163</v>
      </c>
      <c r="D24" s="432">
        <v>41.101935725058254</v>
      </c>
      <c r="E24" s="432">
        <v>9.4014837972579279</v>
      </c>
      <c r="F24" s="433">
        <f t="shared" si="0"/>
        <v>3.3718562528444922</v>
      </c>
      <c r="G24" s="138"/>
      <c r="H24" s="26"/>
      <c r="I24" s="3"/>
      <c r="L24" s="544">
        <v>21</v>
      </c>
      <c r="M24" s="700">
        <v>31.609713962857143</v>
      </c>
      <c r="N24" s="700">
        <v>64.449287412857146</v>
      </c>
      <c r="O24" s="700">
        <v>107.7964292242857</v>
      </c>
    </row>
    <row r="25" spans="1:15" ht="11.25" customHeight="1">
      <c r="A25" s="138"/>
      <c r="C25" s="434" t="s">
        <v>153</v>
      </c>
      <c r="D25" s="435">
        <v>0.21532257814561104</v>
      </c>
      <c r="E25" s="435">
        <v>0</v>
      </c>
      <c r="F25" s="436" t="str">
        <f t="shared" si="0"/>
        <v/>
      </c>
      <c r="G25" s="158"/>
      <c r="H25" s="25"/>
      <c r="I25" s="3"/>
      <c r="L25" s="544">
        <v>22</v>
      </c>
      <c r="M25" s="700">
        <v>23.360142844285715</v>
      </c>
      <c r="N25" s="700">
        <v>64.449287412857146</v>
      </c>
      <c r="O25" s="700">
        <v>107.7964292242857</v>
      </c>
    </row>
    <row r="26" spans="1:15" ht="11.25" customHeight="1">
      <c r="A26" s="175"/>
      <c r="C26" s="431" t="s">
        <v>154</v>
      </c>
      <c r="D26" s="432">
        <v>2.17845159961331</v>
      </c>
      <c r="E26" s="432">
        <v>0.99203225008902884</v>
      </c>
      <c r="F26" s="433">
        <f t="shared" si="0"/>
        <v>1.195948367019124</v>
      </c>
      <c r="G26" s="138"/>
      <c r="H26" s="23"/>
      <c r="I26" s="3"/>
      <c r="L26" s="544">
        <v>23</v>
      </c>
      <c r="M26" s="700">
        <v>22.118571418571431</v>
      </c>
      <c r="N26" s="700">
        <v>39.50100054</v>
      </c>
      <c r="O26" s="700">
        <v>35.176713670000005</v>
      </c>
    </row>
    <row r="27" spans="1:15" ht="11.25" customHeight="1">
      <c r="A27" s="138"/>
      <c r="C27" s="434" t="s">
        <v>155</v>
      </c>
      <c r="D27" s="435">
        <v>9.0645159925183804E-3</v>
      </c>
      <c r="E27" s="435">
        <v>4.4838708975622532E-2</v>
      </c>
      <c r="F27" s="436">
        <f t="shared" si="0"/>
        <v>-0.79784172649916196</v>
      </c>
      <c r="G27" s="138"/>
      <c r="H27" s="23"/>
      <c r="I27" s="3"/>
      <c r="K27" s="544">
        <v>24</v>
      </c>
      <c r="L27" s="544">
        <v>24</v>
      </c>
      <c r="M27" s="700">
        <v>18.655142918571432</v>
      </c>
      <c r="N27" s="700">
        <v>33.690285274285714</v>
      </c>
      <c r="O27" s="700">
        <v>23.41942841571429</v>
      </c>
    </row>
    <row r="28" spans="1:15" ht="11.25" customHeight="1">
      <c r="A28" s="138"/>
      <c r="C28" s="431" t="s">
        <v>156</v>
      </c>
      <c r="D28" s="432">
        <v>0</v>
      </c>
      <c r="E28" s="432">
        <v>0</v>
      </c>
      <c r="F28" s="433" t="str">
        <f t="shared" si="0"/>
        <v/>
      </c>
      <c r="G28" s="138"/>
      <c r="H28" s="23"/>
      <c r="I28" s="3"/>
      <c r="L28" s="544">
        <v>25</v>
      </c>
      <c r="M28" s="700">
        <v>15.664428437142856</v>
      </c>
      <c r="N28" s="700">
        <v>30.228428704285715</v>
      </c>
      <c r="O28" s="700">
        <v>15.98614284142857</v>
      </c>
    </row>
    <row r="29" spans="1:15" ht="11.25" customHeight="1">
      <c r="A29" s="158"/>
      <c r="C29" s="434" t="s">
        <v>158</v>
      </c>
      <c r="D29" s="435">
        <v>1.6567990126148291</v>
      </c>
      <c r="E29" s="435">
        <v>0.16387097008766602</v>
      </c>
      <c r="F29" s="436">
        <f t="shared" si="0"/>
        <v>9.1103875306803381</v>
      </c>
      <c r="G29" s="176"/>
      <c r="H29" s="23"/>
      <c r="I29" s="3"/>
      <c r="L29" s="544">
        <v>26</v>
      </c>
      <c r="M29" s="700">
        <v>13.848143032857147</v>
      </c>
      <c r="N29" s="700">
        <v>27.872285568571431</v>
      </c>
      <c r="O29" s="700">
        <v>14.09042848857143</v>
      </c>
    </row>
    <row r="30" spans="1:15" ht="11.25" customHeight="1">
      <c r="A30" s="175"/>
      <c r="C30" s="437" t="s">
        <v>149</v>
      </c>
      <c r="D30" s="438">
        <v>10.002956989247313</v>
      </c>
      <c r="E30" s="438">
        <v>8.09</v>
      </c>
      <c r="F30" s="439">
        <f t="shared" si="0"/>
        <v>0.23645945478953187</v>
      </c>
      <c r="G30" s="138"/>
      <c r="H30" s="25"/>
      <c r="I30" s="3"/>
      <c r="L30" s="544">
        <v>27</v>
      </c>
      <c r="M30" s="700">
        <v>12.865857259999999</v>
      </c>
      <c r="N30" s="700">
        <v>27.257571358571429</v>
      </c>
      <c r="O30" s="700">
        <v>11.838857105714284</v>
      </c>
    </row>
    <row r="31" spans="1:15" ht="11.25" customHeight="1">
      <c r="A31" s="137"/>
      <c r="C31" s="265" t="str">
        <f>"Cuadro N°10: Promedio de caudales en "&amp;'1. Resumen'!Q4</f>
        <v>Cuadro N°10: Promedio de caudales en diciembre</v>
      </c>
      <c r="D31" s="137"/>
      <c r="E31" s="137"/>
      <c r="F31" s="137"/>
      <c r="G31" s="137"/>
      <c r="H31" s="25"/>
      <c r="I31" s="6"/>
      <c r="L31" s="544">
        <v>28</v>
      </c>
      <c r="M31" s="700">
        <v>12.915285789999999</v>
      </c>
      <c r="N31" s="700">
        <v>27.217285974285712</v>
      </c>
      <c r="O31" s="700">
        <v>9.7789998731428565</v>
      </c>
    </row>
    <row r="32" spans="1:15" ht="11.25" customHeight="1">
      <c r="A32" s="137"/>
      <c r="B32" s="137"/>
      <c r="C32" s="137"/>
      <c r="D32" s="137"/>
      <c r="E32" s="137"/>
      <c r="F32" s="137"/>
      <c r="G32" s="137"/>
      <c r="H32" s="25"/>
      <c r="I32" s="6"/>
      <c r="L32" s="544">
        <v>29</v>
      </c>
      <c r="M32" s="700">
        <v>15.908571428571426</v>
      </c>
      <c r="N32" s="700">
        <v>24.955714285714286</v>
      </c>
      <c r="O32" s="700">
        <v>8.4957142857142856</v>
      </c>
    </row>
    <row r="33" spans="1:15" ht="11.25" customHeight="1">
      <c r="A33" s="137"/>
      <c r="B33" s="137"/>
      <c r="C33" s="137"/>
      <c r="D33" s="137"/>
      <c r="E33" s="137"/>
      <c r="F33" s="137"/>
      <c r="G33" s="137"/>
      <c r="H33" s="25"/>
      <c r="I33" s="6"/>
      <c r="L33" s="544">
        <v>30</v>
      </c>
      <c r="M33" s="700">
        <v>16.584000042857145</v>
      </c>
      <c r="N33" s="700">
        <v>24.80942862142857</v>
      </c>
      <c r="O33" s="700">
        <v>7.807428428142857</v>
      </c>
    </row>
    <row r="34" spans="1:15" ht="11.25" customHeight="1">
      <c r="A34" s="137"/>
      <c r="B34" s="137"/>
      <c r="C34" s="137"/>
      <c r="D34" s="137"/>
      <c r="E34" s="137"/>
      <c r="F34" s="137"/>
      <c r="G34" s="137"/>
      <c r="H34" s="25"/>
      <c r="I34" s="6"/>
      <c r="L34" s="544">
        <v>31</v>
      </c>
      <c r="M34" s="700">
        <v>18.553000000000001</v>
      </c>
      <c r="N34" s="700">
        <v>25.690999999999999</v>
      </c>
      <c r="O34" s="700">
        <v>7.53</v>
      </c>
    </row>
    <row r="35" spans="1:15" ht="17.25" customHeight="1">
      <c r="A35" s="898" t="s">
        <v>381</v>
      </c>
      <c r="B35" s="898"/>
      <c r="C35" s="898"/>
      <c r="D35" s="898"/>
      <c r="E35" s="898"/>
      <c r="F35" s="898"/>
      <c r="G35" s="898"/>
      <c r="H35" s="25"/>
      <c r="I35" s="6"/>
      <c r="K35" s="544">
        <v>32</v>
      </c>
      <c r="L35" s="544">
        <v>32</v>
      </c>
      <c r="M35" s="700">
        <v>17.769714355714285</v>
      </c>
      <c r="N35" s="700">
        <v>27.630000251428573</v>
      </c>
      <c r="O35" s="700">
        <v>6.4074286734285701</v>
      </c>
    </row>
    <row r="36" spans="1:15" ht="11.25" customHeight="1">
      <c r="A36" s="137"/>
      <c r="B36" s="137"/>
      <c r="C36" s="137"/>
      <c r="D36" s="137"/>
      <c r="E36" s="137"/>
      <c r="F36" s="137"/>
      <c r="G36" s="137"/>
      <c r="H36" s="25"/>
      <c r="I36" s="6"/>
      <c r="L36" s="544">
        <v>33</v>
      </c>
      <c r="M36" s="700">
        <v>14.782857348571428</v>
      </c>
      <c r="N36" s="700">
        <v>23.78</v>
      </c>
      <c r="O36" s="700">
        <v>4.9400000000000004</v>
      </c>
    </row>
    <row r="37" spans="1:15" ht="11.25" customHeight="1">
      <c r="A37" s="136"/>
      <c r="B37" s="138"/>
      <c r="C37" s="138"/>
      <c r="D37" s="138"/>
      <c r="E37" s="138"/>
      <c r="F37" s="138"/>
      <c r="G37" s="138"/>
      <c r="H37" s="26"/>
      <c r="I37" s="6"/>
      <c r="L37" s="544">
        <v>34</v>
      </c>
      <c r="M37" s="700">
        <v>15.984000069999999</v>
      </c>
      <c r="N37" s="700">
        <v>23.527999878571428</v>
      </c>
      <c r="O37" s="700">
        <v>4.6688571658571432</v>
      </c>
    </row>
    <row r="38" spans="1:15" ht="11.25" customHeight="1">
      <c r="A38" s="74"/>
      <c r="B38" s="73"/>
      <c r="C38" s="73"/>
      <c r="D38" s="73"/>
      <c r="E38" s="73"/>
      <c r="F38" s="73"/>
      <c r="G38" s="73"/>
      <c r="H38" s="3"/>
      <c r="I38" s="6"/>
      <c r="L38" s="544">
        <v>35</v>
      </c>
      <c r="M38" s="700">
        <v>15.55</v>
      </c>
      <c r="N38" s="700">
        <v>23.29</v>
      </c>
      <c r="O38" s="700">
        <v>4.5999999999999996</v>
      </c>
    </row>
    <row r="39" spans="1:15" ht="11.25" customHeight="1">
      <c r="A39" s="74"/>
      <c r="B39" s="73"/>
      <c r="C39" s="73"/>
      <c r="D39" s="73"/>
      <c r="E39" s="73"/>
      <c r="F39" s="73"/>
      <c r="G39" s="73"/>
      <c r="H39" s="3"/>
      <c r="I39" s="10"/>
      <c r="L39" s="544">
        <v>36</v>
      </c>
      <c r="M39" s="700">
        <v>15.042857142857143</v>
      </c>
      <c r="N39" s="700">
        <v>23.007142857142856</v>
      </c>
      <c r="O39" s="700">
        <v>3.9657142857142857</v>
      </c>
    </row>
    <row r="40" spans="1:15" ht="11.25" customHeight="1">
      <c r="A40" s="74"/>
      <c r="B40" s="73"/>
      <c r="C40" s="73"/>
      <c r="D40" s="73"/>
      <c r="E40" s="73"/>
      <c r="F40" s="73"/>
      <c r="G40" s="73"/>
      <c r="H40" s="3"/>
      <c r="I40" s="10"/>
      <c r="L40" s="544">
        <v>37</v>
      </c>
      <c r="M40" s="700">
        <v>13.386857033</v>
      </c>
      <c r="N40" s="700">
        <v>23.173571724285711</v>
      </c>
      <c r="O40" s="700">
        <v>3.5334285327142858</v>
      </c>
    </row>
    <row r="41" spans="1:15" ht="11.25" customHeight="1">
      <c r="A41" s="74"/>
      <c r="B41" s="73"/>
      <c r="C41" s="73"/>
      <c r="D41" s="73"/>
      <c r="E41" s="73"/>
      <c r="F41" s="73"/>
      <c r="G41" s="73"/>
      <c r="H41" s="3"/>
      <c r="I41" s="7"/>
      <c r="L41" s="544">
        <v>38</v>
      </c>
      <c r="M41" s="700">
        <v>12.963714189999999</v>
      </c>
      <c r="N41" s="700">
        <v>26.454000201428567</v>
      </c>
      <c r="O41" s="700">
        <v>6.4914285118571433</v>
      </c>
    </row>
    <row r="42" spans="1:15" ht="11.25" customHeight="1">
      <c r="A42" s="74"/>
      <c r="B42" s="73"/>
      <c r="C42" s="73"/>
      <c r="D42" s="73"/>
      <c r="E42" s="73"/>
      <c r="F42" s="73"/>
      <c r="G42" s="73"/>
      <c r="H42" s="3"/>
      <c r="I42" s="7"/>
      <c r="L42" s="544">
        <v>39</v>
      </c>
      <c r="M42" s="700">
        <v>9.4700000000000006</v>
      </c>
      <c r="N42" s="700">
        <v>23.7</v>
      </c>
      <c r="O42" s="700">
        <v>4.9000000000000004</v>
      </c>
    </row>
    <row r="43" spans="1:15" ht="11.25" customHeight="1">
      <c r="A43" s="74"/>
      <c r="B43" s="73"/>
      <c r="C43" s="73"/>
      <c r="D43" s="73"/>
      <c r="E43" s="73"/>
      <c r="F43" s="73"/>
      <c r="G43" s="73"/>
      <c r="H43" s="3"/>
      <c r="I43" s="7"/>
      <c r="K43" s="544">
        <v>40</v>
      </c>
      <c r="L43" s="544">
        <v>40</v>
      </c>
      <c r="M43" s="700">
        <v>9.6714286802857146</v>
      </c>
      <c r="N43" s="700">
        <v>23.695143017142858</v>
      </c>
      <c r="O43" s="700">
        <v>4.898285797571428</v>
      </c>
    </row>
    <row r="44" spans="1:15" ht="11.25" customHeight="1">
      <c r="A44" s="74"/>
      <c r="B44" s="73"/>
      <c r="C44" s="73"/>
      <c r="D44" s="73"/>
      <c r="E44" s="73"/>
      <c r="F44" s="73"/>
      <c r="G44" s="73"/>
      <c r="H44" s="6"/>
      <c r="I44" s="10"/>
      <c r="L44" s="544">
        <v>41</v>
      </c>
      <c r="M44" s="700">
        <v>13.23900018419533</v>
      </c>
      <c r="N44" s="700">
        <v>28.113285882132363</v>
      </c>
      <c r="O44" s="700">
        <v>8.3430000032697169</v>
      </c>
    </row>
    <row r="45" spans="1:15" ht="11.25" customHeight="1">
      <c r="A45" s="74"/>
      <c r="B45" s="73"/>
      <c r="C45" s="73"/>
      <c r="D45" s="73"/>
      <c r="E45" s="73"/>
      <c r="F45" s="73"/>
      <c r="G45" s="73"/>
      <c r="H45" s="3"/>
      <c r="I45" s="10"/>
      <c r="L45" s="544">
        <v>42</v>
      </c>
      <c r="M45" s="700">
        <v>13.085142816816015</v>
      </c>
      <c r="N45" s="700">
        <v>37.073285511561743</v>
      </c>
      <c r="O45" s="700">
        <v>7.2735712868826683</v>
      </c>
    </row>
    <row r="46" spans="1:15" ht="11.25" customHeight="1">
      <c r="A46" s="74"/>
      <c r="B46" s="73"/>
      <c r="C46" s="73"/>
      <c r="D46" s="73"/>
      <c r="E46" s="73"/>
      <c r="F46" s="73"/>
      <c r="G46" s="73"/>
      <c r="H46" s="3"/>
      <c r="I46" s="10"/>
      <c r="L46" s="544">
        <v>43</v>
      </c>
      <c r="M46" s="700">
        <v>24.981571742466489</v>
      </c>
      <c r="N46" s="700">
        <v>70.535571507045162</v>
      </c>
      <c r="O46" s="700">
        <v>7.4324284962245324</v>
      </c>
    </row>
    <row r="47" spans="1:15" ht="11.25" customHeight="1">
      <c r="A47" s="74"/>
      <c r="B47" s="73"/>
      <c r="C47" s="73"/>
      <c r="D47" s="73"/>
      <c r="E47" s="73"/>
      <c r="F47" s="73"/>
      <c r="G47" s="73"/>
      <c r="H47" s="11"/>
      <c r="I47" s="11"/>
      <c r="L47" s="544">
        <v>44</v>
      </c>
      <c r="M47" s="700">
        <v>20.55814279714286</v>
      </c>
      <c r="N47" s="700">
        <v>55.183714184285712</v>
      </c>
      <c r="O47" s="700">
        <v>15.801856994857145</v>
      </c>
    </row>
    <row r="48" spans="1:15" ht="11.25" customHeight="1">
      <c r="A48" s="74"/>
      <c r="B48" s="73"/>
      <c r="C48" s="73"/>
      <c r="D48" s="73"/>
      <c r="E48" s="73"/>
      <c r="F48" s="73"/>
      <c r="G48" s="73"/>
      <c r="H48" s="11"/>
      <c r="I48" s="11"/>
      <c r="L48" s="544">
        <v>45</v>
      </c>
      <c r="M48" s="700">
        <v>26.170000077142856</v>
      </c>
      <c r="N48" s="700">
        <v>60.445714132857141</v>
      </c>
      <c r="O48" s="700">
        <v>26.432857787142858</v>
      </c>
    </row>
    <row r="49" spans="1:15" ht="11.25" customHeight="1">
      <c r="A49" s="74"/>
      <c r="B49" s="73"/>
      <c r="C49" s="73"/>
      <c r="D49" s="73"/>
      <c r="E49" s="73"/>
      <c r="F49" s="73"/>
      <c r="G49" s="73"/>
      <c r="H49" s="11"/>
      <c r="I49" s="11"/>
      <c r="L49" s="544">
        <v>46</v>
      </c>
      <c r="M49" s="700">
        <v>19.728571428571428</v>
      </c>
      <c r="N49" s="700">
        <v>57.005714285714291</v>
      </c>
      <c r="O49" s="700">
        <v>53.502857142857145</v>
      </c>
    </row>
    <row r="50" spans="1:15" ht="11.25" customHeight="1">
      <c r="A50" s="74"/>
      <c r="B50" s="73"/>
      <c r="C50" s="73"/>
      <c r="D50" s="73"/>
      <c r="E50" s="73"/>
      <c r="F50" s="73"/>
      <c r="G50" s="73"/>
      <c r="H50" s="11"/>
      <c r="I50" s="11"/>
      <c r="L50" s="544">
        <v>47</v>
      </c>
      <c r="M50" s="700">
        <v>39.656714302857139</v>
      </c>
      <c r="N50" s="700">
        <v>103.00771440714287</v>
      </c>
      <c r="O50" s="700">
        <v>53.459142955714292</v>
      </c>
    </row>
    <row r="51" spans="1:15" ht="11.25" customHeight="1">
      <c r="A51" s="74"/>
      <c r="B51" s="73"/>
      <c r="C51" s="73"/>
      <c r="D51" s="73"/>
      <c r="E51" s="73"/>
      <c r="F51" s="73"/>
      <c r="G51" s="73"/>
      <c r="H51" s="11"/>
      <c r="I51" s="11"/>
      <c r="L51" s="544">
        <v>48</v>
      </c>
      <c r="M51" s="700">
        <v>39.656714302857139</v>
      </c>
      <c r="N51" s="700">
        <v>99.828000734285709</v>
      </c>
      <c r="O51" s="700">
        <v>45.539571760000008</v>
      </c>
    </row>
    <row r="52" spans="1:15" ht="11.25" customHeight="1">
      <c r="A52" s="74"/>
      <c r="B52" s="73"/>
      <c r="C52" s="73"/>
      <c r="D52" s="73"/>
      <c r="E52" s="73"/>
      <c r="F52" s="73"/>
      <c r="G52" s="73"/>
      <c r="H52" s="11"/>
      <c r="I52" s="11"/>
      <c r="L52" s="544">
        <v>49</v>
      </c>
      <c r="M52" s="700">
        <v>22.62857142857143</v>
      </c>
      <c r="N52" s="700">
        <v>60.27571428571428</v>
      </c>
      <c r="O52" s="700">
        <v>17.955714285714286</v>
      </c>
    </row>
    <row r="53" spans="1:15" ht="11.25" customHeight="1">
      <c r="A53" s="74"/>
      <c r="B53" s="73"/>
      <c r="C53" s="73"/>
      <c r="D53" s="73"/>
      <c r="E53" s="73"/>
      <c r="F53" s="73"/>
      <c r="G53" s="73"/>
      <c r="H53" s="11"/>
      <c r="I53" s="11"/>
      <c r="L53" s="544">
        <v>50</v>
      </c>
      <c r="M53" s="700">
        <v>17.776714461428572</v>
      </c>
      <c r="N53" s="700">
        <v>46.701999664285715</v>
      </c>
      <c r="O53" s="700">
        <v>13.432571411428571</v>
      </c>
    </row>
    <row r="54" spans="1:15" ht="11.25" customHeight="1">
      <c r="A54" s="74"/>
      <c r="B54" s="73"/>
      <c r="C54" s="73"/>
      <c r="D54" s="73"/>
      <c r="E54" s="73"/>
      <c r="F54" s="73"/>
      <c r="G54" s="73"/>
      <c r="H54" s="11"/>
      <c r="I54" s="11"/>
      <c r="L54" s="544">
        <v>51</v>
      </c>
      <c r="M54" s="700">
        <v>34.085714285714282</v>
      </c>
      <c r="N54" s="700">
        <v>68.7</v>
      </c>
      <c r="O54" s="700">
        <v>39.414285714285711</v>
      </c>
    </row>
    <row r="55" spans="1:15" ht="13.2">
      <c r="A55" s="74"/>
      <c r="B55" s="73"/>
      <c r="C55" s="73"/>
      <c r="D55" s="73"/>
      <c r="E55" s="73"/>
      <c r="F55" s="73"/>
      <c r="G55" s="73"/>
      <c r="H55" s="11"/>
      <c r="I55" s="11"/>
      <c r="K55" s="544">
        <v>52</v>
      </c>
      <c r="L55" s="544">
        <v>52</v>
      </c>
      <c r="M55" s="700">
        <v>52.094142914285719</v>
      </c>
      <c r="N55" s="700">
        <v>97.347143448571416</v>
      </c>
      <c r="O55" s="700">
        <v>65.679429182857149</v>
      </c>
    </row>
    <row r="56" spans="1:15" ht="13.2">
      <c r="A56" s="74"/>
      <c r="B56" s="73"/>
      <c r="C56" s="73"/>
      <c r="D56" s="73"/>
      <c r="E56" s="73"/>
      <c r="F56" s="73"/>
      <c r="G56" s="73"/>
      <c r="H56" s="11"/>
      <c r="I56" s="11"/>
      <c r="J56" s="277">
        <v>2019</v>
      </c>
      <c r="K56" s="544">
        <v>1</v>
      </c>
      <c r="L56" s="544">
        <v>1</v>
      </c>
      <c r="M56" s="700">
        <v>27.79999951142857</v>
      </c>
      <c r="N56" s="700">
        <v>78.298570904285711</v>
      </c>
      <c r="O56" s="700">
        <v>21.927143370000003</v>
      </c>
    </row>
    <row r="57" spans="1:15" ht="13.2">
      <c r="A57" s="74"/>
      <c r="B57" s="73"/>
      <c r="C57" s="73"/>
      <c r="D57" s="73"/>
      <c r="E57" s="73"/>
      <c r="F57" s="73"/>
      <c r="G57" s="73"/>
      <c r="H57" s="11"/>
      <c r="I57" s="11"/>
      <c r="L57" s="544">
        <v>2</v>
      </c>
      <c r="M57" s="700">
        <v>28.678571428571427</v>
      </c>
      <c r="N57" s="700">
        <v>95.081715179999989</v>
      </c>
      <c r="O57" s="700">
        <v>22.397999900000002</v>
      </c>
    </row>
    <row r="58" spans="1:15" ht="13.2">
      <c r="A58" s="74"/>
      <c r="B58" s="73"/>
      <c r="C58" s="73"/>
      <c r="D58" s="73"/>
      <c r="E58" s="73"/>
      <c r="F58" s="73"/>
      <c r="G58" s="73"/>
      <c r="H58" s="11"/>
      <c r="I58" s="11"/>
      <c r="L58" s="544">
        <v>3</v>
      </c>
      <c r="M58" s="700">
        <v>44.51</v>
      </c>
      <c r="N58" s="700">
        <v>95.65</v>
      </c>
      <c r="O58" s="700">
        <v>17.61</v>
      </c>
    </row>
    <row r="59" spans="1:15" ht="13.2">
      <c r="A59" s="74"/>
      <c r="B59" s="73"/>
      <c r="C59" s="73"/>
      <c r="D59" s="73"/>
      <c r="E59" s="73"/>
      <c r="F59" s="73"/>
      <c r="G59" s="73"/>
      <c r="H59" s="11"/>
      <c r="I59" s="11"/>
      <c r="L59" s="544">
        <v>4</v>
      </c>
      <c r="M59" s="700">
        <v>73.323141914285699</v>
      </c>
      <c r="N59" s="700">
        <v>109.29957036285714</v>
      </c>
      <c r="O59" s="700">
        <v>17.638000354285712</v>
      </c>
    </row>
    <row r="60" spans="1:15" ht="13.2">
      <c r="A60" s="74"/>
      <c r="B60" s="73"/>
      <c r="C60" s="73"/>
      <c r="D60" s="73"/>
      <c r="E60" s="73"/>
      <c r="F60" s="73"/>
      <c r="G60" s="73"/>
      <c r="H60" s="11"/>
      <c r="I60" s="11"/>
      <c r="L60" s="544">
        <v>5</v>
      </c>
      <c r="M60" s="700">
        <v>103.17716724333333</v>
      </c>
      <c r="N60" s="700">
        <v>149.65083311999999</v>
      </c>
      <c r="O60" s="700">
        <v>19.218833289999999</v>
      </c>
    </row>
    <row r="61" spans="1:15" ht="13.2">
      <c r="A61" s="265" t="s">
        <v>495</v>
      </c>
      <c r="B61" s="73"/>
      <c r="C61" s="73"/>
      <c r="D61" s="73"/>
      <c r="E61" s="73"/>
      <c r="F61" s="73"/>
      <c r="G61" s="73"/>
      <c r="H61" s="11"/>
      <c r="I61" s="11"/>
      <c r="L61" s="544">
        <v>6</v>
      </c>
      <c r="M61" s="700">
        <v>79.165714285714287</v>
      </c>
      <c r="N61" s="700">
        <v>136.57714285714286</v>
      </c>
      <c r="O61" s="700">
        <v>57.185714285714276</v>
      </c>
    </row>
    <row r="62" spans="1:15">
      <c r="L62" s="544">
        <v>7</v>
      </c>
      <c r="M62" s="700">
        <v>120.02256992142858</v>
      </c>
      <c r="N62" s="700">
        <v>224.71071514285714</v>
      </c>
      <c r="O62" s="700">
        <v>118.06042697857141</v>
      </c>
    </row>
    <row r="63" spans="1:15">
      <c r="K63" s="544">
        <v>8</v>
      </c>
      <c r="L63" s="544">
        <v>8</v>
      </c>
      <c r="M63" s="700">
        <v>97.560142514285715</v>
      </c>
      <c r="N63" s="700">
        <v>198.04342652857142</v>
      </c>
      <c r="O63" s="700">
        <v>106.29885756428571</v>
      </c>
    </row>
    <row r="64" spans="1:15">
      <c r="L64" s="544">
        <v>9</v>
      </c>
      <c r="M64" s="700">
        <v>97.560142514285715</v>
      </c>
      <c r="N64" s="700">
        <v>191.0112849857143</v>
      </c>
      <c r="O64" s="700">
        <v>142.12385776285717</v>
      </c>
    </row>
    <row r="65" spans="11:15">
      <c r="L65" s="544">
        <v>10</v>
      </c>
      <c r="M65" s="700">
        <v>97.497286117142863</v>
      </c>
      <c r="N65" s="700">
        <v>215.64014109999999</v>
      </c>
      <c r="O65" s="700">
        <v>164.59685624285717</v>
      </c>
    </row>
    <row r="66" spans="11:15">
      <c r="L66" s="544">
        <v>11</v>
      </c>
      <c r="M66" s="700">
        <v>98.21585736955906</v>
      </c>
      <c r="N66" s="700">
        <v>236.76099940708642</v>
      </c>
      <c r="O66" s="700">
        <v>121.6507121494835</v>
      </c>
    </row>
    <row r="67" spans="11:15">
      <c r="L67" s="544">
        <v>12</v>
      </c>
      <c r="M67" s="700">
        <v>91.857713972857141</v>
      </c>
      <c r="N67" s="700">
        <v>250.8679761904763</v>
      </c>
      <c r="O67" s="700">
        <v>166.63136904761905</v>
      </c>
    </row>
    <row r="68" spans="11:15">
      <c r="L68" s="544">
        <v>13</v>
      </c>
      <c r="M68" s="700">
        <v>100.0137132957143</v>
      </c>
      <c r="N68" s="700">
        <v>301.45971681428574</v>
      </c>
      <c r="O68" s="700">
        <v>180.07000078571429</v>
      </c>
    </row>
    <row r="69" spans="11:15">
      <c r="L69" s="544">
        <v>14</v>
      </c>
      <c r="M69" s="700">
        <v>84.272714885714294</v>
      </c>
      <c r="N69" s="700">
        <v>253.08542525714284</v>
      </c>
      <c r="O69" s="700">
        <v>143.43971579999999</v>
      </c>
    </row>
    <row r="70" spans="11:15">
      <c r="L70" s="544">
        <v>15</v>
      </c>
      <c r="M70" s="700">
        <v>61.074856892857142</v>
      </c>
      <c r="N70" s="700">
        <v>253.08542525714284</v>
      </c>
      <c r="O70" s="700">
        <v>152.6561442857143</v>
      </c>
    </row>
    <row r="71" spans="11:15">
      <c r="K71" s="544">
        <v>16</v>
      </c>
      <c r="L71" s="544">
        <v>16</v>
      </c>
      <c r="M71" s="700">
        <v>47.843714031428576</v>
      </c>
      <c r="N71" s="700">
        <v>141.0458592</v>
      </c>
      <c r="O71" s="700">
        <v>83.844285145714295</v>
      </c>
    </row>
    <row r="72" spans="11:15">
      <c r="L72" s="544">
        <v>17</v>
      </c>
      <c r="M72" s="700">
        <v>50.907143728571427</v>
      </c>
      <c r="N72" s="700">
        <v>123.86656951428571</v>
      </c>
      <c r="O72" s="700">
        <v>125.28814153857142</v>
      </c>
    </row>
    <row r="73" spans="11:15">
      <c r="L73" s="544">
        <v>18</v>
      </c>
      <c r="M73" s="700">
        <v>39.120999471428568</v>
      </c>
      <c r="N73" s="700">
        <v>85.173857551428583</v>
      </c>
      <c r="O73" s="700">
        <v>66.347143447142855</v>
      </c>
    </row>
    <row r="74" spans="11:15">
      <c r="L74" s="544">
        <v>19</v>
      </c>
      <c r="M74" s="700">
        <v>35.410856791428571</v>
      </c>
      <c r="N74" s="700">
        <v>71.224285714285699</v>
      </c>
      <c r="O74" s="700">
        <v>42.216071428571425</v>
      </c>
    </row>
    <row r="75" spans="11:15">
      <c r="L75" s="544">
        <v>20</v>
      </c>
      <c r="M75" s="700">
        <v>32.405142920000003</v>
      </c>
      <c r="N75" s="700">
        <v>76.857142859999996</v>
      </c>
      <c r="O75" s="700">
        <v>58.324429100000003</v>
      </c>
    </row>
    <row r="76" spans="11:15">
      <c r="L76" s="544">
        <v>21</v>
      </c>
      <c r="M76" s="700">
        <v>26.58385740142857</v>
      </c>
      <c r="N76" s="700">
        <v>47.97114345</v>
      </c>
      <c r="O76" s="700">
        <v>34.032571519999998</v>
      </c>
    </row>
    <row r="77" spans="11:15">
      <c r="L77" s="544">
        <v>22</v>
      </c>
      <c r="M77" s="700">
        <v>19.653714315714286</v>
      </c>
      <c r="N77" s="700">
        <v>37.624285945285713</v>
      </c>
      <c r="O77" s="700">
        <v>40.524285998571429</v>
      </c>
    </row>
    <row r="78" spans="11:15">
      <c r="L78" s="544">
        <v>23</v>
      </c>
      <c r="M78" s="700">
        <v>16.50400011857143</v>
      </c>
      <c r="N78" s="700">
        <v>37.806285858571421</v>
      </c>
      <c r="O78" s="700">
        <v>25.010571342857141</v>
      </c>
    </row>
    <row r="79" spans="11:15">
      <c r="L79" s="544">
        <v>24</v>
      </c>
      <c r="M79" s="700">
        <v>14.890428544285713</v>
      </c>
      <c r="N79" s="700">
        <v>35.468714032857143</v>
      </c>
      <c r="O79" s="700">
        <v>18.242713997857145</v>
      </c>
    </row>
    <row r="80" spans="11:15">
      <c r="L80" s="544">
        <v>25</v>
      </c>
      <c r="M80" s="700">
        <v>15.340000017142858</v>
      </c>
      <c r="N80" s="700">
        <v>33.200142724285719</v>
      </c>
      <c r="O80" s="700">
        <v>16.013142995714286</v>
      </c>
    </row>
    <row r="81" spans="11:15">
      <c r="K81" s="544">
        <v>26</v>
      </c>
      <c r="L81" s="544">
        <v>26</v>
      </c>
      <c r="M81" s="700">
        <v>15.521142687142857</v>
      </c>
      <c r="N81" s="700">
        <v>28.376285825714287</v>
      </c>
      <c r="O81" s="700">
        <v>12.961571557142857</v>
      </c>
    </row>
    <row r="82" spans="11:15">
      <c r="L82" s="544">
        <v>27</v>
      </c>
      <c r="M82" s="700">
        <v>15.32</v>
      </c>
      <c r="N82" s="700">
        <v>28.47</v>
      </c>
      <c r="O82" s="700">
        <v>11.39</v>
      </c>
    </row>
    <row r="83" spans="11:15">
      <c r="L83" s="544">
        <v>28</v>
      </c>
      <c r="M83" s="700">
        <v>14.809428488571427</v>
      </c>
      <c r="N83" s="700">
        <v>28.920333226666667</v>
      </c>
      <c r="O83" s="700">
        <v>11.405166626666668</v>
      </c>
    </row>
    <row r="84" spans="11:15">
      <c r="L84" s="544">
        <v>29</v>
      </c>
      <c r="M84" s="700">
        <v>13.666428565978956</v>
      </c>
      <c r="N84" s="700">
        <v>24.422333717346149</v>
      </c>
      <c r="O84" s="700">
        <v>10.173999945322651</v>
      </c>
    </row>
    <row r="85" spans="11:15">
      <c r="L85" s="544">
        <v>30</v>
      </c>
      <c r="M85" s="700">
        <v>13.392857142857142</v>
      </c>
      <c r="N85" s="700">
        <v>24.086666666666662</v>
      </c>
      <c r="O85" s="700">
        <v>9.1716666666666669</v>
      </c>
    </row>
    <row r="86" spans="11:15">
      <c r="L86" s="544">
        <v>31</v>
      </c>
      <c r="M86" s="700">
        <v>13.098428589999999</v>
      </c>
      <c r="N86" s="700">
        <v>22.471285411428575</v>
      </c>
      <c r="O86" s="700">
        <v>8.5915715354285727</v>
      </c>
    </row>
    <row r="87" spans="11:15">
      <c r="L87" s="544">
        <v>32</v>
      </c>
      <c r="M87" s="700">
        <v>12.228285654285713</v>
      </c>
      <c r="N87" s="700">
        <v>25.212714058571429</v>
      </c>
      <c r="O87" s="700">
        <v>6.6260000637142857</v>
      </c>
    </row>
    <row r="88" spans="11:15">
      <c r="L88" s="544">
        <v>33</v>
      </c>
      <c r="M88" s="700">
        <v>12.838714327142856</v>
      </c>
      <c r="N88" s="700">
        <v>28.061000278571431</v>
      </c>
      <c r="O88" s="700">
        <v>5.9311428751428581</v>
      </c>
    </row>
    <row r="89" spans="11:15">
      <c r="K89" s="544">
        <v>34</v>
      </c>
      <c r="L89" s="544">
        <v>34</v>
      </c>
      <c r="M89" s="700">
        <v>12.37928554</v>
      </c>
      <c r="N89" s="700">
        <v>28.455856868571431</v>
      </c>
      <c r="O89" s="700">
        <v>5.2604285648571434</v>
      </c>
    </row>
    <row r="90" spans="11:15">
      <c r="L90" s="544">
        <v>35</v>
      </c>
      <c r="M90" s="700">
        <v>11.92371409142857</v>
      </c>
      <c r="N90" s="700">
        <v>26.646000226666668</v>
      </c>
      <c r="O90" s="700">
        <v>4.7316666444999997</v>
      </c>
    </row>
    <row r="91" spans="11:15">
      <c r="L91" s="544">
        <v>36</v>
      </c>
      <c r="M91" s="700">
        <v>10.731857162857143</v>
      </c>
      <c r="N91" s="700">
        <v>27.720570974285714</v>
      </c>
      <c r="O91" s="700">
        <v>4.5542856622857144</v>
      </c>
    </row>
    <row r="92" spans="11:15">
      <c r="L92" s="544">
        <v>37</v>
      </c>
      <c r="M92" s="700">
        <v>11.481428825714286</v>
      </c>
      <c r="N92" s="700">
        <v>27.967571258571429</v>
      </c>
      <c r="O92" s="700">
        <v>4.1919999124285718</v>
      </c>
    </row>
    <row r="93" spans="11:15">
      <c r="L93" s="544">
        <v>38</v>
      </c>
      <c r="M93" s="700">
        <v>12.217142857142859</v>
      </c>
      <c r="N93" s="700">
        <v>31.354000000000003</v>
      </c>
      <c r="O93" s="700">
        <v>4.1759999999999993</v>
      </c>
    </row>
    <row r="94" spans="11:15">
      <c r="L94" s="544">
        <v>39</v>
      </c>
      <c r="M94" s="700">
        <v>15.0261430740356</v>
      </c>
      <c r="N94" s="700">
        <v>37.146399307250938</v>
      </c>
      <c r="O94" s="700">
        <v>4.8932001113891559</v>
      </c>
    </row>
    <row r="95" spans="11:15">
      <c r="L95" s="544">
        <v>40</v>
      </c>
      <c r="M95" s="700">
        <v>13.292000225714288</v>
      </c>
      <c r="N95" s="700">
        <v>29.934999783333328</v>
      </c>
      <c r="O95" s="700">
        <v>5.3130000431666664</v>
      </c>
    </row>
    <row r="96" spans="11:15">
      <c r="L96" s="544">
        <v>41</v>
      </c>
      <c r="M96" s="700">
        <v>15.472143037142859</v>
      </c>
      <c r="N96" s="700">
        <v>31.668000084285715</v>
      </c>
      <c r="O96" s="700">
        <v>8.3924286701428574</v>
      </c>
    </row>
    <row r="97" spans="10:15">
      <c r="L97" s="544">
        <v>42</v>
      </c>
      <c r="M97" s="700">
        <v>14.602857142857143</v>
      </c>
      <c r="N97" s="700">
        <v>30.061428571428571</v>
      </c>
      <c r="O97" s="700">
        <v>9.2871428571428574</v>
      </c>
    </row>
    <row r="98" spans="10:15">
      <c r="L98" s="544">
        <v>43</v>
      </c>
      <c r="M98" s="700">
        <v>18.763999527142854</v>
      </c>
      <c r="N98" s="700">
        <v>48.129999975714291</v>
      </c>
      <c r="O98" s="700">
        <v>18.153714861428572</v>
      </c>
    </row>
    <row r="99" spans="10:15">
      <c r="K99" s="544">
        <v>44</v>
      </c>
      <c r="L99" s="544">
        <v>44</v>
      </c>
      <c r="M99" s="700">
        <v>12.722428322857143</v>
      </c>
      <c r="N99" s="700">
        <v>37.781833011666663</v>
      </c>
      <c r="O99" s="700">
        <v>19.903499760000003</v>
      </c>
    </row>
    <row r="100" spans="10:15">
      <c r="L100" s="544">
        <v>45</v>
      </c>
      <c r="M100" s="700">
        <v>22.372000012857146</v>
      </c>
      <c r="N100" s="700">
        <v>60.721429549999996</v>
      </c>
      <c r="O100" s="700">
        <v>69.077428547142844</v>
      </c>
    </row>
    <row r="101" spans="10:15">
      <c r="L101" s="544">
        <v>46</v>
      </c>
      <c r="M101" s="700">
        <v>28.101571491428576</v>
      </c>
      <c r="N101" s="700">
        <v>68.569856369999997</v>
      </c>
      <c r="O101" s="700">
        <v>51.190428054285711</v>
      </c>
    </row>
    <row r="102" spans="10:15">
      <c r="L102" s="544">
        <v>47</v>
      </c>
      <c r="M102" s="700">
        <v>22.222285951428574</v>
      </c>
      <c r="N102" s="700">
        <v>51.534999302857152</v>
      </c>
      <c r="O102" s="700">
        <v>21.676285608571426</v>
      </c>
    </row>
    <row r="103" spans="10:15">
      <c r="L103" s="544">
        <v>48</v>
      </c>
      <c r="M103" s="700">
        <v>18.796428408571426</v>
      </c>
      <c r="N103" s="700">
        <v>45.115714484285718</v>
      </c>
      <c r="O103" s="700">
        <v>19.428714208571428</v>
      </c>
    </row>
    <row r="104" spans="10:15">
      <c r="L104" s="544">
        <v>49</v>
      </c>
      <c r="M104" s="700">
        <v>40.459857124285712</v>
      </c>
      <c r="N104" s="700">
        <v>84.846428458571424</v>
      </c>
      <c r="O104" s="700">
        <v>67.787142617142862</v>
      </c>
    </row>
    <row r="105" spans="10:15">
      <c r="L105" s="544">
        <v>50</v>
      </c>
      <c r="M105" s="700">
        <v>55.208571570000004</v>
      </c>
      <c r="N105" s="700">
        <v>99.139714364285723</v>
      </c>
      <c r="O105" s="700">
        <v>46.000713344285714</v>
      </c>
    </row>
    <row r="106" spans="10:15">
      <c r="L106" s="544">
        <v>51</v>
      </c>
      <c r="M106" s="700">
        <v>84.778857641428559</v>
      </c>
      <c r="N106" s="700">
        <v>201.52657207142857</v>
      </c>
      <c r="O106" s="700">
        <v>43.586286274285712</v>
      </c>
    </row>
    <row r="107" spans="10:15">
      <c r="K107" s="544">
        <v>52</v>
      </c>
      <c r="L107" s="544">
        <v>52</v>
      </c>
      <c r="M107" s="700">
        <v>90.21400125571428</v>
      </c>
      <c r="N107" s="700">
        <v>224.1094316857143</v>
      </c>
      <c r="O107" s="700">
        <v>50.483570642857153</v>
      </c>
    </row>
    <row r="108" spans="10:15">
      <c r="L108" s="544">
        <v>53</v>
      </c>
      <c r="M108" s="700">
        <v>80.061285835714287</v>
      </c>
      <c r="N108" s="700">
        <v>205.2461395</v>
      </c>
      <c r="O108" s="700">
        <v>83.637714931428576</v>
      </c>
    </row>
    <row r="109" spans="10:15">
      <c r="J109" s="277">
        <v>2020</v>
      </c>
      <c r="L109" s="544">
        <v>1</v>
      </c>
      <c r="M109" s="700">
        <v>42.7519994463239</v>
      </c>
      <c r="N109" s="700">
        <v>129.33128356933543</v>
      </c>
      <c r="O109" s="700">
        <v>35.412713732038192</v>
      </c>
    </row>
    <row r="110" spans="10:15">
      <c r="L110" s="544">
        <v>2</v>
      </c>
      <c r="M110" s="700">
        <v>30.679571151428568</v>
      </c>
      <c r="N110" s="700">
        <v>73.393001012857141</v>
      </c>
      <c r="O110" s="700">
        <v>22.044856754285714</v>
      </c>
    </row>
    <row r="111" spans="10:15">
      <c r="L111" s="544">
        <v>3</v>
      </c>
      <c r="M111" s="700">
        <v>46.443999700000006</v>
      </c>
      <c r="N111" s="700">
        <v>73.092571804285726</v>
      </c>
      <c r="O111" s="700">
        <v>18.210142817142859</v>
      </c>
    </row>
    <row r="112" spans="10:15">
      <c r="L112" s="544">
        <v>4</v>
      </c>
      <c r="M112" s="700">
        <v>56.559571404285713</v>
      </c>
      <c r="N112" s="700">
        <v>140.69343129999999</v>
      </c>
      <c r="O112" s="700">
        <v>15.934428624285713</v>
      </c>
    </row>
    <row r="113" spans="11:15">
      <c r="L113" s="544">
        <v>5</v>
      </c>
      <c r="M113" s="700">
        <v>85.997285015714283</v>
      </c>
      <c r="N113" s="700">
        <v>189.96014404285714</v>
      </c>
      <c r="O113" s="700">
        <v>16.347999845714288</v>
      </c>
    </row>
    <row r="114" spans="11:15">
      <c r="L114" s="544">
        <v>6</v>
      </c>
      <c r="M114" s="700">
        <v>79.643857683454215</v>
      </c>
      <c r="N114" s="700">
        <v>184.55100359235459</v>
      </c>
      <c r="O114" s="700">
        <v>24.545571190970243</v>
      </c>
    </row>
    <row r="115" spans="11:15">
      <c r="L115" s="544">
        <v>7</v>
      </c>
      <c r="M115" s="700">
        <v>62.11542837857143</v>
      </c>
      <c r="N115" s="700">
        <v>141.4891401142857</v>
      </c>
      <c r="O115" s="700">
        <v>17.933714184285712</v>
      </c>
    </row>
    <row r="116" spans="11:15">
      <c r="K116" s="544">
        <v>8</v>
      </c>
      <c r="L116" s="544">
        <v>8</v>
      </c>
      <c r="M116" s="700">
        <v>41.134571620396166</v>
      </c>
      <c r="N116" s="700">
        <v>83.969571794782198</v>
      </c>
      <c r="O116" s="700">
        <v>15.5625712530953</v>
      </c>
    </row>
    <row r="117" spans="11:15">
      <c r="L117" s="544">
        <v>9</v>
      </c>
      <c r="M117" s="700">
        <v>70.027142117142859</v>
      </c>
      <c r="N117" s="700">
        <v>124.34114185428572</v>
      </c>
      <c r="O117" s="700">
        <v>23.340428760000002</v>
      </c>
    </row>
    <row r="118" spans="11:15">
      <c r="L118" s="544">
        <v>10</v>
      </c>
      <c r="M118" s="700">
        <v>51.713285718571434</v>
      </c>
      <c r="N118" s="700">
        <v>110.96499854142857</v>
      </c>
      <c r="O118" s="700">
        <v>51.143429344285714</v>
      </c>
    </row>
    <row r="119" spans="11:15">
      <c r="L119" s="544">
        <v>11</v>
      </c>
      <c r="M119" s="700">
        <v>64.999999455714274</v>
      </c>
      <c r="N119" s="700">
        <v>130.17914037142856</v>
      </c>
      <c r="O119" s="700">
        <v>73.820713587142862</v>
      </c>
    </row>
    <row r="120" spans="11:15">
      <c r="L120" s="544">
        <v>12</v>
      </c>
      <c r="M120" s="700">
        <v>70.530143192836164</v>
      </c>
      <c r="N120" s="700">
        <v>127.86657169886942</v>
      </c>
      <c r="O120" s="700">
        <v>34.1388571602957</v>
      </c>
    </row>
    <row r="121" spans="11:15">
      <c r="L121" s="544">
        <v>13</v>
      </c>
      <c r="M121" s="700">
        <v>73.710714612688278</v>
      </c>
      <c r="N121" s="700">
        <v>138.12900325230143</v>
      </c>
      <c r="O121" s="700">
        <v>66.457714898245612</v>
      </c>
    </row>
    <row r="122" spans="11:15">
      <c r="L122" s="544">
        <v>14</v>
      </c>
      <c r="M122" s="700">
        <v>57.796857017142862</v>
      </c>
      <c r="N122" s="700">
        <v>109.14457049285714</v>
      </c>
      <c r="O122" s="700">
        <v>82.626999985714278</v>
      </c>
    </row>
    <row r="123" spans="11:15">
      <c r="L123" s="544">
        <v>15</v>
      </c>
      <c r="M123" s="700">
        <v>44.430285317142861</v>
      </c>
      <c r="N123" s="700">
        <v>80.133571635714276</v>
      </c>
      <c r="O123" s="700">
        <v>89.91342707714287</v>
      </c>
    </row>
    <row r="124" spans="11:15">
      <c r="K124" s="544">
        <v>16</v>
      </c>
      <c r="L124" s="544">
        <v>16</v>
      </c>
      <c r="M124" s="700">
        <v>30.701856885714285</v>
      </c>
      <c r="N124" s="700">
        <v>57.13714327142857</v>
      </c>
      <c r="O124" s="700">
        <v>73.487428932857142</v>
      </c>
    </row>
    <row r="125" spans="11:15">
      <c r="L125" s="544">
        <v>17</v>
      </c>
      <c r="M125" s="700">
        <v>24.932857240949314</v>
      </c>
      <c r="N125" s="700">
        <v>55.184285845075259</v>
      </c>
      <c r="O125" s="700">
        <v>80.585714067731558</v>
      </c>
    </row>
    <row r="126" spans="11:15">
      <c r="L126" s="544">
        <v>18</v>
      </c>
      <c r="M126" s="700">
        <v>46.867285591428576</v>
      </c>
      <c r="N126" s="700">
        <v>80.201000221428572</v>
      </c>
      <c r="O126" s="700">
        <v>93.131286082857144</v>
      </c>
    </row>
    <row r="127" spans="11:15">
      <c r="L127" s="544">
        <v>19</v>
      </c>
      <c r="M127" s="700">
        <v>39.880857740000003</v>
      </c>
      <c r="N127" s="700">
        <v>73.398713792857151</v>
      </c>
      <c r="O127" s="700">
        <v>43.960427964285714</v>
      </c>
    </row>
    <row r="128" spans="11:15">
      <c r="L128" s="544">
        <v>20</v>
      </c>
      <c r="M128" s="700">
        <v>34.332998821428575</v>
      </c>
      <c r="N128" s="700">
        <v>57.629714421428567</v>
      </c>
      <c r="O128" s="700">
        <v>29.038571492857141</v>
      </c>
    </row>
    <row r="129" spans="11:15">
      <c r="L129" s="544">
        <v>21</v>
      </c>
      <c r="M129" s="700">
        <v>28.39914212908057</v>
      </c>
      <c r="N129" s="700">
        <v>47.208427974155924</v>
      </c>
      <c r="O129" s="700">
        <v>20.747856957571798</v>
      </c>
    </row>
    <row r="130" spans="11:15">
      <c r="L130" s="544">
        <v>22</v>
      </c>
      <c r="M130" s="700">
        <v>19.016142710000004</v>
      </c>
      <c r="N130" s="700">
        <v>39.635571071428572</v>
      </c>
      <c r="O130" s="700">
        <v>28.597570964285715</v>
      </c>
    </row>
    <row r="131" spans="11:15">
      <c r="L131" s="544">
        <v>23</v>
      </c>
      <c r="M131" s="700">
        <v>16.323713982857143</v>
      </c>
      <c r="N131" s="700">
        <v>49.136857168571431</v>
      </c>
      <c r="O131" s="700">
        <v>19.104714530000003</v>
      </c>
    </row>
    <row r="132" spans="11:15">
      <c r="K132" s="544">
        <v>24</v>
      </c>
      <c r="L132" s="544">
        <v>24</v>
      </c>
      <c r="M132" s="700">
        <v>14.458999906267413</v>
      </c>
      <c r="N132" s="700">
        <v>34.150428227015844</v>
      </c>
      <c r="O132" s="700">
        <v>14.211285591125442</v>
      </c>
    </row>
    <row r="133" spans="11:15">
      <c r="L133" s="544">
        <v>25</v>
      </c>
      <c r="M133" s="700">
        <v>13.476999827142858</v>
      </c>
      <c r="N133" s="700">
        <v>32.288857598571425</v>
      </c>
      <c r="O133" s="700">
        <v>11.628714288571429</v>
      </c>
    </row>
    <row r="134" spans="11:15">
      <c r="L134" s="544">
        <v>26</v>
      </c>
      <c r="M134" s="700">
        <v>14.175142699999999</v>
      </c>
      <c r="N134" s="700">
        <v>29.45585686714286</v>
      </c>
      <c r="O134" s="700">
        <v>11.67571422</v>
      </c>
    </row>
    <row r="135" spans="11:15">
      <c r="L135" s="544">
        <v>27</v>
      </c>
      <c r="M135" s="700">
        <v>12.859571456909155</v>
      </c>
      <c r="N135" s="731">
        <v>27.986428669520745</v>
      </c>
      <c r="O135" s="700">
        <v>27.48885754176543</v>
      </c>
    </row>
    <row r="136" spans="11:15">
      <c r="L136" s="544">
        <v>28</v>
      </c>
      <c r="M136" s="700">
        <v>11.472142902857144</v>
      </c>
      <c r="N136" s="731">
        <v>24.371857235714284</v>
      </c>
      <c r="O136" s="700">
        <v>32.395143782857147</v>
      </c>
    </row>
    <row r="137" spans="11:15">
      <c r="L137" s="544">
        <v>29</v>
      </c>
      <c r="M137" s="700">
        <v>11.32885715142857</v>
      </c>
      <c r="N137" s="731">
        <v>23.620857238571428</v>
      </c>
      <c r="O137" s="700">
        <v>14.974999971428572</v>
      </c>
    </row>
    <row r="138" spans="11:15">
      <c r="L138" s="544">
        <v>30</v>
      </c>
      <c r="M138" s="700">
        <v>11.152000155714285</v>
      </c>
      <c r="N138" s="731">
        <v>26.757428577142853</v>
      </c>
      <c r="O138" s="700">
        <v>14.12842846</v>
      </c>
    </row>
    <row r="139" spans="11:15">
      <c r="L139" s="544">
        <v>31</v>
      </c>
      <c r="M139" s="700">
        <v>10.852571488571428</v>
      </c>
      <c r="N139" s="731">
        <v>26.481285638571428</v>
      </c>
      <c r="O139" s="700">
        <v>10.121857098285714</v>
      </c>
    </row>
    <row r="140" spans="11:15">
      <c r="K140" s="544">
        <v>32</v>
      </c>
      <c r="L140" s="544">
        <v>32</v>
      </c>
      <c r="M140" s="700">
        <v>10.338285718645329</v>
      </c>
      <c r="N140" s="731">
        <v>25.506571633475126</v>
      </c>
      <c r="O140" s="700">
        <v>7.7241428239004906</v>
      </c>
    </row>
    <row r="141" spans="11:15">
      <c r="L141" s="544">
        <v>33</v>
      </c>
      <c r="M141" s="700">
        <v>11.413999967142857</v>
      </c>
      <c r="N141" s="731">
        <v>31.441428594285707</v>
      </c>
      <c r="O141" s="700">
        <v>8.5772858349999996</v>
      </c>
    </row>
    <row r="142" spans="11:15">
      <c r="L142" s="544">
        <v>34</v>
      </c>
      <c r="M142" s="700">
        <v>11.662143027142859</v>
      </c>
      <c r="N142" s="731">
        <v>33.365713935714282</v>
      </c>
      <c r="O142" s="700">
        <v>6.7090001108571427</v>
      </c>
    </row>
    <row r="143" spans="11:15">
      <c r="L143" s="544">
        <v>35</v>
      </c>
      <c r="M143" s="700">
        <v>11.541428702218141</v>
      </c>
      <c r="N143" s="700">
        <v>29.068999699183816</v>
      </c>
      <c r="O143" s="700">
        <v>5.7295714105878517</v>
      </c>
    </row>
    <row r="144" spans="11:15">
      <c r="L144" s="544">
        <v>36</v>
      </c>
      <c r="M144" s="700">
        <v>13.286857196262856</v>
      </c>
      <c r="N144" s="700">
        <v>26.005428859165701</v>
      </c>
      <c r="O144" s="700">
        <v>5.6865714618137853</v>
      </c>
    </row>
    <row r="145" spans="11:15">
      <c r="L145" s="544">
        <v>37</v>
      </c>
      <c r="M145" s="700">
        <v>15.49071434565947</v>
      </c>
      <c r="N145" s="700">
        <v>25.021857125418485</v>
      </c>
      <c r="O145" s="700">
        <v>5.3568570954459016</v>
      </c>
    </row>
    <row r="146" spans="11:15">
      <c r="L146" s="544">
        <v>38</v>
      </c>
      <c r="M146" s="700">
        <v>16.166143281119158</v>
      </c>
      <c r="N146" s="700">
        <v>27.854714257376486</v>
      </c>
      <c r="O146" s="700">
        <v>6.9268571308680906</v>
      </c>
    </row>
    <row r="147" spans="11:15">
      <c r="L147" s="544">
        <v>39</v>
      </c>
      <c r="M147" s="700">
        <v>16.810999734285712</v>
      </c>
      <c r="N147" s="732">
        <v>27.986571175714282</v>
      </c>
      <c r="O147" s="700">
        <v>9.9768571861428565</v>
      </c>
    </row>
    <row r="148" spans="11:15">
      <c r="K148" s="544">
        <v>40</v>
      </c>
      <c r="L148" s="544">
        <v>40</v>
      </c>
      <c r="M148" s="700">
        <v>14.579285758571428</v>
      </c>
      <c r="N148" s="732">
        <v>25.258999961428572</v>
      </c>
      <c r="O148" s="700">
        <v>7.1328571184285705</v>
      </c>
    </row>
    <row r="149" spans="11:15">
      <c r="L149" s="544">
        <v>41</v>
      </c>
      <c r="M149" s="700">
        <v>13.048857279999998</v>
      </c>
      <c r="N149" s="732">
        <v>25.185571671428566</v>
      </c>
      <c r="O149" s="700">
        <v>4.9102856772857146</v>
      </c>
    </row>
    <row r="150" spans="11:15">
      <c r="L150" s="544">
        <v>42</v>
      </c>
      <c r="M150" s="700">
        <v>14.871000289916955</v>
      </c>
      <c r="N150" s="732">
        <v>33.125999450683558</v>
      </c>
      <c r="O150" s="700">
        <v>6.3367142677306969</v>
      </c>
    </row>
    <row r="151" spans="11:15">
      <c r="L151" s="544">
        <v>43</v>
      </c>
      <c r="M151" s="700">
        <v>21.991714477142857</v>
      </c>
      <c r="N151" s="732">
        <v>41.127143314285711</v>
      </c>
      <c r="O151" s="700">
        <v>11.867142950714285</v>
      </c>
    </row>
    <row r="152" spans="11:15">
      <c r="L152" s="544">
        <v>44</v>
      </c>
      <c r="M152" s="700">
        <v>13.904857091428573</v>
      </c>
      <c r="N152" s="700">
        <v>33.038428169999996</v>
      </c>
      <c r="O152" s="700">
        <v>5.2337141718571427</v>
      </c>
    </row>
    <row r="153" spans="11:15">
      <c r="L153" s="544">
        <v>45</v>
      </c>
      <c r="M153" s="700">
        <v>13.184428621428571</v>
      </c>
      <c r="N153" s="700">
        <v>40.115713391428571</v>
      </c>
      <c r="O153" s="700">
        <v>5.0682858059999996</v>
      </c>
    </row>
    <row r="154" spans="11:15">
      <c r="L154" s="544">
        <v>46</v>
      </c>
      <c r="M154" s="700">
        <v>13.14228561857143</v>
      </c>
      <c r="N154" s="700">
        <v>43.881571090000001</v>
      </c>
      <c r="O154" s="700">
        <v>4.7745714188571426</v>
      </c>
    </row>
    <row r="155" spans="11:15">
      <c r="L155" s="544">
        <v>47</v>
      </c>
      <c r="M155" s="700">
        <v>15.124714305714289</v>
      </c>
      <c r="N155" s="700">
        <v>42.811571392857147</v>
      </c>
      <c r="O155" s="700">
        <v>5.635714394571429</v>
      </c>
    </row>
    <row r="156" spans="11:15">
      <c r="L156" s="544">
        <v>48</v>
      </c>
      <c r="M156" s="700">
        <v>27.692142758571432</v>
      </c>
      <c r="N156" s="700">
        <v>66.262570518571422</v>
      </c>
      <c r="O156" s="700">
        <v>27.02714340957143</v>
      </c>
    </row>
    <row r="157" spans="11:15">
      <c r="L157" s="544">
        <v>49</v>
      </c>
      <c r="M157" s="700">
        <v>64.694000790000004</v>
      </c>
      <c r="N157" s="700">
        <v>122.24228668571428</v>
      </c>
      <c r="O157" s="700">
        <v>80.020142697142845</v>
      </c>
    </row>
    <row r="158" spans="11:15">
      <c r="L158" s="544">
        <v>50</v>
      </c>
      <c r="M158" s="700">
        <v>43.356857299999994</v>
      </c>
      <c r="N158" s="700">
        <v>78.250285555714285</v>
      </c>
      <c r="O158" s="700">
        <v>98.373141695714281</v>
      </c>
    </row>
    <row r="159" spans="11:15">
      <c r="L159" s="544">
        <v>51</v>
      </c>
      <c r="M159" s="700">
        <v>66.695286888571431</v>
      </c>
      <c r="N159" s="700">
        <v>123.13128661428571</v>
      </c>
      <c r="O159" s="700">
        <v>141.80585590000001</v>
      </c>
    </row>
    <row r="160" spans="11:15">
      <c r="K160" s="544">
        <v>52</v>
      </c>
      <c r="L160" s="544">
        <v>52</v>
      </c>
      <c r="M160" s="700">
        <v>79.132000515714282</v>
      </c>
      <c r="N160" s="700">
        <v>151.04400198571429</v>
      </c>
      <c r="O160" s="700">
        <v>62.055856431428573</v>
      </c>
    </row>
    <row r="161" spans="10:34">
      <c r="J161" s="277">
        <v>2021</v>
      </c>
      <c r="L161" s="544">
        <v>1</v>
      </c>
      <c r="M161" s="700">
        <v>93.616000575714295</v>
      </c>
      <c r="N161" s="700">
        <v>194.93985855714286</v>
      </c>
      <c r="O161" s="700">
        <v>38.49128532428572</v>
      </c>
    </row>
    <row r="162" spans="10:34">
      <c r="L162" s="544">
        <v>2</v>
      </c>
      <c r="M162" s="700">
        <v>109.19371577142856</v>
      </c>
      <c r="N162" s="700">
        <v>191.56657192857145</v>
      </c>
      <c r="O162" s="700">
        <v>52.185428618571436</v>
      </c>
    </row>
    <row r="163" spans="10:34">
      <c r="L163" s="544">
        <v>3</v>
      </c>
      <c r="M163" s="700">
        <v>111.32100131428571</v>
      </c>
      <c r="N163" s="700">
        <v>253.28128705714289</v>
      </c>
      <c r="O163" s="700">
        <v>72.971142360000002</v>
      </c>
    </row>
    <row r="164" spans="10:34">
      <c r="L164" s="544">
        <v>4</v>
      </c>
      <c r="M164" s="700">
        <v>111.11885721428568</v>
      </c>
      <c r="N164" s="700">
        <v>244.7925720428571</v>
      </c>
      <c r="O164" s="700">
        <v>82.663999837142867</v>
      </c>
    </row>
    <row r="165" spans="10:34" s="568" customFormat="1">
      <c r="J165" s="277"/>
      <c r="K165" s="544"/>
      <c r="L165" s="544">
        <v>5</v>
      </c>
      <c r="M165" s="700">
        <v>108.66071318571429</v>
      </c>
      <c r="N165" s="700">
        <v>220.6247188142857</v>
      </c>
      <c r="O165" s="700">
        <v>54.198429654285711</v>
      </c>
      <c r="P165" s="277"/>
      <c r="Q165" s="278"/>
      <c r="R165" s="751"/>
      <c r="S165" s="751"/>
      <c r="T165" s="751"/>
      <c r="U165" s="751"/>
      <c r="V165" s="751"/>
      <c r="W165" s="751"/>
      <c r="X165" s="751"/>
      <c r="Y165" s="751"/>
      <c r="Z165" s="751"/>
      <c r="AA165" s="751"/>
      <c r="AB165" s="751"/>
      <c r="AC165" s="751"/>
      <c r="AD165" s="751"/>
      <c r="AE165" s="751"/>
      <c r="AF165" s="751"/>
      <c r="AG165" s="751"/>
      <c r="AH165" s="751"/>
    </row>
    <row r="166" spans="10:34" s="568" customFormat="1">
      <c r="J166" s="277"/>
      <c r="K166" s="544"/>
      <c r="L166" s="544">
        <v>6</v>
      </c>
      <c r="M166" s="700">
        <v>90.469143462857147</v>
      </c>
      <c r="N166" s="700">
        <v>163.06042698571429</v>
      </c>
      <c r="O166" s="700">
        <v>42.827428274285715</v>
      </c>
      <c r="P166" s="277"/>
      <c r="Q166" s="278"/>
      <c r="R166" s="751"/>
      <c r="S166" s="751"/>
      <c r="T166" s="751"/>
      <c r="U166" s="751"/>
      <c r="V166" s="751"/>
      <c r="W166" s="751"/>
      <c r="X166" s="751"/>
      <c r="Y166" s="751"/>
      <c r="Z166" s="751"/>
      <c r="AA166" s="751"/>
      <c r="AB166" s="751"/>
      <c r="AC166" s="751"/>
      <c r="AD166" s="751"/>
      <c r="AE166" s="751"/>
      <c r="AF166" s="751"/>
      <c r="AG166" s="751"/>
      <c r="AH166" s="751"/>
    </row>
    <row r="167" spans="10:34" s="568" customFormat="1">
      <c r="J167" s="277"/>
      <c r="K167" s="544"/>
      <c r="L167" s="544">
        <v>7</v>
      </c>
      <c r="M167" s="700">
        <v>58.4</v>
      </c>
      <c r="N167" s="700">
        <v>104.39303571428574</v>
      </c>
      <c r="O167" s="700">
        <v>28.153690476190491</v>
      </c>
      <c r="P167" s="277"/>
      <c r="Q167" s="278"/>
      <c r="R167" s="751"/>
      <c r="S167" s="751"/>
      <c r="T167" s="751"/>
      <c r="U167" s="751"/>
      <c r="V167" s="751"/>
      <c r="W167" s="751"/>
      <c r="X167" s="751"/>
      <c r="Y167" s="751"/>
      <c r="Z167" s="751"/>
      <c r="AA167" s="751"/>
      <c r="AB167" s="751"/>
      <c r="AC167" s="751"/>
      <c r="AD167" s="751"/>
      <c r="AE167" s="751"/>
      <c r="AF167" s="751"/>
      <c r="AG167" s="751"/>
      <c r="AH167" s="751"/>
    </row>
    <row r="168" spans="10:34" s="568" customFormat="1">
      <c r="J168" s="277"/>
      <c r="K168" s="544"/>
      <c r="L168" s="544">
        <v>8</v>
      </c>
      <c r="M168" s="700">
        <v>45.103515238095234</v>
      </c>
      <c r="N168" s="700">
        <v>61.820178571428535</v>
      </c>
      <c r="O168" s="700">
        <v>19.304999999999993</v>
      </c>
      <c r="P168" s="277"/>
      <c r="Q168" s="278"/>
      <c r="R168" s="751"/>
      <c r="S168" s="751"/>
      <c r="T168" s="751"/>
      <c r="U168" s="751"/>
      <c r="V168" s="751"/>
      <c r="W168" s="751"/>
      <c r="X168" s="751"/>
      <c r="Y168" s="751"/>
      <c r="Z168" s="751"/>
      <c r="AA168" s="751"/>
      <c r="AB168" s="751"/>
      <c r="AC168" s="751"/>
      <c r="AD168" s="751"/>
      <c r="AE168" s="751"/>
      <c r="AF168" s="751"/>
      <c r="AG168" s="751"/>
      <c r="AH168" s="751"/>
    </row>
    <row r="169" spans="10:34" s="568" customFormat="1">
      <c r="J169" s="277"/>
      <c r="K169" s="544"/>
      <c r="L169" s="544">
        <v>9</v>
      </c>
      <c r="M169" s="700">
        <v>56.496856689453068</v>
      </c>
      <c r="N169" s="700">
        <v>85.507331848144418</v>
      </c>
      <c r="O169" s="700">
        <v>82.847664833068805</v>
      </c>
      <c r="P169" s="277"/>
      <c r="Q169" s="278"/>
      <c r="R169" s="751"/>
      <c r="S169" s="751"/>
      <c r="T169" s="751"/>
      <c r="U169" s="751"/>
      <c r="V169" s="751"/>
      <c r="W169" s="751"/>
      <c r="X169" s="751"/>
      <c r="Y169" s="751"/>
      <c r="Z169" s="751"/>
      <c r="AA169" s="751"/>
      <c r="AB169" s="751"/>
      <c r="AC169" s="751"/>
      <c r="AD169" s="751"/>
      <c r="AE169" s="751"/>
      <c r="AF169" s="751"/>
      <c r="AG169" s="751"/>
      <c r="AH169" s="751"/>
    </row>
    <row r="170" spans="10:34" s="568" customFormat="1">
      <c r="J170" s="277"/>
      <c r="K170" s="544"/>
      <c r="L170" s="544">
        <v>10</v>
      </c>
      <c r="M170" s="700">
        <v>90.554714198571432</v>
      </c>
      <c r="N170" s="700">
        <v>173.29428537142854</v>
      </c>
      <c r="O170" s="700">
        <v>214.06428527142856</v>
      </c>
      <c r="P170" s="277"/>
      <c r="Q170" s="278"/>
      <c r="R170" s="751"/>
      <c r="S170" s="751"/>
      <c r="T170" s="751"/>
      <c r="U170" s="751"/>
      <c r="V170" s="751"/>
      <c r="W170" s="751"/>
      <c r="X170" s="751"/>
      <c r="Y170" s="751"/>
      <c r="Z170" s="751"/>
      <c r="AA170" s="751"/>
      <c r="AB170" s="751"/>
      <c r="AC170" s="751"/>
      <c r="AD170" s="751"/>
      <c r="AE170" s="751"/>
      <c r="AF170" s="751"/>
      <c r="AG170" s="751"/>
      <c r="AH170" s="751"/>
    </row>
    <row r="171" spans="10:34" s="568" customFormat="1">
      <c r="J171" s="277"/>
      <c r="K171" s="544"/>
      <c r="L171" s="544">
        <v>11</v>
      </c>
      <c r="M171" s="700">
        <v>98.085857941428586</v>
      </c>
      <c r="N171" s="700">
        <v>159.83856852857141</v>
      </c>
      <c r="O171" s="700">
        <v>132.61828504285714</v>
      </c>
      <c r="P171" s="277"/>
      <c r="Q171" s="278"/>
      <c r="R171" s="751"/>
      <c r="S171" s="751"/>
      <c r="T171" s="751"/>
      <c r="U171" s="751"/>
      <c r="V171" s="751"/>
      <c r="W171" s="751"/>
      <c r="X171" s="751"/>
      <c r="Y171" s="751"/>
      <c r="Z171" s="751"/>
      <c r="AA171" s="751"/>
      <c r="AB171" s="751"/>
      <c r="AC171" s="751"/>
      <c r="AD171" s="751"/>
      <c r="AE171" s="751"/>
      <c r="AF171" s="751"/>
      <c r="AG171" s="751"/>
      <c r="AH171" s="751"/>
    </row>
    <row r="172" spans="10:34" s="568" customFormat="1">
      <c r="J172" s="277"/>
      <c r="K172" s="544"/>
      <c r="L172" s="544">
        <v>12</v>
      </c>
      <c r="M172" s="700">
        <v>87.426713118571428</v>
      </c>
      <c r="N172" s="700">
        <v>160.54285757142858</v>
      </c>
      <c r="O172" s="700">
        <v>87.668715342857141</v>
      </c>
      <c r="P172" s="277"/>
      <c r="Q172" s="278"/>
      <c r="R172" s="751"/>
      <c r="S172" s="751"/>
      <c r="T172" s="751"/>
      <c r="U172" s="751"/>
      <c r="V172" s="751"/>
      <c r="W172" s="751"/>
      <c r="X172" s="751"/>
      <c r="Y172" s="751"/>
      <c r="Z172" s="751"/>
      <c r="AA172" s="751"/>
      <c r="AB172" s="751"/>
      <c r="AC172" s="751"/>
      <c r="AD172" s="751"/>
      <c r="AE172" s="751"/>
      <c r="AF172" s="751"/>
      <c r="AG172" s="751"/>
      <c r="AH172" s="751"/>
    </row>
    <row r="173" spans="10:34" s="568" customFormat="1">
      <c r="J173" s="277"/>
      <c r="K173" s="544">
        <v>13</v>
      </c>
      <c r="L173" s="544">
        <v>13</v>
      </c>
      <c r="M173" s="700">
        <v>85.733285082857151</v>
      </c>
      <c r="N173" s="700">
        <v>171.07471574285714</v>
      </c>
      <c r="O173" s="700">
        <v>94.954141882857144</v>
      </c>
      <c r="P173" s="277"/>
      <c r="Q173" s="278"/>
      <c r="R173" s="751"/>
      <c r="S173" s="751"/>
      <c r="T173" s="751"/>
      <c r="U173" s="751"/>
      <c r="V173" s="751"/>
      <c r="W173" s="751"/>
      <c r="X173" s="751"/>
      <c r="Y173" s="751"/>
      <c r="Z173" s="751"/>
      <c r="AA173" s="751"/>
      <c r="AB173" s="751"/>
      <c r="AC173" s="751"/>
      <c r="AD173" s="751"/>
      <c r="AE173" s="751"/>
      <c r="AF173" s="751"/>
      <c r="AG173" s="751"/>
      <c r="AH173" s="751"/>
    </row>
    <row r="174" spans="10:34" s="568" customFormat="1">
      <c r="J174" s="277"/>
      <c r="K174" s="544"/>
      <c r="L174" s="544">
        <v>14</v>
      </c>
      <c r="M174" s="700">
        <v>98.095142921428561</v>
      </c>
      <c r="N174" s="700">
        <v>185.56500027142857</v>
      </c>
      <c r="O174" s="700">
        <v>151.11671445714288</v>
      </c>
      <c r="P174" s="277"/>
      <c r="Q174" s="278"/>
      <c r="R174" s="751"/>
      <c r="S174" s="751"/>
      <c r="T174" s="751"/>
      <c r="U174" s="751"/>
      <c r="V174" s="751"/>
      <c r="W174" s="751"/>
      <c r="X174" s="751"/>
      <c r="Y174" s="751"/>
      <c r="Z174" s="751"/>
      <c r="AA174" s="751"/>
      <c r="AB174" s="751"/>
      <c r="AC174" s="751"/>
      <c r="AD174" s="751"/>
      <c r="AE174" s="751"/>
      <c r="AF174" s="751"/>
      <c r="AG174" s="751"/>
      <c r="AH174" s="751"/>
    </row>
    <row r="175" spans="10:34" s="568" customFormat="1">
      <c r="J175" s="277"/>
      <c r="K175" s="544"/>
      <c r="L175" s="544">
        <v>15</v>
      </c>
      <c r="M175" s="700">
        <v>83.773572649999991</v>
      </c>
      <c r="N175" s="700">
        <v>151.56014580000002</v>
      </c>
      <c r="O175" s="700">
        <v>111.99457114285714</v>
      </c>
      <c r="P175" s="277"/>
      <c r="Q175" s="278"/>
      <c r="R175" s="751"/>
      <c r="S175" s="751"/>
      <c r="T175" s="751"/>
      <c r="U175" s="751"/>
      <c r="V175" s="751"/>
      <c r="W175" s="751"/>
      <c r="X175" s="751"/>
      <c r="Y175" s="751"/>
      <c r="Z175" s="751"/>
      <c r="AA175" s="751"/>
      <c r="AB175" s="751"/>
      <c r="AC175" s="751"/>
      <c r="AD175" s="751"/>
      <c r="AE175" s="751"/>
      <c r="AF175" s="751"/>
      <c r="AG175" s="751"/>
      <c r="AH175" s="751"/>
    </row>
    <row r="176" spans="10:34" s="568" customFormat="1">
      <c r="J176" s="277"/>
      <c r="K176" s="544"/>
      <c r="L176" s="544">
        <v>16</v>
      </c>
      <c r="M176" s="700">
        <v>56.958000185714283</v>
      </c>
      <c r="N176" s="700">
        <v>109.84099905714285</v>
      </c>
      <c r="O176" s="700">
        <v>90.672572548571438</v>
      </c>
      <c r="P176" s="277"/>
      <c r="Q176" s="278"/>
      <c r="R176" s="751"/>
      <c r="S176" s="751"/>
      <c r="T176" s="751"/>
      <c r="U176" s="751"/>
      <c r="V176" s="751"/>
      <c r="W176" s="751"/>
      <c r="X176" s="751"/>
      <c r="Y176" s="751"/>
      <c r="Z176" s="751"/>
      <c r="AA176" s="751"/>
      <c r="AB176" s="751"/>
      <c r="AC176" s="751"/>
      <c r="AD176" s="751"/>
      <c r="AE176" s="751"/>
      <c r="AF176" s="751"/>
      <c r="AG176" s="751"/>
      <c r="AH176" s="751"/>
    </row>
    <row r="177" spans="10:34" s="568" customFormat="1">
      <c r="J177" s="277"/>
      <c r="K177" s="544"/>
      <c r="L177" s="544">
        <v>17</v>
      </c>
      <c r="M177" s="700">
        <v>48.746000017142855</v>
      </c>
      <c r="N177" s="700">
        <v>85.840285168571427</v>
      </c>
      <c r="O177" s="700">
        <v>75.281570977142863</v>
      </c>
      <c r="P177" s="277"/>
      <c r="Q177" s="278"/>
      <c r="R177" s="751"/>
      <c r="S177" s="751"/>
      <c r="T177" s="751"/>
      <c r="U177" s="751"/>
      <c r="V177" s="751"/>
      <c r="W177" s="751"/>
      <c r="X177" s="751"/>
      <c r="Y177" s="751"/>
      <c r="Z177" s="751"/>
      <c r="AA177" s="751"/>
      <c r="AB177" s="751"/>
      <c r="AC177" s="751"/>
      <c r="AD177" s="751"/>
      <c r="AE177" s="751"/>
      <c r="AF177" s="751"/>
      <c r="AG177" s="751"/>
      <c r="AH177" s="751"/>
    </row>
    <row r="178" spans="10:34" s="568" customFormat="1">
      <c r="J178" s="277"/>
      <c r="K178" s="544"/>
      <c r="L178" s="544">
        <v>18</v>
      </c>
      <c r="M178" s="700">
        <v>40.494427817142864</v>
      </c>
      <c r="N178" s="700">
        <v>69.64942932142857</v>
      </c>
      <c r="O178" s="700">
        <v>93.952999661428592</v>
      </c>
      <c r="P178" s="277"/>
      <c r="Q178" s="278"/>
      <c r="R178" s="751"/>
      <c r="S178" s="751"/>
      <c r="T178" s="751"/>
      <c r="U178" s="751"/>
      <c r="V178" s="751"/>
      <c r="W178" s="751"/>
      <c r="X178" s="751"/>
      <c r="Y178" s="751"/>
      <c r="Z178" s="751"/>
      <c r="AA178" s="751"/>
      <c r="AB178" s="751"/>
      <c r="AC178" s="751"/>
      <c r="AD178" s="751"/>
      <c r="AE178" s="751"/>
      <c r="AF178" s="751"/>
      <c r="AG178" s="751"/>
      <c r="AH178" s="751"/>
    </row>
    <row r="179" spans="10:34" s="568" customFormat="1">
      <c r="J179" s="277"/>
      <c r="K179" s="544"/>
      <c r="L179" s="544">
        <v>19</v>
      </c>
      <c r="M179" s="700">
        <v>35.466286249999996</v>
      </c>
      <c r="N179" s="700">
        <v>58.010286058571431</v>
      </c>
      <c r="O179" s="700">
        <v>72.684429168571427</v>
      </c>
      <c r="P179" s="277"/>
      <c r="Q179" s="278"/>
      <c r="R179" s="751"/>
      <c r="S179" s="751"/>
      <c r="T179" s="751"/>
      <c r="U179" s="751"/>
      <c r="V179" s="751"/>
      <c r="W179" s="751"/>
      <c r="X179" s="751"/>
      <c r="Y179" s="751"/>
      <c r="Z179" s="751"/>
      <c r="AA179" s="751"/>
      <c r="AB179" s="751"/>
      <c r="AC179" s="751"/>
      <c r="AD179" s="751"/>
      <c r="AE179" s="751"/>
      <c r="AF179" s="751"/>
      <c r="AG179" s="751"/>
      <c r="AH179" s="751"/>
    </row>
    <row r="180" spans="10:34" s="568" customFormat="1">
      <c r="J180" s="277"/>
      <c r="K180" s="544"/>
      <c r="L180" s="544">
        <v>20</v>
      </c>
      <c r="M180" s="700">
        <v>28.18171392</v>
      </c>
      <c r="N180" s="700">
        <v>51.498000008571424</v>
      </c>
      <c r="O180" s="700">
        <v>98.886571605714281</v>
      </c>
      <c r="P180" s="277"/>
      <c r="Q180" s="278"/>
      <c r="R180" s="751"/>
      <c r="S180" s="751"/>
      <c r="T180" s="751"/>
      <c r="U180" s="751"/>
      <c r="V180" s="751"/>
      <c r="W180" s="751"/>
      <c r="X180" s="751"/>
      <c r="Y180" s="751"/>
      <c r="Z180" s="751"/>
      <c r="AA180" s="751"/>
      <c r="AB180" s="751"/>
      <c r="AC180" s="751"/>
      <c r="AD180" s="751"/>
      <c r="AE180" s="751"/>
      <c r="AF180" s="751"/>
      <c r="AG180" s="751"/>
      <c r="AH180" s="751"/>
    </row>
    <row r="181" spans="10:34" s="568" customFormat="1">
      <c r="J181" s="277"/>
      <c r="K181" s="544"/>
      <c r="L181" s="544">
        <v>21</v>
      </c>
      <c r="M181" s="700">
        <v>26.549999781428571</v>
      </c>
      <c r="N181" s="700">
        <v>49.923428127142856</v>
      </c>
      <c r="O181" s="700">
        <v>58.580000197142859</v>
      </c>
      <c r="P181" s="277"/>
      <c r="Q181" s="278"/>
      <c r="R181" s="751"/>
      <c r="S181" s="751"/>
      <c r="T181" s="751"/>
      <c r="U181" s="751"/>
      <c r="V181" s="751"/>
      <c r="W181" s="751"/>
      <c r="X181" s="751"/>
      <c r="Y181" s="751"/>
      <c r="Z181" s="751"/>
      <c r="AA181" s="751"/>
      <c r="AB181" s="751"/>
      <c r="AC181" s="751"/>
      <c r="AD181" s="751"/>
      <c r="AE181" s="751"/>
      <c r="AF181" s="751"/>
      <c r="AG181" s="751"/>
      <c r="AH181" s="751"/>
    </row>
    <row r="182" spans="10:34" s="568" customFormat="1">
      <c r="J182" s="277"/>
      <c r="K182" s="544"/>
      <c r="L182" s="544">
        <v>22</v>
      </c>
      <c r="M182" s="700">
        <v>21.825286048571424</v>
      </c>
      <c r="N182" s="700">
        <v>43.104427882857138</v>
      </c>
      <c r="O182" s="700">
        <v>38.582285198571427</v>
      </c>
      <c r="P182" s="277"/>
      <c r="Q182" s="278"/>
      <c r="R182" s="751"/>
      <c r="S182" s="751"/>
      <c r="T182" s="751"/>
      <c r="U182" s="751"/>
      <c r="V182" s="751"/>
      <c r="W182" s="751"/>
      <c r="X182" s="751"/>
      <c r="Y182" s="751"/>
      <c r="Z182" s="751"/>
      <c r="AA182" s="751"/>
      <c r="AB182" s="751"/>
      <c r="AC182" s="751"/>
      <c r="AD182" s="751"/>
      <c r="AE182" s="751"/>
      <c r="AF182" s="751"/>
      <c r="AG182" s="751"/>
      <c r="AH182" s="751"/>
    </row>
    <row r="183" spans="10:34" s="568" customFormat="1">
      <c r="J183" s="277"/>
      <c r="K183" s="544"/>
      <c r="L183" s="544">
        <v>23</v>
      </c>
      <c r="M183" s="700">
        <v>20.536714282857144</v>
      </c>
      <c r="N183" s="700">
        <v>39.534857068571434</v>
      </c>
      <c r="O183" s="700">
        <v>58.388999669999997</v>
      </c>
      <c r="P183" s="277"/>
      <c r="Q183" s="278"/>
      <c r="R183" s="751"/>
      <c r="S183" s="751"/>
      <c r="T183" s="751"/>
      <c r="U183" s="751"/>
      <c r="V183" s="751"/>
      <c r="W183" s="751"/>
      <c r="X183" s="751"/>
      <c r="Y183" s="751"/>
      <c r="Z183" s="751"/>
      <c r="AA183" s="751"/>
      <c r="AB183" s="751"/>
      <c r="AC183" s="751"/>
      <c r="AD183" s="751"/>
      <c r="AE183" s="751"/>
      <c r="AF183" s="751"/>
      <c r="AG183" s="751"/>
      <c r="AH183" s="751"/>
    </row>
    <row r="184" spans="10:34" s="568" customFormat="1">
      <c r="J184" s="277"/>
      <c r="K184" s="544"/>
      <c r="L184" s="544">
        <v>24</v>
      </c>
      <c r="M184" s="700">
        <v>18.521000181428573</v>
      </c>
      <c r="N184" s="700">
        <v>36.393142699999999</v>
      </c>
      <c r="O184" s="700">
        <v>52.608856201428573</v>
      </c>
      <c r="P184" s="277"/>
      <c r="Q184" s="278"/>
      <c r="R184" s="751"/>
      <c r="S184" s="751"/>
      <c r="T184" s="751"/>
      <c r="U184" s="751"/>
      <c r="V184" s="751"/>
      <c r="W184" s="751"/>
      <c r="X184" s="751"/>
      <c r="Y184" s="751"/>
      <c r="Z184" s="751"/>
      <c r="AA184" s="751"/>
      <c r="AB184" s="751"/>
      <c r="AC184" s="751"/>
      <c r="AD184" s="751"/>
      <c r="AE184" s="751"/>
      <c r="AF184" s="751"/>
      <c r="AG184" s="751"/>
      <c r="AH184" s="751"/>
    </row>
    <row r="185" spans="10:34" s="568" customFormat="1">
      <c r="J185" s="277"/>
      <c r="K185" s="544"/>
      <c r="L185" s="544">
        <v>25</v>
      </c>
      <c r="M185" s="700">
        <v>17.337857111428569</v>
      </c>
      <c r="N185" s="700">
        <v>33.557857241428572</v>
      </c>
      <c r="O185" s="700">
        <v>30.324857167142856</v>
      </c>
      <c r="P185" s="277"/>
      <c r="Q185" s="278"/>
      <c r="R185" s="751"/>
      <c r="S185" s="751"/>
      <c r="T185" s="751"/>
      <c r="U185" s="751"/>
      <c r="V185" s="751"/>
      <c r="W185" s="751"/>
      <c r="X185" s="751"/>
      <c r="Y185" s="751"/>
      <c r="Z185" s="751"/>
      <c r="AA185" s="751"/>
      <c r="AB185" s="751"/>
      <c r="AC185" s="751"/>
      <c r="AD185" s="751"/>
      <c r="AE185" s="751"/>
      <c r="AF185" s="751"/>
      <c r="AG185" s="751"/>
      <c r="AH185" s="751"/>
    </row>
    <row r="186" spans="10:34" s="568" customFormat="1">
      <c r="J186" s="277"/>
      <c r="K186" s="544">
        <v>26</v>
      </c>
      <c r="L186" s="544">
        <v>26</v>
      </c>
      <c r="M186" s="700">
        <v>16.257714270000001</v>
      </c>
      <c r="N186" s="700">
        <v>29.931428365714286</v>
      </c>
      <c r="O186" s="700">
        <v>42.18199975142857</v>
      </c>
      <c r="P186" s="277"/>
      <c r="Q186" s="278"/>
      <c r="R186" s="751"/>
      <c r="S186" s="751"/>
      <c r="T186" s="751"/>
      <c r="U186" s="751"/>
      <c r="V186" s="751"/>
      <c r="W186" s="751"/>
      <c r="X186" s="751"/>
      <c r="Y186" s="751"/>
      <c r="Z186" s="751"/>
      <c r="AA186" s="751"/>
      <c r="AB186" s="751"/>
      <c r="AC186" s="751"/>
      <c r="AD186" s="751"/>
      <c r="AE186" s="751"/>
      <c r="AF186" s="751"/>
      <c r="AG186" s="751"/>
      <c r="AH186" s="751"/>
    </row>
    <row r="187" spans="10:34" s="568" customFormat="1">
      <c r="J187" s="277"/>
      <c r="K187" s="544"/>
      <c r="L187" s="544">
        <v>27</v>
      </c>
      <c r="M187" s="700">
        <v>15.06657137</v>
      </c>
      <c r="N187" s="700">
        <v>26.386999947142861</v>
      </c>
      <c r="O187" s="700">
        <v>23.356142859999999</v>
      </c>
      <c r="P187" s="277"/>
      <c r="Q187" s="278"/>
      <c r="R187" s="751"/>
      <c r="S187" s="751"/>
      <c r="T187" s="751"/>
      <c r="U187" s="751"/>
      <c r="V187" s="751"/>
      <c r="W187" s="751"/>
      <c r="X187" s="751"/>
      <c r="Y187" s="751"/>
      <c r="Z187" s="751"/>
      <c r="AA187" s="751"/>
      <c r="AB187" s="751"/>
      <c r="AC187" s="751"/>
      <c r="AD187" s="751"/>
      <c r="AE187" s="751"/>
      <c r="AF187" s="751"/>
      <c r="AG187" s="751"/>
      <c r="AH187" s="751"/>
    </row>
    <row r="188" spans="10:34" s="568" customFormat="1">
      <c r="J188" s="277"/>
      <c r="K188" s="544"/>
      <c r="L188" s="544">
        <v>28</v>
      </c>
      <c r="M188" s="700">
        <v>14.248142924285716</v>
      </c>
      <c r="N188" s="700">
        <v>26.172000340000004</v>
      </c>
      <c r="O188" s="700">
        <v>19.029285704285716</v>
      </c>
      <c r="P188" s="277"/>
      <c r="Q188" s="278"/>
      <c r="R188" s="751"/>
      <c r="S188" s="751"/>
      <c r="T188" s="751"/>
      <c r="U188" s="751"/>
      <c r="V188" s="751"/>
      <c r="W188" s="751"/>
      <c r="X188" s="751"/>
      <c r="Y188" s="751"/>
      <c r="Z188" s="751"/>
      <c r="AA188" s="751"/>
      <c r="AB188" s="751"/>
      <c r="AC188" s="751"/>
      <c r="AD188" s="751"/>
      <c r="AE188" s="751"/>
      <c r="AF188" s="751"/>
      <c r="AG188" s="751"/>
      <c r="AH188" s="751"/>
    </row>
    <row r="189" spans="10:34" s="568" customFormat="1">
      <c r="J189" s="277"/>
      <c r="K189" s="544"/>
      <c r="L189" s="544">
        <v>29</v>
      </c>
      <c r="M189" s="700">
        <v>13.477857045714286</v>
      </c>
      <c r="N189" s="700">
        <v>25.836714065714286</v>
      </c>
      <c r="O189" s="700">
        <v>17.854285240000003</v>
      </c>
      <c r="P189" s="277"/>
      <c r="Q189" s="278"/>
      <c r="R189" s="751"/>
      <c r="S189" s="751"/>
      <c r="T189" s="751"/>
      <c r="U189" s="751"/>
      <c r="V189" s="751"/>
      <c r="W189" s="751"/>
      <c r="X189" s="751"/>
      <c r="Y189" s="751"/>
      <c r="Z189" s="751"/>
      <c r="AA189" s="751"/>
      <c r="AB189" s="751"/>
      <c r="AC189" s="751"/>
      <c r="AD189" s="751"/>
      <c r="AE189" s="751"/>
      <c r="AF189" s="751"/>
      <c r="AG189" s="751"/>
      <c r="AH189" s="751"/>
    </row>
    <row r="190" spans="10:34" s="568" customFormat="1">
      <c r="J190" s="277"/>
      <c r="K190" s="544"/>
      <c r="L190" s="544">
        <v>30</v>
      </c>
      <c r="M190" s="700">
        <v>12.691000122857146</v>
      </c>
      <c r="N190" s="700">
        <v>25.251428605714288</v>
      </c>
      <c r="O190" s="700">
        <v>12.897285600000002</v>
      </c>
      <c r="P190" s="277"/>
      <c r="Q190" s="278"/>
      <c r="R190" s="751"/>
      <c r="S190" s="751"/>
      <c r="T190" s="751"/>
      <c r="U190" s="751"/>
      <c r="V190" s="751"/>
      <c r="W190" s="751"/>
      <c r="X190" s="751"/>
      <c r="Y190" s="751"/>
      <c r="Z190" s="751"/>
      <c r="AA190" s="751"/>
      <c r="AB190" s="751"/>
      <c r="AC190" s="751"/>
      <c r="AD190" s="751"/>
      <c r="AE190" s="751"/>
      <c r="AF190" s="751"/>
      <c r="AG190" s="751"/>
      <c r="AH190" s="751"/>
    </row>
    <row r="191" spans="10:34" s="568" customFormat="1">
      <c r="J191" s="277"/>
      <c r="K191" s="544"/>
      <c r="L191" s="544">
        <v>31</v>
      </c>
      <c r="M191" s="700">
        <v>13.016714095714283</v>
      </c>
      <c r="N191" s="700">
        <v>27.221714565714283</v>
      </c>
      <c r="O191" s="700">
        <v>10.959428514999999</v>
      </c>
      <c r="P191" s="277"/>
      <c r="Q191" s="278"/>
      <c r="R191" s="751"/>
      <c r="S191" s="751"/>
      <c r="T191" s="751"/>
      <c r="U191" s="751"/>
      <c r="V191" s="751"/>
      <c r="W191" s="751"/>
      <c r="X191" s="751"/>
      <c r="Y191" s="751"/>
      <c r="Z191" s="751"/>
      <c r="AA191" s="751"/>
      <c r="AB191" s="751"/>
      <c r="AC191" s="751"/>
      <c r="AD191" s="751"/>
      <c r="AE191" s="751"/>
      <c r="AF191" s="751"/>
      <c r="AG191" s="751"/>
      <c r="AH191" s="751"/>
    </row>
    <row r="192" spans="10:34" s="568" customFormat="1">
      <c r="J192" s="277"/>
      <c r="K192" s="544"/>
      <c r="L192" s="544">
        <v>32</v>
      </c>
      <c r="M192" s="700">
        <v>11.867571422857141</v>
      </c>
      <c r="N192" s="700">
        <v>26.08357157</v>
      </c>
      <c r="O192" s="700">
        <v>9.4098570685714282</v>
      </c>
      <c r="P192" s="277"/>
      <c r="Q192" s="278"/>
      <c r="R192" s="751"/>
      <c r="S192" s="751"/>
      <c r="T192" s="751"/>
      <c r="U192" s="751"/>
      <c r="V192" s="751"/>
      <c r="W192" s="751"/>
      <c r="X192" s="751"/>
      <c r="Y192" s="751"/>
      <c r="Z192" s="751"/>
      <c r="AA192" s="751"/>
      <c r="AB192" s="751"/>
      <c r="AC192" s="751"/>
      <c r="AD192" s="751"/>
      <c r="AE192" s="751"/>
      <c r="AF192" s="751"/>
      <c r="AG192" s="751"/>
      <c r="AH192" s="751"/>
    </row>
    <row r="193" spans="10:34" s="568" customFormat="1">
      <c r="J193" s="277"/>
      <c r="K193" s="544">
        <v>33</v>
      </c>
      <c r="L193" s="544">
        <v>33</v>
      </c>
      <c r="M193" s="700">
        <v>11.566857065714288</v>
      </c>
      <c r="N193" s="700">
        <v>25.724999837142857</v>
      </c>
      <c r="O193" s="700">
        <v>11.666285786000001</v>
      </c>
      <c r="P193" s="277"/>
      <c r="Q193" s="278"/>
      <c r="R193" s="751"/>
      <c r="S193" s="751"/>
      <c r="T193" s="751"/>
      <c r="U193" s="751"/>
      <c r="V193" s="751"/>
      <c r="W193" s="751"/>
      <c r="X193" s="751"/>
      <c r="Y193" s="751"/>
      <c r="Z193" s="751"/>
      <c r="AA193" s="751"/>
      <c r="AB193" s="751"/>
      <c r="AC193" s="751"/>
      <c r="AD193" s="751"/>
      <c r="AE193" s="751"/>
      <c r="AF193" s="751"/>
      <c r="AG193" s="751"/>
      <c r="AH193" s="751"/>
    </row>
    <row r="194" spans="10:34" s="568" customFormat="1">
      <c r="J194" s="277"/>
      <c r="K194" s="544"/>
      <c r="L194" s="544">
        <v>34</v>
      </c>
      <c r="M194" s="700">
        <v>13.598856790000001</v>
      </c>
      <c r="N194" s="700">
        <v>26.040285657142856</v>
      </c>
      <c r="O194" s="700">
        <v>14.739857265714283</v>
      </c>
      <c r="P194" s="277"/>
      <c r="Q194" s="278"/>
      <c r="R194" s="751"/>
      <c r="S194" s="751"/>
      <c r="T194" s="751"/>
      <c r="U194" s="751"/>
      <c r="V194" s="751"/>
      <c r="W194" s="751"/>
      <c r="X194" s="751"/>
      <c r="Y194" s="751"/>
      <c r="Z194" s="751"/>
      <c r="AA194" s="751"/>
      <c r="AB194" s="751"/>
      <c r="AC194" s="751"/>
      <c r="AD194" s="751"/>
      <c r="AE194" s="751"/>
      <c r="AF194" s="751"/>
      <c r="AG194" s="751"/>
      <c r="AH194" s="751"/>
    </row>
    <row r="195" spans="10:34" s="568" customFormat="1">
      <c r="J195" s="277"/>
      <c r="K195" s="544"/>
      <c r="L195" s="544">
        <v>35</v>
      </c>
      <c r="M195" s="700">
        <v>18.389285224285715</v>
      </c>
      <c r="N195" s="700">
        <v>26.61128562</v>
      </c>
      <c r="O195" s="700">
        <v>23.257428305714285</v>
      </c>
      <c r="P195" s="277"/>
      <c r="Q195" s="278"/>
      <c r="R195" s="751"/>
      <c r="S195" s="751"/>
      <c r="T195" s="751"/>
      <c r="U195" s="751"/>
      <c r="V195" s="751"/>
      <c r="W195" s="751"/>
      <c r="X195" s="751"/>
      <c r="Y195" s="751"/>
      <c r="Z195" s="751"/>
      <c r="AA195" s="751"/>
      <c r="AB195" s="751"/>
      <c r="AC195" s="751"/>
      <c r="AD195" s="751"/>
      <c r="AE195" s="751"/>
      <c r="AF195" s="751"/>
      <c r="AG195" s="751"/>
      <c r="AH195" s="751"/>
    </row>
    <row r="196" spans="10:34" s="568" customFormat="1">
      <c r="J196" s="277"/>
      <c r="K196" s="544"/>
      <c r="L196" s="544">
        <v>36</v>
      </c>
      <c r="M196" s="700">
        <v>17.729570935714285</v>
      </c>
      <c r="N196" s="700">
        <v>31.371142795714288</v>
      </c>
      <c r="O196" s="700">
        <v>24.894000052857141</v>
      </c>
      <c r="P196" s="277"/>
      <c r="Q196" s="278"/>
      <c r="R196" s="751"/>
      <c r="S196" s="751"/>
      <c r="T196" s="751"/>
      <c r="U196" s="751"/>
      <c r="V196" s="751"/>
      <c r="W196" s="751"/>
      <c r="X196" s="751"/>
      <c r="Y196" s="751"/>
      <c r="Z196" s="751"/>
      <c r="AA196" s="751"/>
      <c r="AB196" s="751"/>
      <c r="AC196" s="751"/>
      <c r="AD196" s="751"/>
      <c r="AE196" s="751"/>
      <c r="AF196" s="751"/>
      <c r="AG196" s="751"/>
      <c r="AH196" s="751"/>
    </row>
    <row r="197" spans="10:34" s="568" customFormat="1">
      <c r="J197" s="277"/>
      <c r="K197" s="544"/>
      <c r="L197" s="544">
        <v>37</v>
      </c>
      <c r="M197" s="700">
        <v>17.365428380000001</v>
      </c>
      <c r="N197" s="700">
        <v>34.193142751428567</v>
      </c>
      <c r="O197" s="700">
        <v>23.149857660000002</v>
      </c>
      <c r="P197" s="277"/>
      <c r="Q197" s="278"/>
      <c r="R197" s="751"/>
      <c r="S197" s="751"/>
      <c r="T197" s="751"/>
      <c r="U197" s="751"/>
      <c r="V197" s="751"/>
      <c r="W197" s="751"/>
      <c r="X197" s="751"/>
      <c r="Y197" s="751"/>
      <c r="Z197" s="751"/>
      <c r="AA197" s="751"/>
      <c r="AB197" s="751"/>
      <c r="AC197" s="751"/>
      <c r="AD197" s="751"/>
      <c r="AE197" s="751"/>
      <c r="AF197" s="751"/>
      <c r="AG197" s="751"/>
      <c r="AH197" s="751"/>
    </row>
    <row r="198" spans="10:34" s="568" customFormat="1">
      <c r="J198" s="277"/>
      <c r="K198" s="544"/>
      <c r="L198" s="544">
        <v>38</v>
      </c>
      <c r="M198" s="700">
        <v>17.876142775714285</v>
      </c>
      <c r="N198" s="700">
        <v>24.62042835714286</v>
      </c>
      <c r="O198" s="700">
        <v>13.527142932857144</v>
      </c>
      <c r="P198" s="277"/>
      <c r="Q198" s="278"/>
      <c r="R198" s="751"/>
      <c r="S198" s="751"/>
      <c r="T198" s="751"/>
      <c r="U198" s="751"/>
      <c r="V198" s="751"/>
      <c r="W198" s="751"/>
      <c r="X198" s="751"/>
      <c r="Y198" s="751"/>
      <c r="Z198" s="751"/>
      <c r="AA198" s="751"/>
      <c r="AB198" s="751"/>
      <c r="AC198" s="751"/>
      <c r="AD198" s="751"/>
      <c r="AE198" s="751"/>
      <c r="AF198" s="751"/>
      <c r="AG198" s="751"/>
      <c r="AH198" s="751"/>
    </row>
    <row r="199" spans="10:34" s="568" customFormat="1">
      <c r="J199" s="277"/>
      <c r="K199" s="544">
        <v>39</v>
      </c>
      <c r="L199" s="544">
        <v>39</v>
      </c>
      <c r="M199" s="700">
        <v>17.151999882857144</v>
      </c>
      <c r="N199" s="700">
        <v>21.341285980000002</v>
      </c>
      <c r="O199" s="700">
        <v>10.351999963428572</v>
      </c>
      <c r="P199" s="277"/>
      <c r="Q199" s="278"/>
      <c r="R199" s="751"/>
      <c r="S199" s="751"/>
      <c r="T199" s="751"/>
      <c r="U199" s="751"/>
      <c r="V199" s="751"/>
      <c r="W199" s="751"/>
      <c r="X199" s="751"/>
      <c r="Y199" s="751"/>
      <c r="Z199" s="751"/>
      <c r="AA199" s="751"/>
      <c r="AB199" s="751"/>
      <c r="AC199" s="751"/>
      <c r="AD199" s="751"/>
      <c r="AE199" s="751"/>
      <c r="AF199" s="751"/>
      <c r="AG199" s="751"/>
      <c r="AH199" s="751"/>
    </row>
    <row r="200" spans="10:34" s="568" customFormat="1">
      <c r="J200" s="277"/>
      <c r="K200" s="544"/>
      <c r="L200" s="544">
        <v>40</v>
      </c>
      <c r="M200" s="700">
        <v>24.65814318</v>
      </c>
      <c r="N200" s="700">
        <v>39.983428410000002</v>
      </c>
      <c r="O200" s="700">
        <v>63.700570922857146</v>
      </c>
      <c r="P200" s="277"/>
      <c r="Q200" s="278"/>
      <c r="R200" s="751"/>
      <c r="S200" s="751"/>
      <c r="T200" s="751"/>
      <c r="U200" s="751"/>
      <c r="V200" s="751"/>
      <c r="W200" s="751"/>
      <c r="X200" s="751"/>
      <c r="Y200" s="751"/>
      <c r="Z200" s="751"/>
      <c r="AA200" s="751"/>
      <c r="AB200" s="751"/>
      <c r="AC200" s="751"/>
      <c r="AD200" s="751"/>
      <c r="AE200" s="751"/>
      <c r="AF200" s="751"/>
      <c r="AG200" s="751"/>
      <c r="AH200" s="751"/>
    </row>
    <row r="201" spans="10:34" s="568" customFormat="1">
      <c r="J201" s="277"/>
      <c r="K201" s="544"/>
      <c r="L201" s="544">
        <v>41</v>
      </c>
      <c r="M201" s="700">
        <v>24.683571132857143</v>
      </c>
      <c r="N201" s="700">
        <v>51.178142545714287</v>
      </c>
      <c r="O201" s="700">
        <v>63.922285895714289</v>
      </c>
      <c r="P201" s="277"/>
      <c r="Q201" s="278"/>
      <c r="R201" s="751"/>
      <c r="S201" s="751"/>
      <c r="T201" s="751"/>
      <c r="U201" s="751"/>
      <c r="V201" s="751"/>
      <c r="W201" s="751"/>
      <c r="X201" s="751"/>
      <c r="Y201" s="751"/>
      <c r="Z201" s="751"/>
      <c r="AA201" s="751"/>
      <c r="AB201" s="751"/>
      <c r="AC201" s="751"/>
      <c r="AD201" s="751"/>
      <c r="AE201" s="751"/>
      <c r="AF201" s="751"/>
      <c r="AG201" s="751"/>
      <c r="AH201" s="751"/>
    </row>
    <row r="202" spans="10:34" s="568" customFormat="1">
      <c r="J202" s="277"/>
      <c r="K202" s="544"/>
      <c r="L202" s="544">
        <v>42</v>
      </c>
      <c r="M202" s="700">
        <v>30.132285525714284</v>
      </c>
      <c r="N202" s="700">
        <v>58.491857255714294</v>
      </c>
      <c r="O202" s="700">
        <v>72.515429361428573</v>
      </c>
      <c r="P202" s="277"/>
      <c r="Q202" s="278"/>
      <c r="R202" s="751"/>
      <c r="S202" s="751"/>
      <c r="T202" s="751"/>
      <c r="U202" s="751"/>
      <c r="V202" s="751"/>
      <c r="W202" s="751"/>
      <c r="X202" s="751"/>
      <c r="Y202" s="751"/>
      <c r="Z202" s="751"/>
      <c r="AA202" s="751"/>
      <c r="AB202" s="751"/>
      <c r="AC202" s="751"/>
      <c r="AD202" s="751"/>
      <c r="AE202" s="751"/>
      <c r="AF202" s="751"/>
      <c r="AG202" s="751"/>
      <c r="AH202" s="751"/>
    </row>
    <row r="203" spans="10:34" s="568" customFormat="1">
      <c r="J203" s="277"/>
      <c r="K203" s="544"/>
      <c r="L203" s="544">
        <v>43</v>
      </c>
      <c r="M203" s="700">
        <v>21.635857172857147</v>
      </c>
      <c r="N203" s="700">
        <v>49.28842871714285</v>
      </c>
      <c r="O203" s="700">
        <v>61.990286690000005</v>
      </c>
      <c r="P203" s="277"/>
      <c r="Q203" s="278"/>
      <c r="R203" s="751"/>
      <c r="S203" s="751"/>
      <c r="T203" s="751"/>
      <c r="U203" s="751"/>
      <c r="V203" s="751"/>
      <c r="W203" s="751"/>
      <c r="X203" s="751"/>
      <c r="Y203" s="751"/>
      <c r="Z203" s="751"/>
      <c r="AA203" s="751"/>
      <c r="AB203" s="751"/>
      <c r="AC203" s="751"/>
      <c r="AD203" s="751"/>
      <c r="AE203" s="751"/>
      <c r="AF203" s="751"/>
      <c r="AG203" s="751"/>
      <c r="AH203" s="751"/>
    </row>
    <row r="204" spans="10:34" s="568" customFormat="1">
      <c r="J204" s="277"/>
      <c r="K204" s="544">
        <v>44</v>
      </c>
      <c r="L204" s="544">
        <v>44</v>
      </c>
      <c r="M204" s="700">
        <v>18.680143085714285</v>
      </c>
      <c r="N204" s="700">
        <v>50.456999099999997</v>
      </c>
      <c r="O204" s="700">
        <v>58.057570867142864</v>
      </c>
      <c r="P204" s="277"/>
      <c r="Q204" s="278"/>
      <c r="R204" s="751"/>
      <c r="S204" s="751"/>
      <c r="T204" s="751"/>
      <c r="U204" s="751"/>
      <c r="V204" s="751"/>
      <c r="W204" s="751"/>
      <c r="X204" s="751"/>
      <c r="Y204" s="751"/>
      <c r="Z204" s="751"/>
      <c r="AA204" s="751"/>
      <c r="AB204" s="751"/>
      <c r="AC204" s="751"/>
      <c r="AD204" s="751"/>
      <c r="AE204" s="751"/>
      <c r="AF204" s="751"/>
      <c r="AG204" s="751"/>
      <c r="AH204" s="751"/>
    </row>
    <row r="205" spans="10:34" s="568" customFormat="1">
      <c r="J205" s="277"/>
      <c r="K205" s="544"/>
      <c r="L205" s="544">
        <v>45</v>
      </c>
      <c r="M205" s="700">
        <v>19.11199978285714</v>
      </c>
      <c r="N205" s="700">
        <v>55.461713520000004</v>
      </c>
      <c r="O205" s="700">
        <v>51.101286207142849</v>
      </c>
      <c r="P205" s="277"/>
      <c r="Q205" s="278"/>
      <c r="R205" s="751"/>
      <c r="S205" s="751"/>
      <c r="T205" s="751"/>
      <c r="U205" s="751"/>
      <c r="V205" s="751"/>
      <c r="W205" s="751"/>
      <c r="X205" s="751"/>
      <c r="Y205" s="751"/>
      <c r="Z205" s="751"/>
      <c r="AA205" s="751"/>
      <c r="AB205" s="751"/>
      <c r="AC205" s="751"/>
      <c r="AD205" s="751"/>
      <c r="AE205" s="751"/>
      <c r="AF205" s="751"/>
      <c r="AG205" s="751"/>
      <c r="AH205" s="751"/>
    </row>
    <row r="206" spans="10:34" s="568" customFormat="1">
      <c r="J206" s="277"/>
      <c r="K206" s="544"/>
      <c r="L206" s="544">
        <v>46</v>
      </c>
      <c r="M206" s="700">
        <v>17.194857187142855</v>
      </c>
      <c r="N206" s="700">
        <v>52.329856329999991</v>
      </c>
      <c r="O206" s="700">
        <v>29.017713818571433</v>
      </c>
      <c r="P206" s="277"/>
      <c r="Q206" s="278"/>
      <c r="R206" s="751"/>
      <c r="S206" s="751"/>
      <c r="T206" s="751"/>
      <c r="U206" s="751"/>
      <c r="V206" s="751"/>
      <c r="W206" s="751"/>
      <c r="X206" s="751"/>
      <c r="Y206" s="751"/>
      <c r="Z206" s="751"/>
      <c r="AA206" s="751"/>
      <c r="AB206" s="751"/>
      <c r="AC206" s="751"/>
      <c r="AD206" s="751"/>
      <c r="AE206" s="751"/>
      <c r="AF206" s="751"/>
      <c r="AG206" s="751"/>
      <c r="AH206" s="751"/>
    </row>
    <row r="207" spans="10:34" s="568" customFormat="1">
      <c r="J207" s="277"/>
      <c r="K207" s="544"/>
      <c r="L207" s="544">
        <v>47</v>
      </c>
      <c r="M207" s="700">
        <v>18.301142828571432</v>
      </c>
      <c r="N207" s="700">
        <v>73.723714555714295</v>
      </c>
      <c r="O207" s="700">
        <v>26.885714667142853</v>
      </c>
      <c r="P207" s="277"/>
      <c r="Q207" s="278"/>
      <c r="R207" s="751"/>
      <c r="S207" s="751"/>
      <c r="T207" s="751"/>
      <c r="U207" s="751"/>
      <c r="V207" s="751"/>
      <c r="W207" s="751"/>
      <c r="X207" s="751"/>
      <c r="Y207" s="751"/>
      <c r="Z207" s="751"/>
      <c r="AA207" s="751"/>
      <c r="AB207" s="751"/>
      <c r="AC207" s="751"/>
      <c r="AD207" s="751"/>
      <c r="AE207" s="751"/>
      <c r="AF207" s="751"/>
      <c r="AG207" s="751"/>
      <c r="AH207" s="751"/>
    </row>
    <row r="208" spans="10:34" s="568" customFormat="1">
      <c r="J208" s="277"/>
      <c r="K208" s="544">
        <v>48</v>
      </c>
      <c r="L208" s="544">
        <v>48</v>
      </c>
      <c r="M208" s="700">
        <v>48.1</v>
      </c>
      <c r="N208" s="700">
        <v>112.8014285714287</v>
      </c>
      <c r="O208" s="700">
        <v>24.753715515714301</v>
      </c>
      <c r="P208" s="277"/>
      <c r="Q208" s="278"/>
      <c r="R208" s="751"/>
      <c r="S208" s="751"/>
      <c r="T208" s="751"/>
      <c r="U208" s="751"/>
      <c r="V208" s="751"/>
      <c r="W208" s="751"/>
      <c r="X208" s="751"/>
      <c r="Y208" s="751"/>
      <c r="Z208" s="751"/>
      <c r="AA208" s="751"/>
      <c r="AB208" s="751"/>
      <c r="AC208" s="751"/>
      <c r="AD208" s="751"/>
      <c r="AE208" s="751"/>
      <c r="AF208" s="751"/>
      <c r="AG208" s="751"/>
      <c r="AH208" s="751"/>
    </row>
    <row r="209" spans="10:34" s="568" customFormat="1">
      <c r="J209" s="277"/>
      <c r="K209" s="544"/>
      <c r="L209" s="544">
        <v>49</v>
      </c>
      <c r="M209" s="700">
        <v>72.532000404285711</v>
      </c>
      <c r="N209" s="700">
        <v>251.49200183333332</v>
      </c>
      <c r="O209" s="700">
        <v>44.843001048333328</v>
      </c>
      <c r="P209" s="277"/>
      <c r="Q209" s="278"/>
      <c r="R209" s="751"/>
      <c r="S209" s="751"/>
      <c r="T209" s="751"/>
      <c r="U209" s="751"/>
      <c r="V209" s="751"/>
      <c r="W209" s="751"/>
      <c r="X209" s="751"/>
      <c r="Y209" s="751"/>
      <c r="Z209" s="751"/>
      <c r="AA209" s="751"/>
      <c r="AB209" s="751"/>
      <c r="AC209" s="751"/>
      <c r="AD209" s="751"/>
      <c r="AE209" s="751"/>
      <c r="AF209" s="751"/>
      <c r="AG209" s="751"/>
      <c r="AH209" s="751"/>
    </row>
    <row r="210" spans="10:34" s="568" customFormat="1">
      <c r="J210" s="277"/>
      <c r="K210" s="544"/>
      <c r="L210" s="544">
        <v>50</v>
      </c>
      <c r="M210" s="700">
        <v>52.053428651428568</v>
      </c>
      <c r="N210" s="700">
        <v>142.42614309857143</v>
      </c>
      <c r="O210" s="700">
        <v>60.681712559999994</v>
      </c>
      <c r="P210" s="277"/>
      <c r="Q210" s="278"/>
      <c r="R210" s="751"/>
      <c r="S210" s="751"/>
      <c r="T210" s="751"/>
      <c r="U210" s="751"/>
      <c r="V210" s="751"/>
      <c r="W210" s="751"/>
      <c r="X210" s="751"/>
      <c r="Y210" s="751"/>
      <c r="Z210" s="751"/>
      <c r="AA210" s="751"/>
      <c r="AB210" s="751"/>
      <c r="AC210" s="751"/>
      <c r="AD210" s="751"/>
      <c r="AE210" s="751"/>
      <c r="AF210" s="751"/>
      <c r="AG210" s="751"/>
      <c r="AH210" s="751"/>
    </row>
    <row r="211" spans="10:34" s="568" customFormat="1">
      <c r="J211" s="277"/>
      <c r="K211" s="544"/>
      <c r="L211" s="544">
        <v>51</v>
      </c>
      <c r="M211" s="700">
        <v>30.144714355714289</v>
      </c>
      <c r="N211" s="700">
        <v>77.181571959999999</v>
      </c>
      <c r="O211" s="700">
        <v>114.8148585642857</v>
      </c>
      <c r="P211" s="277"/>
      <c r="Q211" s="278"/>
      <c r="R211" s="751"/>
      <c r="S211" s="751"/>
      <c r="T211" s="751"/>
      <c r="U211" s="751"/>
      <c r="V211" s="751"/>
      <c r="W211" s="751"/>
      <c r="X211" s="751"/>
      <c r="Y211" s="751"/>
      <c r="Z211" s="751"/>
      <c r="AA211" s="751"/>
      <c r="AB211" s="751"/>
      <c r="AC211" s="751"/>
      <c r="AD211" s="751"/>
      <c r="AE211" s="751"/>
      <c r="AF211" s="751"/>
      <c r="AG211" s="751"/>
      <c r="AH211" s="751"/>
    </row>
    <row r="212" spans="10:34">
      <c r="K212" s="544">
        <v>52</v>
      </c>
      <c r="L212" s="544">
        <v>52</v>
      </c>
      <c r="M212" s="700">
        <v>24.471428735714284</v>
      </c>
      <c r="N212" s="700">
        <v>62.12314333285714</v>
      </c>
      <c r="O212" s="700">
        <v>50.073429108571432</v>
      </c>
    </row>
    <row r="213" spans="10:34">
      <c r="M213" s="700"/>
      <c r="N213" s="700"/>
      <c r="O213" s="700"/>
    </row>
    <row r="214" spans="10:34">
      <c r="M214" s="700"/>
      <c r="N214" s="700"/>
      <c r="O214" s="700"/>
    </row>
    <row r="215" spans="10:34">
      <c r="M215" s="700"/>
      <c r="N215" s="700"/>
      <c r="O215" s="700"/>
    </row>
    <row r="216" spans="10:34">
      <c r="M216" s="700"/>
      <c r="N216" s="700"/>
      <c r="O216" s="700"/>
    </row>
    <row r="218" spans="10:34">
      <c r="M218" s="700"/>
      <c r="N218" s="700"/>
      <c r="O218" s="700"/>
    </row>
    <row r="219" spans="10:34">
      <c r="M219" s="700"/>
      <c r="N219" s="700"/>
      <c r="O219" s="700"/>
    </row>
    <row r="220" spans="10:34">
      <c r="M220" s="700"/>
      <c r="N220" s="700"/>
      <c r="O220" s="700"/>
    </row>
    <row r="221" spans="10:34">
      <c r="M221" s="700" t="s">
        <v>261</v>
      </c>
      <c r="N221" s="700" t="s">
        <v>262</v>
      </c>
      <c r="O221" s="700" t="s">
        <v>263</v>
      </c>
    </row>
    <row r="222" spans="10:34">
      <c r="M222" s="700"/>
      <c r="N222" s="700"/>
      <c r="O222" s="700"/>
    </row>
    <row r="223" spans="10:34">
      <c r="M223" s="700"/>
      <c r="N223" s="700"/>
      <c r="O223" s="700"/>
    </row>
    <row r="224" spans="10:34" s="568" customFormat="1">
      <c r="J224" s="277"/>
      <c r="K224" s="544"/>
      <c r="L224" s="544"/>
      <c r="M224" s="700"/>
      <c r="N224" s="700"/>
      <c r="O224" s="700"/>
      <c r="P224" s="277"/>
      <c r="Q224" s="278"/>
      <c r="R224" s="751"/>
      <c r="S224" s="751"/>
      <c r="T224" s="751"/>
      <c r="U224" s="751"/>
      <c r="V224" s="751"/>
      <c r="W224" s="751"/>
      <c r="X224" s="751"/>
      <c r="Y224" s="751"/>
      <c r="Z224" s="751"/>
      <c r="AA224" s="751"/>
      <c r="AB224" s="751"/>
      <c r="AC224" s="751"/>
      <c r="AD224" s="751"/>
      <c r="AE224" s="751"/>
      <c r="AF224" s="751"/>
      <c r="AG224" s="751"/>
      <c r="AH224" s="751"/>
    </row>
    <row r="225" spans="10:34" s="568" customFormat="1">
      <c r="J225" s="277"/>
      <c r="K225" s="544"/>
      <c r="L225" s="544"/>
      <c r="M225" s="700"/>
      <c r="N225" s="700"/>
      <c r="O225" s="700"/>
      <c r="P225" s="277"/>
      <c r="Q225" s="278"/>
      <c r="R225" s="751"/>
      <c r="S225" s="751"/>
      <c r="T225" s="751"/>
      <c r="U225" s="751"/>
      <c r="V225" s="751"/>
      <c r="W225" s="751"/>
      <c r="X225" s="751"/>
      <c r="Y225" s="751"/>
      <c r="Z225" s="751"/>
      <c r="AA225" s="751"/>
      <c r="AB225" s="751"/>
      <c r="AC225" s="751"/>
      <c r="AD225" s="751"/>
      <c r="AE225" s="751"/>
      <c r="AF225" s="751"/>
      <c r="AG225" s="751"/>
      <c r="AH225" s="751"/>
    </row>
    <row r="226" spans="10:34" s="568" customFormat="1">
      <c r="J226" s="277"/>
      <c r="K226" s="544"/>
      <c r="L226" s="544"/>
      <c r="M226" s="700"/>
      <c r="N226" s="700"/>
      <c r="O226" s="700"/>
      <c r="P226" s="277"/>
      <c r="Q226" s="278"/>
      <c r="R226" s="751"/>
      <c r="S226" s="751"/>
      <c r="T226" s="751"/>
      <c r="U226" s="751"/>
      <c r="V226" s="751"/>
      <c r="W226" s="751"/>
      <c r="X226" s="751"/>
      <c r="Y226" s="751"/>
      <c r="Z226" s="751"/>
      <c r="AA226" s="751"/>
      <c r="AB226" s="751"/>
      <c r="AC226" s="751"/>
      <c r="AD226" s="751"/>
      <c r="AE226" s="751"/>
      <c r="AF226" s="751"/>
      <c r="AG226" s="751"/>
      <c r="AH226" s="751"/>
    </row>
    <row r="227" spans="10:34" s="568" customFormat="1">
      <c r="J227" s="277"/>
      <c r="K227" s="544"/>
      <c r="L227" s="544"/>
      <c r="M227" s="700"/>
      <c r="N227" s="700"/>
      <c r="O227" s="700"/>
      <c r="P227" s="277"/>
      <c r="Q227" s="278"/>
      <c r="R227" s="751"/>
      <c r="S227" s="751"/>
      <c r="T227" s="751"/>
      <c r="U227" s="751"/>
      <c r="V227" s="751"/>
      <c r="W227" s="751"/>
      <c r="X227" s="751"/>
      <c r="Y227" s="751"/>
      <c r="Z227" s="751"/>
      <c r="AA227" s="751"/>
      <c r="AB227" s="751"/>
      <c r="AC227" s="751"/>
      <c r="AD227" s="751"/>
      <c r="AE227" s="751"/>
      <c r="AF227" s="751"/>
      <c r="AG227" s="751"/>
      <c r="AH227" s="751"/>
    </row>
    <row r="228" spans="10:34" s="568" customFormat="1">
      <c r="J228" s="277"/>
      <c r="K228" s="544"/>
      <c r="L228" s="544"/>
      <c r="M228" s="700"/>
      <c r="N228" s="700"/>
      <c r="O228" s="700"/>
      <c r="P228" s="277"/>
      <c r="Q228" s="278"/>
      <c r="R228" s="751"/>
      <c r="S228" s="751"/>
      <c r="T228" s="751"/>
      <c r="U228" s="751"/>
      <c r="V228" s="751"/>
      <c r="W228" s="751"/>
      <c r="X228" s="751"/>
      <c r="Y228" s="751"/>
      <c r="Z228" s="751"/>
      <c r="AA228" s="751"/>
      <c r="AB228" s="751"/>
      <c r="AC228" s="751"/>
      <c r="AD228" s="751"/>
      <c r="AE228" s="751"/>
      <c r="AF228" s="751"/>
      <c r="AG228" s="751"/>
      <c r="AH228" s="751"/>
    </row>
    <row r="229" spans="10:34" s="568" customFormat="1">
      <c r="J229" s="277"/>
      <c r="K229" s="544"/>
      <c r="L229" s="544"/>
      <c r="M229" s="700"/>
      <c r="N229" s="700"/>
      <c r="O229" s="700"/>
      <c r="P229" s="277"/>
      <c r="Q229" s="278"/>
      <c r="R229" s="751"/>
      <c r="S229" s="751"/>
      <c r="T229" s="751"/>
      <c r="U229" s="751"/>
      <c r="V229" s="751"/>
      <c r="W229" s="751"/>
      <c r="X229" s="751"/>
      <c r="Y229" s="751"/>
      <c r="Z229" s="751"/>
      <c r="AA229" s="751"/>
      <c r="AB229" s="751"/>
      <c r="AC229" s="751"/>
      <c r="AD229" s="751"/>
      <c r="AE229" s="751"/>
      <c r="AF229" s="751"/>
      <c r="AG229" s="751"/>
      <c r="AH229" s="751"/>
    </row>
    <row r="230" spans="10:34" s="568" customFormat="1">
      <c r="J230" s="277"/>
      <c r="K230" s="544"/>
      <c r="L230" s="544"/>
      <c r="M230" s="700"/>
      <c r="N230" s="700"/>
      <c r="O230" s="700"/>
      <c r="P230" s="277"/>
      <c r="Q230" s="278"/>
      <c r="R230" s="751"/>
      <c r="S230" s="751"/>
      <c r="T230" s="751"/>
      <c r="U230" s="751"/>
      <c r="V230" s="751"/>
      <c r="W230" s="751"/>
      <c r="X230" s="751"/>
      <c r="Y230" s="751"/>
      <c r="Z230" s="751"/>
      <c r="AA230" s="751"/>
      <c r="AB230" s="751"/>
      <c r="AC230" s="751"/>
      <c r="AD230" s="751"/>
      <c r="AE230" s="751"/>
      <c r="AF230" s="751"/>
      <c r="AG230" s="751"/>
      <c r="AH230" s="751"/>
    </row>
    <row r="231" spans="10:34" s="568" customFormat="1">
      <c r="J231" s="277"/>
      <c r="K231" s="544"/>
      <c r="L231" s="544"/>
      <c r="M231" s="700"/>
      <c r="N231" s="700"/>
      <c r="O231" s="700"/>
      <c r="P231" s="277"/>
      <c r="Q231" s="278"/>
      <c r="R231" s="751"/>
      <c r="S231" s="751"/>
      <c r="T231" s="751"/>
      <c r="U231" s="751"/>
      <c r="V231" s="751"/>
      <c r="W231" s="751"/>
      <c r="X231" s="751"/>
      <c r="Y231" s="751"/>
      <c r="Z231" s="751"/>
      <c r="AA231" s="751"/>
      <c r="AB231" s="751"/>
      <c r="AC231" s="751"/>
      <c r="AD231" s="751"/>
      <c r="AE231" s="751"/>
      <c r="AF231" s="751"/>
      <c r="AG231" s="751"/>
      <c r="AH231" s="751"/>
    </row>
    <row r="232" spans="10:34" s="568" customFormat="1">
      <c r="J232" s="277"/>
      <c r="K232" s="544"/>
      <c r="L232" s="544"/>
      <c r="M232" s="700"/>
      <c r="N232" s="700"/>
      <c r="O232" s="700"/>
      <c r="P232" s="277"/>
      <c r="Q232" s="278"/>
      <c r="R232" s="751"/>
      <c r="S232" s="751"/>
      <c r="T232" s="751"/>
      <c r="U232" s="751"/>
      <c r="V232" s="751"/>
      <c r="W232" s="751"/>
      <c r="X232" s="751"/>
      <c r="Y232" s="751"/>
      <c r="Z232" s="751"/>
      <c r="AA232" s="751"/>
      <c r="AB232" s="751"/>
      <c r="AC232" s="751"/>
      <c r="AD232" s="751"/>
      <c r="AE232" s="751"/>
      <c r="AF232" s="751"/>
      <c r="AG232" s="751"/>
      <c r="AH232" s="751"/>
    </row>
    <row r="233" spans="10:34" s="568" customFormat="1">
      <c r="J233" s="277"/>
      <c r="K233" s="544"/>
      <c r="L233" s="544"/>
      <c r="M233" s="700"/>
      <c r="N233" s="700"/>
      <c r="O233" s="700"/>
      <c r="P233" s="277"/>
      <c r="Q233" s="278"/>
      <c r="R233" s="751"/>
      <c r="S233" s="751"/>
      <c r="T233" s="751"/>
      <c r="U233" s="751"/>
      <c r="V233" s="751"/>
      <c r="W233" s="751"/>
      <c r="X233" s="751"/>
      <c r="Y233" s="751"/>
      <c r="Z233" s="751"/>
      <c r="AA233" s="751"/>
      <c r="AB233" s="751"/>
      <c r="AC233" s="751"/>
      <c r="AD233" s="751"/>
      <c r="AE233" s="751"/>
      <c r="AF233" s="751"/>
      <c r="AG233" s="751"/>
      <c r="AH233" s="751"/>
    </row>
    <row r="234" spans="10:34" s="568" customFormat="1">
      <c r="J234" s="277"/>
      <c r="K234" s="544"/>
      <c r="L234" s="544"/>
      <c r="M234" s="700"/>
      <c r="N234" s="700"/>
      <c r="O234" s="700"/>
      <c r="P234" s="277"/>
      <c r="Q234" s="278"/>
      <c r="R234" s="751"/>
      <c r="S234" s="751"/>
      <c r="T234" s="751"/>
      <c r="U234" s="751"/>
      <c r="V234" s="751"/>
      <c r="W234" s="751"/>
      <c r="X234" s="751"/>
      <c r="Y234" s="751"/>
      <c r="Z234" s="751"/>
      <c r="AA234" s="751"/>
      <c r="AB234" s="751"/>
      <c r="AC234" s="751"/>
      <c r="AD234" s="751"/>
      <c r="AE234" s="751"/>
      <c r="AF234" s="751"/>
      <c r="AG234" s="751"/>
      <c r="AH234" s="751"/>
    </row>
    <row r="235" spans="10:34" s="568" customFormat="1">
      <c r="J235" s="277"/>
      <c r="K235" s="544"/>
      <c r="L235" s="544"/>
      <c r="M235" s="700"/>
      <c r="N235" s="700"/>
      <c r="O235" s="700"/>
      <c r="P235" s="277"/>
      <c r="Q235" s="278"/>
      <c r="R235" s="751"/>
      <c r="S235" s="751"/>
      <c r="T235" s="751"/>
      <c r="U235" s="751"/>
      <c r="V235" s="751"/>
      <c r="W235" s="751"/>
      <c r="X235" s="751"/>
      <c r="Y235" s="751"/>
      <c r="Z235" s="751"/>
      <c r="AA235" s="751"/>
      <c r="AB235" s="751"/>
      <c r="AC235" s="751"/>
      <c r="AD235" s="751"/>
      <c r="AE235" s="751"/>
      <c r="AF235" s="751"/>
      <c r="AG235" s="751"/>
      <c r="AH235" s="751"/>
    </row>
    <row r="236" spans="10:34" s="568" customFormat="1">
      <c r="J236" s="277"/>
      <c r="K236" s="544"/>
      <c r="L236" s="544"/>
      <c r="M236" s="700"/>
      <c r="N236" s="700"/>
      <c r="O236" s="700"/>
      <c r="P236" s="277"/>
      <c r="Q236" s="278"/>
      <c r="R236" s="751"/>
      <c r="S236" s="751"/>
      <c r="T236" s="751"/>
      <c r="U236" s="751"/>
      <c r="V236" s="751"/>
      <c r="W236" s="751"/>
      <c r="X236" s="751"/>
      <c r="Y236" s="751"/>
      <c r="Z236" s="751"/>
      <c r="AA236" s="751"/>
      <c r="AB236" s="751"/>
      <c r="AC236" s="751"/>
      <c r="AD236" s="751"/>
      <c r="AE236" s="751"/>
      <c r="AF236" s="751"/>
      <c r="AG236" s="751"/>
      <c r="AH236" s="751"/>
    </row>
    <row r="237" spans="10:34" s="568" customFormat="1">
      <c r="J237" s="277"/>
      <c r="K237" s="544"/>
      <c r="L237" s="544"/>
      <c r="M237" s="700"/>
      <c r="N237" s="700"/>
      <c r="O237" s="700"/>
      <c r="P237" s="277"/>
      <c r="Q237" s="278"/>
      <c r="R237" s="751"/>
      <c r="S237" s="751"/>
      <c r="T237" s="751"/>
      <c r="U237" s="751"/>
      <c r="V237" s="751"/>
      <c r="W237" s="751"/>
      <c r="X237" s="751"/>
      <c r="Y237" s="751"/>
      <c r="Z237" s="751"/>
      <c r="AA237" s="751"/>
      <c r="AB237" s="751"/>
      <c r="AC237" s="751"/>
      <c r="AD237" s="751"/>
      <c r="AE237" s="751"/>
      <c r="AF237" s="751"/>
      <c r="AG237" s="751"/>
      <c r="AH237" s="751"/>
    </row>
    <row r="238" spans="10:34" s="568" customFormat="1">
      <c r="J238" s="277"/>
      <c r="K238" s="544"/>
      <c r="L238" s="544"/>
      <c r="M238" s="700"/>
      <c r="N238" s="700"/>
      <c r="O238" s="700"/>
      <c r="P238" s="277"/>
      <c r="Q238" s="278"/>
      <c r="R238" s="751"/>
      <c r="S238" s="751"/>
      <c r="T238" s="751"/>
      <c r="U238" s="751"/>
      <c r="V238" s="751"/>
      <c r="W238" s="751"/>
      <c r="X238" s="751"/>
      <c r="Y238" s="751"/>
      <c r="Z238" s="751"/>
      <c r="AA238" s="751"/>
      <c r="AB238" s="751"/>
      <c r="AC238" s="751"/>
      <c r="AD238" s="751"/>
      <c r="AE238" s="751"/>
      <c r="AF238" s="751"/>
      <c r="AG238" s="751"/>
      <c r="AH238" s="751"/>
    </row>
    <row r="239" spans="10:34" s="568" customFormat="1">
      <c r="J239" s="277"/>
      <c r="K239" s="544"/>
      <c r="L239" s="544"/>
      <c r="M239" s="700"/>
      <c r="N239" s="700"/>
      <c r="O239" s="700"/>
      <c r="P239" s="277"/>
      <c r="Q239" s="278"/>
      <c r="R239" s="751"/>
      <c r="S239" s="751"/>
      <c r="T239" s="751"/>
      <c r="U239" s="751"/>
      <c r="V239" s="751"/>
      <c r="W239" s="751"/>
      <c r="X239" s="751"/>
      <c r="Y239" s="751"/>
      <c r="Z239" s="751"/>
      <c r="AA239" s="751"/>
      <c r="AB239" s="751"/>
      <c r="AC239" s="751"/>
      <c r="AD239" s="751"/>
      <c r="AE239" s="751"/>
      <c r="AF239" s="751"/>
      <c r="AG239" s="751"/>
      <c r="AH239" s="751"/>
    </row>
    <row r="240" spans="10:34" s="568" customFormat="1">
      <c r="J240" s="277"/>
      <c r="K240" s="544"/>
      <c r="L240" s="544"/>
      <c r="M240" s="700"/>
      <c r="N240" s="700"/>
      <c r="O240" s="700"/>
      <c r="P240" s="277"/>
      <c r="Q240" s="278"/>
      <c r="R240" s="751"/>
      <c r="S240" s="751"/>
      <c r="T240" s="751"/>
      <c r="U240" s="751"/>
      <c r="V240" s="751"/>
      <c r="W240" s="751"/>
      <c r="X240" s="751"/>
      <c r="Y240" s="751"/>
      <c r="Z240" s="751"/>
      <c r="AA240" s="751"/>
      <c r="AB240" s="751"/>
      <c r="AC240" s="751"/>
      <c r="AD240" s="751"/>
      <c r="AE240" s="751"/>
      <c r="AF240" s="751"/>
      <c r="AG240" s="751"/>
      <c r="AH240" s="751"/>
    </row>
    <row r="241" spans="10:34" s="568" customFormat="1">
      <c r="J241" s="277"/>
      <c r="K241" s="544"/>
      <c r="L241" s="544"/>
      <c r="M241" s="700"/>
      <c r="N241" s="700"/>
      <c r="O241" s="700"/>
      <c r="P241" s="277"/>
      <c r="Q241" s="278"/>
      <c r="R241" s="751"/>
      <c r="S241" s="751"/>
      <c r="T241" s="751"/>
      <c r="U241" s="751"/>
      <c r="V241" s="751"/>
      <c r="W241" s="751"/>
      <c r="X241" s="751"/>
      <c r="Y241" s="751"/>
      <c r="Z241" s="751"/>
      <c r="AA241" s="751"/>
      <c r="AB241" s="751"/>
      <c r="AC241" s="751"/>
      <c r="AD241" s="751"/>
      <c r="AE241" s="751"/>
      <c r="AF241" s="751"/>
      <c r="AG241" s="751"/>
      <c r="AH241" s="751"/>
    </row>
    <row r="242" spans="10:34">
      <c r="M242" s="700"/>
      <c r="N242" s="700"/>
      <c r="O242" s="700"/>
    </row>
    <row r="243" spans="10:34">
      <c r="M243" s="697"/>
      <c r="N243" s="697"/>
      <c r="O243" s="697"/>
    </row>
    <row r="244" spans="10:34">
      <c r="M244" s="697"/>
      <c r="N244" s="697"/>
      <c r="O244" s="697"/>
    </row>
    <row r="245" spans="10:34">
      <c r="M245" s="697"/>
      <c r="N245" s="697"/>
      <c r="O245" s="697"/>
    </row>
    <row r="246" spans="10:34">
      <c r="M246" s="697"/>
      <c r="N246" s="697"/>
      <c r="O246" s="697"/>
    </row>
    <row r="247" spans="10:34">
      <c r="M247" s="697"/>
      <c r="N247" s="697"/>
      <c r="O247" s="697"/>
    </row>
    <row r="248" spans="10:34">
      <c r="M248" s="697"/>
      <c r="N248" s="697"/>
      <c r="O248" s="697"/>
    </row>
    <row r="249" spans="10:34">
      <c r="M249" s="697"/>
      <c r="N249" s="697"/>
      <c r="O249" s="697"/>
    </row>
    <row r="250" spans="10:34">
      <c r="M250" s="697"/>
      <c r="N250" s="697"/>
      <c r="O250" s="697"/>
    </row>
    <row r="251" spans="10:34" s="568" customFormat="1">
      <c r="J251" s="277"/>
      <c r="K251" s="544"/>
      <c r="L251" s="544"/>
      <c r="M251" s="697"/>
      <c r="N251" s="697"/>
      <c r="O251" s="697"/>
      <c r="P251" s="277"/>
      <c r="Q251" s="278"/>
      <c r="R251" s="751"/>
      <c r="S251" s="751"/>
      <c r="T251" s="751"/>
      <c r="U251" s="751"/>
      <c r="V251" s="751"/>
      <c r="W251" s="751"/>
      <c r="X251" s="751"/>
      <c r="Y251" s="751"/>
      <c r="Z251" s="751"/>
      <c r="AA251" s="751"/>
      <c r="AB251" s="751"/>
      <c r="AC251" s="751"/>
      <c r="AD251" s="751"/>
      <c r="AE251" s="751"/>
      <c r="AF251" s="751"/>
      <c r="AG251" s="751"/>
      <c r="AH251" s="751"/>
    </row>
    <row r="252" spans="10:34" s="568" customFormat="1">
      <c r="J252" s="277"/>
      <c r="K252" s="544"/>
      <c r="L252" s="544"/>
      <c r="M252" s="697"/>
      <c r="N252" s="697"/>
      <c r="O252" s="697"/>
      <c r="P252" s="277"/>
      <c r="Q252" s="278"/>
      <c r="R252" s="751"/>
      <c r="S252" s="751"/>
      <c r="T252" s="751"/>
      <c r="U252" s="751"/>
      <c r="V252" s="751"/>
      <c r="W252" s="751"/>
      <c r="X252" s="751"/>
      <c r="Y252" s="751"/>
      <c r="Z252" s="751"/>
      <c r="AA252" s="751"/>
      <c r="AB252" s="751"/>
      <c r="AC252" s="751"/>
      <c r="AD252" s="751"/>
      <c r="AE252" s="751"/>
      <c r="AF252" s="751"/>
      <c r="AG252" s="751"/>
      <c r="AH252" s="751"/>
    </row>
    <row r="253" spans="10:34" s="568" customFormat="1">
      <c r="J253" s="277"/>
      <c r="K253" s="544"/>
      <c r="L253" s="544"/>
      <c r="M253" s="697"/>
      <c r="N253" s="697"/>
      <c r="O253" s="697"/>
      <c r="P253" s="277"/>
      <c r="Q253" s="278"/>
      <c r="R253" s="751"/>
      <c r="S253" s="751"/>
      <c r="T253" s="751"/>
      <c r="U253" s="751"/>
      <c r="V253" s="751"/>
      <c r="W253" s="751"/>
      <c r="X253" s="751"/>
      <c r="Y253" s="751"/>
      <c r="Z253" s="751"/>
      <c r="AA253" s="751"/>
      <c r="AB253" s="751"/>
      <c r="AC253" s="751"/>
      <c r="AD253" s="751"/>
      <c r="AE253" s="751"/>
      <c r="AF253" s="751"/>
      <c r="AG253" s="751"/>
      <c r="AH253" s="751"/>
    </row>
    <row r="254" spans="10:34" s="568" customFormat="1">
      <c r="J254" s="277"/>
      <c r="K254" s="544"/>
      <c r="L254" s="544"/>
      <c r="M254" s="697"/>
      <c r="N254" s="697"/>
      <c r="O254" s="697"/>
      <c r="P254" s="277"/>
      <c r="Q254" s="278"/>
      <c r="R254" s="751"/>
      <c r="S254" s="751"/>
      <c r="T254" s="751"/>
      <c r="U254" s="751"/>
      <c r="V254" s="751"/>
      <c r="W254" s="751"/>
      <c r="X254" s="751"/>
      <c r="Y254" s="751"/>
      <c r="Z254" s="751"/>
      <c r="AA254" s="751"/>
      <c r="AB254" s="751"/>
      <c r="AC254" s="751"/>
      <c r="AD254" s="751"/>
      <c r="AE254" s="751"/>
      <c r="AF254" s="751"/>
      <c r="AG254" s="751"/>
      <c r="AH254" s="751"/>
    </row>
    <row r="255" spans="10:34" s="568" customFormat="1">
      <c r="J255" s="277"/>
      <c r="K255" s="544"/>
      <c r="L255" s="544"/>
      <c r="M255" s="697"/>
      <c r="N255" s="697"/>
      <c r="O255" s="697"/>
      <c r="P255" s="277"/>
      <c r="Q255" s="278"/>
      <c r="R255" s="751"/>
      <c r="S255" s="751"/>
      <c r="T255" s="751"/>
      <c r="U255" s="751"/>
      <c r="V255" s="751"/>
      <c r="W255" s="751"/>
      <c r="X255" s="751"/>
      <c r="Y255" s="751"/>
      <c r="Z255" s="751"/>
      <c r="AA255" s="751"/>
      <c r="AB255" s="751"/>
      <c r="AC255" s="751"/>
      <c r="AD255" s="751"/>
      <c r="AE255" s="751"/>
      <c r="AF255" s="751"/>
      <c r="AG255" s="751"/>
      <c r="AH255" s="751"/>
    </row>
    <row r="256" spans="10:34" s="568" customFormat="1">
      <c r="J256" s="277"/>
      <c r="K256" s="544"/>
      <c r="L256" s="544"/>
      <c r="M256" s="697"/>
      <c r="N256" s="697"/>
      <c r="O256" s="697"/>
      <c r="P256" s="277"/>
      <c r="Q256" s="278"/>
      <c r="R256" s="751"/>
      <c r="S256" s="751"/>
      <c r="T256" s="751"/>
      <c r="U256" s="751"/>
      <c r="V256" s="751"/>
      <c r="W256" s="751"/>
      <c r="X256" s="751"/>
      <c r="Y256" s="751"/>
      <c r="Z256" s="751"/>
      <c r="AA256" s="751"/>
      <c r="AB256" s="751"/>
      <c r="AC256" s="751"/>
      <c r="AD256" s="751"/>
      <c r="AE256" s="751"/>
      <c r="AF256" s="751"/>
      <c r="AG256" s="751"/>
      <c r="AH256" s="751"/>
    </row>
    <row r="257" spans="10:34" s="568" customFormat="1">
      <c r="J257" s="277"/>
      <c r="K257" s="544"/>
      <c r="L257" s="544"/>
      <c r="M257" s="697"/>
      <c r="N257" s="697"/>
      <c r="O257" s="697"/>
      <c r="P257" s="277"/>
      <c r="Q257" s="278"/>
      <c r="R257" s="751"/>
      <c r="S257" s="751"/>
      <c r="T257" s="751"/>
      <c r="U257" s="751"/>
      <c r="V257" s="751"/>
      <c r="W257" s="751"/>
      <c r="X257" s="751"/>
      <c r="Y257" s="751"/>
      <c r="Z257" s="751"/>
      <c r="AA257" s="751"/>
      <c r="AB257" s="751"/>
      <c r="AC257" s="751"/>
      <c r="AD257" s="751"/>
      <c r="AE257" s="751"/>
      <c r="AF257" s="751"/>
      <c r="AG257" s="751"/>
      <c r="AH257" s="751"/>
    </row>
    <row r="258" spans="10:34" s="568" customFormat="1">
      <c r="J258" s="277"/>
      <c r="K258" s="544"/>
      <c r="L258" s="544"/>
      <c r="M258" s="697"/>
      <c r="N258" s="697"/>
      <c r="O258" s="697"/>
      <c r="P258" s="277"/>
      <c r="Q258" s="278"/>
      <c r="R258" s="751"/>
      <c r="S258" s="751"/>
      <c r="T258" s="751"/>
      <c r="U258" s="751"/>
      <c r="V258" s="751"/>
      <c r="W258" s="751"/>
      <c r="X258" s="751"/>
      <c r="Y258" s="751"/>
      <c r="Z258" s="751"/>
      <c r="AA258" s="751"/>
      <c r="AB258" s="751"/>
      <c r="AC258" s="751"/>
      <c r="AD258" s="751"/>
      <c r="AE258" s="751"/>
      <c r="AF258" s="751"/>
      <c r="AG258" s="751"/>
      <c r="AH258" s="751"/>
    </row>
    <row r="259" spans="10:34">
      <c r="M259" s="697"/>
      <c r="N259" s="697"/>
      <c r="O259" s="697"/>
    </row>
    <row r="260" spans="10:34">
      <c r="M260" s="700"/>
      <c r="N260" s="700"/>
      <c r="O260" s="700"/>
    </row>
    <row r="261" spans="10:34">
      <c r="M261" s="700"/>
      <c r="N261" s="700"/>
      <c r="O261" s="700"/>
    </row>
    <row r="263" spans="10:34">
      <c r="M263" s="700"/>
      <c r="N263" s="700"/>
      <c r="O263" s="700"/>
    </row>
    <row r="264" spans="10:34">
      <c r="M264" s="700"/>
      <c r="N264" s="700"/>
      <c r="O264" s="700"/>
    </row>
    <row r="265" spans="10:34">
      <c r="M265" s="700"/>
      <c r="N265" s="700"/>
      <c r="O265" s="700"/>
    </row>
    <row r="266" spans="10:34">
      <c r="M266" s="700"/>
      <c r="N266" s="700"/>
      <c r="O266" s="700"/>
    </row>
    <row r="267" spans="10:34">
      <c r="M267" s="700"/>
      <c r="N267" s="700"/>
      <c r="O267" s="700"/>
    </row>
    <row r="268" spans="10:34">
      <c r="M268" s="700"/>
      <c r="N268" s="700"/>
      <c r="O268" s="700"/>
    </row>
    <row r="269" spans="10:34">
      <c r="M269" s="700"/>
      <c r="N269" s="700"/>
      <c r="O269" s="700"/>
    </row>
    <row r="270" spans="10:34">
      <c r="M270" s="700"/>
      <c r="N270" s="700"/>
      <c r="O270" s="700"/>
    </row>
    <row r="271" spans="10:34">
      <c r="M271" s="700"/>
      <c r="N271" s="700"/>
      <c r="O271" s="700"/>
    </row>
    <row r="272" spans="10:34">
      <c r="M272" s="700"/>
      <c r="N272" s="700"/>
      <c r="O272" s="700"/>
    </row>
    <row r="273" spans="13:15">
      <c r="M273" s="700"/>
      <c r="N273" s="700"/>
      <c r="O273" s="700"/>
    </row>
    <row r="274" spans="13:15">
      <c r="M274" s="700"/>
      <c r="N274" s="700"/>
      <c r="O274" s="700"/>
    </row>
    <row r="275" spans="13:15">
      <c r="M275" s="700"/>
      <c r="N275" s="700"/>
      <c r="O275" s="700"/>
    </row>
    <row r="276" spans="13:15">
      <c r="M276" s="700"/>
      <c r="N276" s="700"/>
      <c r="O276" s="700"/>
    </row>
    <row r="277" spans="13:15">
      <c r="M277" s="700"/>
      <c r="N277" s="700"/>
      <c r="O277" s="700"/>
    </row>
    <row r="278" spans="13:15">
      <c r="M278" s="700"/>
      <c r="N278" s="700"/>
      <c r="O278" s="700"/>
    </row>
    <row r="279" spans="13:15">
      <c r="M279" s="700"/>
      <c r="N279" s="700"/>
      <c r="O279" s="700"/>
    </row>
    <row r="280" spans="13:15">
      <c r="M280" s="700"/>
      <c r="N280" s="700"/>
      <c r="O280" s="700"/>
    </row>
    <row r="281" spans="13:15">
      <c r="M281" s="700"/>
      <c r="N281" s="700"/>
      <c r="O281" s="700"/>
    </row>
    <row r="282" spans="13:15">
      <c r="M282" s="700"/>
      <c r="N282" s="700"/>
      <c r="O282" s="700"/>
    </row>
    <row r="283" spans="13:15">
      <c r="M283" s="700"/>
      <c r="N283" s="700"/>
      <c r="O283" s="700"/>
    </row>
    <row r="284" spans="13:15">
      <c r="M284" s="700"/>
      <c r="N284" s="700"/>
      <c r="O284" s="700"/>
    </row>
    <row r="286" spans="13:15">
      <c r="M286" s="277" t="s">
        <v>261</v>
      </c>
      <c r="N286" s="277" t="s">
        <v>262</v>
      </c>
      <c r="O286"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Diciembre 2021
INFSGI-MES-12-2021
21/02/2022
Versión: 02</oddHeader>
    <oddFooter>&amp;L&amp;7COES, 2021&amp;C12&amp;R&amp;7Dirección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98"/>
  <sheetViews>
    <sheetView showGridLines="0" view="pageBreakPreview" zoomScaleNormal="100" zoomScaleSheetLayoutView="100" zoomScalePageLayoutView="115" workbookViewId="0">
      <selection activeCell="F52" sqref="F52"/>
    </sheetView>
  </sheetViews>
  <sheetFormatPr baseColWidth="10" defaultColWidth="9.28515625" defaultRowHeight="10.199999999999999"/>
  <cols>
    <col min="10" max="11" width="9.28515625" customWidth="1"/>
    <col min="13" max="13" width="9.28515625" style="751"/>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6" width="9.28515625" style="278"/>
    <col min="27" max="35" width="9.28515625" style="751"/>
  </cols>
  <sheetData>
    <row r="1" spans="1:25" ht="11.25" customHeight="1"/>
    <row r="2" spans="1:25" ht="11.25" customHeight="1">
      <c r="A2" s="290"/>
      <c r="B2" s="291"/>
      <c r="C2" s="291"/>
      <c r="D2" s="291"/>
      <c r="E2" s="291"/>
      <c r="F2" s="291"/>
      <c r="G2" s="174"/>
      <c r="H2" s="174"/>
      <c r="I2" s="132"/>
    </row>
    <row r="3" spans="1:25" ht="11.25" customHeight="1">
      <c r="A3" s="132"/>
      <c r="B3" s="132"/>
      <c r="C3" s="132"/>
      <c r="D3" s="132"/>
      <c r="E3" s="132"/>
      <c r="F3" s="132"/>
      <c r="G3" s="138"/>
      <c r="H3" s="138"/>
      <c r="I3" s="138"/>
      <c r="J3" s="148"/>
      <c r="K3" s="148"/>
      <c r="L3" s="148"/>
      <c r="O3" s="278" t="s">
        <v>260</v>
      </c>
      <c r="P3" s="615"/>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15">
        <v>1</v>
      </c>
      <c r="Q4" s="702">
        <v>10.34</v>
      </c>
      <c r="R4" s="702">
        <v>4.4628571428571426</v>
      </c>
      <c r="S4" s="702">
        <v>140.04142857142858</v>
      </c>
      <c r="T4" s="702">
        <v>143.09</v>
      </c>
      <c r="U4" s="702">
        <v>20.63</v>
      </c>
      <c r="V4" s="702">
        <v>13</v>
      </c>
      <c r="W4" s="702">
        <v>1.64</v>
      </c>
      <c r="X4" s="702">
        <v>201.2428571428571</v>
      </c>
      <c r="Y4" s="702">
        <v>63.23</v>
      </c>
    </row>
    <row r="5" spans="1:25" ht="11.25" customHeight="1">
      <c r="A5" s="176"/>
      <c r="B5" s="176"/>
      <c r="C5" s="176"/>
      <c r="D5" s="176"/>
      <c r="E5" s="176"/>
      <c r="F5" s="176"/>
      <c r="G5" s="176"/>
      <c r="H5" s="176"/>
      <c r="I5" s="176"/>
      <c r="J5" s="24"/>
      <c r="K5" s="24"/>
      <c r="L5" s="131"/>
      <c r="P5" s="615">
        <v>2</v>
      </c>
      <c r="Q5" s="702">
        <v>13.730999947142859</v>
      </c>
      <c r="R5" s="702">
        <v>3.5944285392857145</v>
      </c>
      <c r="S5" s="702">
        <v>209.91800362857143</v>
      </c>
      <c r="T5" s="702">
        <v>160.98214394285716</v>
      </c>
      <c r="U5" s="702">
        <v>36.213856559999996</v>
      </c>
      <c r="V5" s="702">
        <v>11.774285724285715</v>
      </c>
      <c r="W5" s="702">
        <v>1.5914286031428568</v>
      </c>
      <c r="X5" s="702">
        <v>229.4250030571429</v>
      </c>
      <c r="Y5" s="702">
        <v>56.654285431428562</v>
      </c>
    </row>
    <row r="6" spans="1:25" ht="11.25" customHeight="1">
      <c r="A6" s="132"/>
      <c r="B6" s="292"/>
      <c r="C6" s="293"/>
      <c r="D6" s="294"/>
      <c r="E6" s="294"/>
      <c r="F6" s="177"/>
      <c r="G6" s="178"/>
      <c r="H6" s="178"/>
      <c r="I6" s="179"/>
      <c r="J6" s="24"/>
      <c r="K6" s="24"/>
      <c r="L6" s="19"/>
      <c r="P6" s="615">
        <v>3</v>
      </c>
      <c r="Q6" s="702">
        <v>15.983285902857142</v>
      </c>
      <c r="R6" s="702">
        <v>8.3045714242857152</v>
      </c>
      <c r="S6" s="702">
        <v>223.6645725857143</v>
      </c>
      <c r="T6" s="702">
        <v>190.44042751428574</v>
      </c>
      <c r="U6" s="702">
        <v>30.819142750000001</v>
      </c>
      <c r="V6" s="702">
        <v>11.857142857142858</v>
      </c>
      <c r="W6" s="702">
        <v>1.5814286125714285</v>
      </c>
      <c r="X6" s="702">
        <v>261.56357028571426</v>
      </c>
      <c r="Y6" s="702">
        <v>68.516428267142857</v>
      </c>
    </row>
    <row r="7" spans="1:25" ht="11.25" customHeight="1">
      <c r="A7" s="132"/>
      <c r="B7" s="180"/>
      <c r="C7" s="180"/>
      <c r="D7" s="181"/>
      <c r="E7" s="181"/>
      <c r="F7" s="177"/>
      <c r="G7" s="178"/>
      <c r="H7" s="178"/>
      <c r="I7" s="179"/>
      <c r="J7" s="25"/>
      <c r="K7" s="25"/>
      <c r="L7" s="22"/>
      <c r="P7" s="615">
        <v>4</v>
      </c>
      <c r="Q7" s="702">
        <v>21.988571574285714</v>
      </c>
      <c r="R7" s="702">
        <v>15.598142828000002</v>
      </c>
      <c r="S7" s="702">
        <v>346.88342720000003</v>
      </c>
      <c r="T7" s="702">
        <v>205.5832868285714</v>
      </c>
      <c r="U7" s="702">
        <v>40.893000467142862</v>
      </c>
      <c r="V7" s="702">
        <v>18.734285627142857</v>
      </c>
      <c r="W7" s="702">
        <v>1.5700000519999997</v>
      </c>
      <c r="X7" s="702">
        <v>261.98000009999998</v>
      </c>
      <c r="Y7" s="702">
        <v>58.935427530000005</v>
      </c>
    </row>
    <row r="8" spans="1:25" ht="11.25" customHeight="1">
      <c r="A8" s="132"/>
      <c r="B8" s="182"/>
      <c r="C8" s="132"/>
      <c r="D8" s="156"/>
      <c r="E8" s="156"/>
      <c r="F8" s="177"/>
      <c r="G8" s="178"/>
      <c r="H8" s="178"/>
      <c r="I8" s="179"/>
      <c r="J8" s="23"/>
      <c r="K8" s="23"/>
      <c r="L8" s="24"/>
      <c r="P8" s="615">
        <v>5</v>
      </c>
      <c r="Q8" s="702">
        <v>17.729000225714284</v>
      </c>
      <c r="R8" s="702">
        <v>13.724571365714285</v>
      </c>
      <c r="S8" s="702">
        <v>214.95928737142859</v>
      </c>
      <c r="T8" s="702">
        <v>93.607142857142861</v>
      </c>
      <c r="U8" s="702">
        <v>17.748285841428572</v>
      </c>
      <c r="V8" s="702">
        <v>23.390000208571426</v>
      </c>
      <c r="W8" s="702">
        <v>1.5700000519999997</v>
      </c>
      <c r="X8" s="702">
        <v>141.83571514285714</v>
      </c>
      <c r="Y8" s="702">
        <v>45.332857951428579</v>
      </c>
    </row>
    <row r="9" spans="1:25" ht="11.25" customHeight="1">
      <c r="A9" s="132"/>
      <c r="B9" s="182"/>
      <c r="C9" s="132"/>
      <c r="D9" s="156"/>
      <c r="E9" s="156"/>
      <c r="F9" s="177"/>
      <c r="G9" s="178"/>
      <c r="H9" s="178"/>
      <c r="I9" s="179"/>
      <c r="J9" s="25"/>
      <c r="K9" s="26"/>
      <c r="L9" s="22"/>
      <c r="P9" s="615">
        <v>6</v>
      </c>
      <c r="Q9" s="702">
        <v>13.582571572857143</v>
      </c>
      <c r="R9" s="702">
        <v>8.6634286477142854</v>
      </c>
      <c r="S9" s="702">
        <v>166.34242902857142</v>
      </c>
      <c r="T9" s="702">
        <v>108.25571334000001</v>
      </c>
      <c r="U9" s="702">
        <v>18.79157175142857</v>
      </c>
      <c r="V9" s="702">
        <v>20.201017107142857</v>
      </c>
      <c r="W9" s="702">
        <v>2.3694285491428571</v>
      </c>
      <c r="X9" s="702">
        <v>164.55714089999998</v>
      </c>
      <c r="Y9" s="702">
        <v>65.987571171428584</v>
      </c>
    </row>
    <row r="10" spans="1:25" ht="11.25" customHeight="1">
      <c r="A10" s="132"/>
      <c r="B10" s="182"/>
      <c r="C10" s="132"/>
      <c r="D10" s="156"/>
      <c r="E10" s="156"/>
      <c r="F10" s="177"/>
      <c r="G10" s="178"/>
      <c r="H10" s="178"/>
      <c r="I10" s="179"/>
      <c r="J10" s="25"/>
      <c r="K10" s="25"/>
      <c r="L10" s="22"/>
      <c r="P10" s="615">
        <v>7</v>
      </c>
      <c r="Q10" s="702">
        <v>14.722571237142859</v>
      </c>
      <c r="R10" s="702">
        <v>11.071428435428571</v>
      </c>
      <c r="S10" s="702">
        <v>239.50057330000001</v>
      </c>
      <c r="T10" s="702">
        <v>202.98199900000003</v>
      </c>
      <c r="U10" s="702">
        <v>42.088571821428573</v>
      </c>
      <c r="V10" s="702">
        <v>15.283185821428571</v>
      </c>
      <c r="W10" s="702">
        <v>3.1689999100000001</v>
      </c>
      <c r="X10" s="702">
        <v>355.31285748571423</v>
      </c>
      <c r="Y10" s="702">
        <v>97.722999031428586</v>
      </c>
    </row>
    <row r="11" spans="1:25" ht="11.25" customHeight="1">
      <c r="A11" s="132"/>
      <c r="B11" s="156"/>
      <c r="C11" s="132"/>
      <c r="D11" s="156"/>
      <c r="E11" s="156"/>
      <c r="F11" s="177"/>
      <c r="G11" s="178"/>
      <c r="H11" s="178"/>
      <c r="I11" s="179"/>
      <c r="J11" s="25"/>
      <c r="K11" s="25"/>
      <c r="L11" s="22"/>
      <c r="O11" s="278">
        <v>8</v>
      </c>
      <c r="P11" s="615">
        <v>8</v>
      </c>
      <c r="Q11" s="702">
        <v>18.48</v>
      </c>
      <c r="R11" s="702">
        <v>14.97</v>
      </c>
      <c r="S11" s="702">
        <v>357.61814662857148</v>
      </c>
      <c r="T11" s="702">
        <v>251.1</v>
      </c>
      <c r="U11" s="702">
        <v>43.74</v>
      </c>
      <c r="V11" s="702">
        <v>16.564</v>
      </c>
      <c r="W11" s="702">
        <v>3.16</v>
      </c>
      <c r="X11" s="702">
        <v>437.78</v>
      </c>
      <c r="Y11" s="702">
        <v>142.13</v>
      </c>
    </row>
    <row r="12" spans="1:25" ht="11.25" customHeight="1">
      <c r="A12" s="132"/>
      <c r="B12" s="156"/>
      <c r="C12" s="132"/>
      <c r="D12" s="156"/>
      <c r="E12" s="156"/>
      <c r="F12" s="177"/>
      <c r="G12" s="178"/>
      <c r="H12" s="178"/>
      <c r="I12" s="179"/>
      <c r="J12" s="25"/>
      <c r="K12" s="25"/>
      <c r="L12" s="22"/>
      <c r="P12" s="615">
        <v>9</v>
      </c>
      <c r="Q12" s="702">
        <v>21.652428627142854</v>
      </c>
      <c r="R12" s="702">
        <v>14.185285431142857</v>
      </c>
      <c r="S12" s="702">
        <v>333.90885488571433</v>
      </c>
      <c r="T12" s="702">
        <v>204.95843285714287</v>
      </c>
      <c r="U12" s="702">
        <v>31.755000522857138</v>
      </c>
      <c r="V12" s="702">
        <v>15.852976190476195</v>
      </c>
      <c r="W12" s="702">
        <v>3.1689999100000001</v>
      </c>
      <c r="X12" s="702">
        <v>424.14571271428576</v>
      </c>
      <c r="Y12" s="702">
        <v>142.13857270714286</v>
      </c>
    </row>
    <row r="13" spans="1:25" ht="11.25" customHeight="1">
      <c r="A13" s="132"/>
      <c r="B13" s="156"/>
      <c r="C13" s="132"/>
      <c r="D13" s="156"/>
      <c r="E13" s="156"/>
      <c r="F13" s="177"/>
      <c r="G13" s="178"/>
      <c r="H13" s="178"/>
      <c r="I13" s="179"/>
      <c r="J13" s="23"/>
      <c r="K13" s="23"/>
      <c r="L13" s="24"/>
      <c r="P13" s="615">
        <v>10</v>
      </c>
      <c r="Q13" s="702">
        <v>30.272714344285713</v>
      </c>
      <c r="R13" s="702">
        <v>17.434571538571429</v>
      </c>
      <c r="S13" s="702">
        <v>431.64157101428572</v>
      </c>
      <c r="T13" s="702">
        <v>177.15485925714287</v>
      </c>
      <c r="U13" s="702">
        <v>31.196571622857142</v>
      </c>
      <c r="V13" s="702">
        <v>14.442</v>
      </c>
      <c r="W13" s="702">
        <v>4.7437142644285712</v>
      </c>
      <c r="X13" s="702">
        <v>293.69142804285718</v>
      </c>
      <c r="Y13" s="702">
        <v>72.30971418</v>
      </c>
    </row>
    <row r="14" spans="1:25" ht="11.25" customHeight="1">
      <c r="A14" s="132"/>
      <c r="B14" s="156"/>
      <c r="C14" s="132"/>
      <c r="D14" s="156"/>
      <c r="E14" s="156"/>
      <c r="F14" s="177"/>
      <c r="G14" s="178"/>
      <c r="H14" s="178"/>
      <c r="I14" s="179"/>
      <c r="J14" s="25"/>
      <c r="K14" s="26"/>
      <c r="L14" s="22"/>
      <c r="P14" s="615">
        <v>11</v>
      </c>
      <c r="Q14" s="702">
        <v>28.071857179999999</v>
      </c>
      <c r="R14" s="702">
        <v>17.048571724285715</v>
      </c>
      <c r="S14" s="702">
        <v>485.98543439999997</v>
      </c>
      <c r="T14" s="702">
        <v>169.375</v>
      </c>
      <c r="U14" s="702">
        <v>52.626284462857136</v>
      </c>
      <c r="V14" s="702">
        <v>18.273</v>
      </c>
      <c r="W14" s="702">
        <v>3.0879999738571429</v>
      </c>
      <c r="X14" s="702">
        <v>511.54500034285724</v>
      </c>
      <c r="Y14" s="702">
        <v>119.7894287057143</v>
      </c>
    </row>
    <row r="15" spans="1:25" ht="11.25" customHeight="1">
      <c r="A15" s="132"/>
      <c r="B15" s="156"/>
      <c r="C15" s="132"/>
      <c r="D15" s="156"/>
      <c r="E15" s="156"/>
      <c r="F15" s="177"/>
      <c r="G15" s="178"/>
      <c r="H15" s="178"/>
      <c r="I15" s="179"/>
      <c r="J15" s="25"/>
      <c r="K15" s="26"/>
      <c r="L15" s="22"/>
      <c r="P15" s="615">
        <v>12</v>
      </c>
      <c r="Q15" s="702">
        <v>29.90999984714286</v>
      </c>
      <c r="R15" s="702">
        <v>21.62</v>
      </c>
      <c r="S15" s="702">
        <v>465.24414497142863</v>
      </c>
      <c r="T15" s="702">
        <v>201.58328465714288</v>
      </c>
      <c r="U15" s="702">
        <v>57.669144221428567</v>
      </c>
      <c r="V15" s="702">
        <v>23.244</v>
      </c>
      <c r="W15" s="702">
        <v>4.5095714328571432</v>
      </c>
      <c r="X15" s="702">
        <v>433.89143152857145</v>
      </c>
      <c r="Y15" s="702">
        <v>152.80443028571429</v>
      </c>
    </row>
    <row r="16" spans="1:25" ht="11.25" customHeight="1">
      <c r="A16" s="132"/>
      <c r="B16" s="156"/>
      <c r="C16" s="132"/>
      <c r="D16" s="156"/>
      <c r="E16" s="156"/>
      <c r="F16" s="177"/>
      <c r="G16" s="178"/>
      <c r="H16" s="178"/>
      <c r="I16" s="179"/>
      <c r="J16" s="25"/>
      <c r="K16" s="26"/>
      <c r="L16" s="22"/>
      <c r="P16" s="615">
        <v>13</v>
      </c>
      <c r="Q16" s="702">
        <v>28.360142844285718</v>
      </c>
      <c r="R16" s="702">
        <v>17.439428465714283</v>
      </c>
      <c r="S16" s="702">
        <v>396.37686155714289</v>
      </c>
      <c r="T16" s="702">
        <v>163.75585502857143</v>
      </c>
      <c r="U16" s="702">
        <v>35.725570951428573</v>
      </c>
      <c r="V16" s="702">
        <v>23.143392837142859</v>
      </c>
      <c r="W16" s="702">
        <v>3.3929999999999998</v>
      </c>
      <c r="X16" s="702">
        <v>281.79928587142859</v>
      </c>
      <c r="Y16" s="702">
        <v>107.32928468714286</v>
      </c>
    </row>
    <row r="17" spans="1:25" ht="11.25" customHeight="1">
      <c r="A17" s="132"/>
      <c r="B17" s="156"/>
      <c r="C17" s="132"/>
      <c r="D17" s="156"/>
      <c r="E17" s="156"/>
      <c r="F17" s="177"/>
      <c r="G17" s="178"/>
      <c r="H17" s="178"/>
      <c r="I17" s="179"/>
      <c r="J17" s="25"/>
      <c r="K17" s="26"/>
      <c r="L17" s="22"/>
      <c r="P17" s="615">
        <v>14</v>
      </c>
      <c r="Q17" s="702">
        <v>23.830285752857144</v>
      </c>
      <c r="R17" s="702">
        <v>12.833285604571429</v>
      </c>
      <c r="S17" s="702">
        <v>226.32643345714288</v>
      </c>
      <c r="T17" s="702">
        <v>133.53585814285714</v>
      </c>
      <c r="U17" s="702">
        <v>28.622000282857147</v>
      </c>
      <c r="V17" s="702">
        <v>19.16</v>
      </c>
      <c r="W17" s="702">
        <v>1.736</v>
      </c>
      <c r="X17" s="702">
        <v>176.23214502857144</v>
      </c>
      <c r="Y17" s="702">
        <v>80.936570849999995</v>
      </c>
    </row>
    <row r="18" spans="1:25" ht="11.25" customHeight="1">
      <c r="A18" s="899" t="s">
        <v>496</v>
      </c>
      <c r="B18" s="899"/>
      <c r="C18" s="899"/>
      <c r="D18" s="899"/>
      <c r="E18" s="899"/>
      <c r="F18" s="899"/>
      <c r="G18" s="899"/>
      <c r="H18" s="899"/>
      <c r="I18" s="899"/>
      <c r="J18" s="899"/>
      <c r="K18" s="899"/>
      <c r="L18" s="899"/>
      <c r="P18" s="615">
        <v>15</v>
      </c>
      <c r="Q18" s="702">
        <v>27</v>
      </c>
      <c r="R18" s="702">
        <v>15.571285655714286</v>
      </c>
      <c r="S18" s="702">
        <v>207.40800040000002</v>
      </c>
      <c r="T18" s="702">
        <v>107.59514291428572</v>
      </c>
      <c r="U18" s="702">
        <v>30.753999982857145</v>
      </c>
      <c r="V18" s="702">
        <v>14.377143042857142</v>
      </c>
      <c r="W18" s="702">
        <v>1.8612856864285716</v>
      </c>
      <c r="X18" s="702">
        <v>130.09</v>
      </c>
      <c r="Y18" s="702">
        <v>42.693143572857146</v>
      </c>
    </row>
    <row r="19" spans="1:25" ht="11.25" customHeight="1">
      <c r="A19" s="25"/>
      <c r="B19" s="156"/>
      <c r="C19" s="132"/>
      <c r="D19" s="156"/>
      <c r="E19" s="156"/>
      <c r="F19" s="177"/>
      <c r="G19" s="178"/>
      <c r="H19" s="178"/>
      <c r="I19" s="179"/>
      <c r="J19" s="25"/>
      <c r="K19" s="26"/>
      <c r="L19" s="22"/>
      <c r="O19" s="278">
        <v>16</v>
      </c>
      <c r="P19" s="615">
        <v>16</v>
      </c>
      <c r="Q19" s="702">
        <v>19.899999999999999</v>
      </c>
      <c r="R19" s="702">
        <v>12.83</v>
      </c>
      <c r="S19" s="702">
        <v>166.38871437142856</v>
      </c>
      <c r="T19" s="702">
        <v>95.78</v>
      </c>
      <c r="U19" s="702">
        <v>29.88</v>
      </c>
      <c r="V19" s="702">
        <v>12.36</v>
      </c>
      <c r="W19" s="702">
        <v>1.9</v>
      </c>
      <c r="X19" s="702">
        <v>96.9</v>
      </c>
      <c r="Y19" s="702">
        <v>33.717142651428574</v>
      </c>
    </row>
    <row r="20" spans="1:25" ht="11.25" customHeight="1">
      <c r="A20" s="132"/>
      <c r="B20" s="156"/>
      <c r="C20" s="132"/>
      <c r="D20" s="156"/>
      <c r="E20" s="156"/>
      <c r="F20" s="177"/>
      <c r="G20" s="178"/>
      <c r="H20" s="178"/>
      <c r="I20" s="179"/>
      <c r="J20" s="25"/>
      <c r="K20" s="26"/>
      <c r="L20" s="22"/>
      <c r="P20" s="615">
        <v>17</v>
      </c>
      <c r="Q20" s="702">
        <v>19.14</v>
      </c>
      <c r="R20" s="702">
        <v>13.52</v>
      </c>
      <c r="S20" s="702">
        <v>168.19342804285716</v>
      </c>
      <c r="T20" s="702">
        <v>95.39</v>
      </c>
      <c r="U20" s="702">
        <v>22.257285525714284</v>
      </c>
      <c r="V20" s="702">
        <v>13.4</v>
      </c>
      <c r="W20" s="702">
        <v>1.7940000124285713</v>
      </c>
      <c r="X20" s="702">
        <v>89.59</v>
      </c>
      <c r="Y20" s="702">
        <v>27.06</v>
      </c>
    </row>
    <row r="21" spans="1:25" ht="11.25" customHeight="1">
      <c r="A21" s="132"/>
      <c r="B21" s="156"/>
      <c r="C21" s="132"/>
      <c r="D21" s="156"/>
      <c r="E21" s="156"/>
      <c r="F21" s="177"/>
      <c r="G21" s="178"/>
      <c r="H21" s="178"/>
      <c r="I21" s="179"/>
      <c r="J21" s="25"/>
      <c r="K21" s="29"/>
      <c r="L21" s="30"/>
      <c r="P21" s="615">
        <v>18</v>
      </c>
      <c r="Q21" s="702">
        <v>19.703571455714286</v>
      </c>
      <c r="R21" s="702">
        <v>14.166857039571427</v>
      </c>
      <c r="S21" s="702">
        <v>171.5428597714286</v>
      </c>
      <c r="T21" s="702">
        <v>85.958285739999994</v>
      </c>
      <c r="U21" s="702">
        <v>21.651714052857141</v>
      </c>
      <c r="V21" s="702">
        <v>12.785805702857145</v>
      </c>
      <c r="W21" s="702">
        <v>2.3024285860000004</v>
      </c>
      <c r="X21" s="702">
        <v>89.602142331428567</v>
      </c>
      <c r="Y21" s="702">
        <v>22.269714081428571</v>
      </c>
    </row>
    <row r="22" spans="1:25" ht="11.25" customHeight="1">
      <c r="A22" s="137"/>
      <c r="B22" s="156"/>
      <c r="C22" s="132"/>
      <c r="D22" s="156"/>
      <c r="E22" s="156"/>
      <c r="F22" s="177"/>
      <c r="G22" s="178"/>
      <c r="H22" s="178"/>
      <c r="I22" s="179"/>
      <c r="J22" s="25"/>
      <c r="K22" s="26"/>
      <c r="L22" s="22"/>
      <c r="P22" s="615">
        <v>19</v>
      </c>
      <c r="Q22" s="702">
        <v>15.48828561</v>
      </c>
      <c r="R22" s="702">
        <v>12.650857108142857</v>
      </c>
      <c r="S22" s="702">
        <v>146.54485865714287</v>
      </c>
      <c r="T22" s="702">
        <v>88.244000028571435</v>
      </c>
      <c r="U22" s="702">
        <v>19.037142890000002</v>
      </c>
      <c r="V22" s="702">
        <v>11.328391347142857</v>
      </c>
      <c r="W22" s="702">
        <v>1.8057142665714285</v>
      </c>
      <c r="X22" s="702">
        <v>75.568572998571426</v>
      </c>
      <c r="Y22" s="702">
        <v>17.565999711428571</v>
      </c>
    </row>
    <row r="23" spans="1:25" ht="11.25" customHeight="1">
      <c r="A23" s="137"/>
      <c r="B23" s="156"/>
      <c r="C23" s="132"/>
      <c r="D23" s="156"/>
      <c r="E23" s="156"/>
      <c r="F23" s="177"/>
      <c r="G23" s="178"/>
      <c r="H23" s="178"/>
      <c r="I23" s="179"/>
      <c r="J23" s="25"/>
      <c r="K23" s="26"/>
      <c r="L23" s="22"/>
      <c r="P23" s="615">
        <v>20</v>
      </c>
      <c r="Q23" s="702">
        <v>14.601142882857145</v>
      </c>
      <c r="R23" s="702">
        <v>10.013285772</v>
      </c>
      <c r="S23" s="702">
        <v>112.76242937142857</v>
      </c>
      <c r="T23" s="702">
        <v>64.809571402857145</v>
      </c>
      <c r="U23" s="702">
        <v>16.531571660000001</v>
      </c>
      <c r="V23" s="702">
        <v>10.899261474285714</v>
      </c>
      <c r="W23" s="702">
        <v>1.7767143248571429</v>
      </c>
      <c r="X23" s="702">
        <v>62.208570752857149</v>
      </c>
      <c r="Y23" s="702">
        <v>14.502285821428572</v>
      </c>
    </row>
    <row r="24" spans="1:25" ht="11.25" customHeight="1">
      <c r="A24" s="137"/>
      <c r="B24" s="156"/>
      <c r="C24" s="132"/>
      <c r="D24" s="156"/>
      <c r="E24" s="156"/>
      <c r="F24" s="177"/>
      <c r="G24" s="178"/>
      <c r="H24" s="178"/>
      <c r="I24" s="179"/>
      <c r="J24" s="26"/>
      <c r="K24" s="26"/>
      <c r="L24" s="22"/>
      <c r="P24" s="615">
        <v>21</v>
      </c>
      <c r="Q24" s="702">
        <v>13.411285537142858</v>
      </c>
      <c r="R24" s="702">
        <v>7.8631429672857154</v>
      </c>
      <c r="S24" s="702">
        <v>94.636570517142857</v>
      </c>
      <c r="T24" s="702">
        <v>49.303714208571428</v>
      </c>
      <c r="U24" s="702">
        <v>13.450571468571427</v>
      </c>
      <c r="V24" s="702">
        <v>11.166911400000002</v>
      </c>
      <c r="W24" s="702">
        <v>1.8437143055714282</v>
      </c>
      <c r="X24" s="702">
        <v>54.38714218285714</v>
      </c>
      <c r="Y24" s="702">
        <v>12.214999879999999</v>
      </c>
    </row>
    <row r="25" spans="1:25" ht="11.25" customHeight="1">
      <c r="A25" s="137"/>
      <c r="B25" s="156"/>
      <c r="C25" s="132"/>
      <c r="D25" s="156"/>
      <c r="E25" s="156"/>
      <c r="F25" s="177"/>
      <c r="G25" s="178"/>
      <c r="H25" s="178"/>
      <c r="I25" s="179"/>
      <c r="J25" s="25"/>
      <c r="K25" s="29"/>
      <c r="L25" s="30"/>
      <c r="P25" s="615">
        <v>22</v>
      </c>
      <c r="Q25" s="702">
        <v>12.490285737142855</v>
      </c>
      <c r="R25" s="702">
        <v>6.4215714250000007</v>
      </c>
      <c r="S25" s="702">
        <v>81.718714031428576</v>
      </c>
      <c r="T25" s="702">
        <v>42.928571428571431</v>
      </c>
      <c r="U25" s="702">
        <v>11.897571562857141</v>
      </c>
      <c r="V25" s="702">
        <v>10.57333578442857</v>
      </c>
      <c r="W25" s="702">
        <v>1.8770000252857142</v>
      </c>
      <c r="X25" s="702">
        <v>48.837857382857138</v>
      </c>
      <c r="Y25" s="702">
        <v>10.894571441428569</v>
      </c>
    </row>
    <row r="26" spans="1:25" ht="11.25" customHeight="1">
      <c r="A26" s="137"/>
      <c r="B26" s="156"/>
      <c r="C26" s="132"/>
      <c r="D26" s="156"/>
      <c r="E26" s="156"/>
      <c r="F26" s="138"/>
      <c r="G26" s="138"/>
      <c r="H26" s="138"/>
      <c r="I26" s="138"/>
      <c r="J26" s="23"/>
      <c r="K26" s="26"/>
      <c r="L26" s="22"/>
      <c r="P26" s="615">
        <v>23</v>
      </c>
      <c r="Q26" s="702">
        <v>12.278000014285713</v>
      </c>
      <c r="R26" s="702">
        <v>5.5577142921428564</v>
      </c>
      <c r="S26" s="702">
        <v>83.760285512857152</v>
      </c>
      <c r="T26" s="702">
        <v>67.797571451428567</v>
      </c>
      <c r="U26" s="702">
        <v>15.801714215714284</v>
      </c>
      <c r="V26" s="702">
        <v>11.341294289999999</v>
      </c>
      <c r="W26" s="702">
        <v>1.7928571701428571</v>
      </c>
      <c r="X26" s="702">
        <v>58.175000328571436</v>
      </c>
      <c r="Y26" s="702">
        <v>13.860571451428571</v>
      </c>
    </row>
    <row r="27" spans="1:25" ht="11.25" customHeight="1">
      <c r="A27" s="137"/>
      <c r="B27" s="156"/>
      <c r="C27" s="132"/>
      <c r="D27" s="156"/>
      <c r="E27" s="156"/>
      <c r="F27" s="138"/>
      <c r="G27" s="138"/>
      <c r="H27" s="138"/>
      <c r="I27" s="138"/>
      <c r="J27" s="23"/>
      <c r="K27" s="26"/>
      <c r="L27" s="22"/>
      <c r="O27" s="278">
        <v>24</v>
      </c>
      <c r="P27" s="615">
        <v>24</v>
      </c>
      <c r="Q27" s="702">
        <v>10.882714271142857</v>
      </c>
      <c r="R27" s="702">
        <v>5.3317142215714286</v>
      </c>
      <c r="S27" s="702">
        <v>82.799001421428557</v>
      </c>
      <c r="T27" s="702">
        <v>63.982142857142854</v>
      </c>
      <c r="U27" s="702">
        <v>15.595999989999999</v>
      </c>
      <c r="V27" s="702">
        <v>11.96411841142857</v>
      </c>
      <c r="W27" s="702">
        <v>2.0252857377142854</v>
      </c>
      <c r="X27" s="702">
        <v>61.988572801428582</v>
      </c>
      <c r="Y27" s="702">
        <v>13.392856871428572</v>
      </c>
    </row>
    <row r="28" spans="1:25" ht="11.25" customHeight="1">
      <c r="A28" s="136"/>
      <c r="B28" s="138"/>
      <c r="C28" s="138"/>
      <c r="D28" s="138"/>
      <c r="E28" s="138"/>
      <c r="F28" s="138"/>
      <c r="G28" s="138"/>
      <c r="H28" s="138"/>
      <c r="I28" s="138"/>
      <c r="J28" s="25"/>
      <c r="K28" s="26"/>
      <c r="L28" s="22"/>
      <c r="P28" s="615">
        <v>25</v>
      </c>
      <c r="Q28" s="702">
        <v>10.290999957142857</v>
      </c>
      <c r="R28" s="702">
        <v>3.7498572211428569</v>
      </c>
      <c r="S28" s="702">
        <v>74.093855721428568</v>
      </c>
      <c r="T28" s="702">
        <v>53.035571505714287</v>
      </c>
      <c r="U28" s="702">
        <v>14.135857038571428</v>
      </c>
      <c r="V28" s="702">
        <v>11.79</v>
      </c>
      <c r="W28" s="702">
        <v>2.0514285564285717</v>
      </c>
      <c r="X28" s="702">
        <v>51.970714024285719</v>
      </c>
      <c r="Y28" s="702">
        <v>10.749428476857142</v>
      </c>
    </row>
    <row r="29" spans="1:25" ht="11.25" customHeight="1">
      <c r="A29" s="136"/>
      <c r="B29" s="138"/>
      <c r="C29" s="138"/>
      <c r="D29" s="138"/>
      <c r="E29" s="138"/>
      <c r="F29" s="138"/>
      <c r="G29" s="138"/>
      <c r="H29" s="138"/>
      <c r="I29" s="138"/>
      <c r="J29" s="25"/>
      <c r="K29" s="26"/>
      <c r="L29" s="22"/>
      <c r="P29" s="615">
        <v>26</v>
      </c>
      <c r="Q29" s="702">
        <v>9.5591429302857147</v>
      </c>
      <c r="R29" s="702">
        <v>3.5651427677142853</v>
      </c>
      <c r="S29" s="702">
        <v>66.795142037142867</v>
      </c>
      <c r="T29" s="702">
        <v>40.369000025714286</v>
      </c>
      <c r="U29" s="702">
        <v>10.912428581428573</v>
      </c>
      <c r="V29" s="702">
        <v>10.93</v>
      </c>
      <c r="W29" s="702">
        <v>2.1038571597142854</v>
      </c>
      <c r="X29" s="702">
        <v>44.390714371428579</v>
      </c>
      <c r="Y29" s="702">
        <v>9.1145714351428584</v>
      </c>
    </row>
    <row r="30" spans="1:25" ht="11.25" customHeight="1">
      <c r="A30" s="136"/>
      <c r="B30" s="138"/>
      <c r="C30" s="138"/>
      <c r="D30" s="138"/>
      <c r="E30" s="138"/>
      <c r="F30" s="138"/>
      <c r="G30" s="138"/>
      <c r="H30" s="138"/>
      <c r="I30" s="138"/>
      <c r="J30" s="25"/>
      <c r="K30" s="26"/>
      <c r="L30" s="22"/>
      <c r="P30" s="615">
        <v>27</v>
      </c>
      <c r="Q30" s="702">
        <v>9.3137141635714293</v>
      </c>
      <c r="R30" s="702">
        <v>4.7600000245714282</v>
      </c>
      <c r="S30" s="702">
        <v>67.368571689999996</v>
      </c>
      <c r="T30" s="702">
        <v>33.409999999999997</v>
      </c>
      <c r="U30" s="702">
        <v>9.4035714009999989</v>
      </c>
      <c r="V30" s="702">
        <v>12.51</v>
      </c>
      <c r="W30" s="702">
        <v>2.0499999999999998</v>
      </c>
      <c r="X30" s="702">
        <v>39.173571994285716</v>
      </c>
      <c r="Y30" s="702">
        <v>7.6487142698571438</v>
      </c>
    </row>
    <row r="31" spans="1:25" ht="11.25" customHeight="1">
      <c r="A31" s="136"/>
      <c r="B31" s="138"/>
      <c r="C31" s="138"/>
      <c r="D31" s="138"/>
      <c r="E31" s="138"/>
      <c r="F31" s="138"/>
      <c r="G31" s="138"/>
      <c r="H31" s="138"/>
      <c r="I31" s="138"/>
      <c r="J31" s="25"/>
      <c r="K31" s="26"/>
      <c r="L31" s="22"/>
      <c r="P31" s="615">
        <v>28</v>
      </c>
      <c r="Q31" s="702">
        <v>8.7544284548571447</v>
      </c>
      <c r="R31" s="702">
        <v>2.5707143034285713</v>
      </c>
      <c r="S31" s="702">
        <v>65.073571887142847</v>
      </c>
      <c r="T31" s="702">
        <v>33.160714285714285</v>
      </c>
      <c r="U31" s="702">
        <v>9.4155716217142871</v>
      </c>
      <c r="V31" s="702">
        <v>12.3</v>
      </c>
      <c r="W31" s="702">
        <v>2.2505714212857142</v>
      </c>
      <c r="X31" s="702">
        <v>36.999285560000011</v>
      </c>
      <c r="Y31" s="702">
        <v>7.0544285774285713</v>
      </c>
    </row>
    <row r="32" spans="1:25" ht="11.25" customHeight="1">
      <c r="A32" s="136"/>
      <c r="B32" s="138"/>
      <c r="C32" s="138"/>
      <c r="D32" s="138"/>
      <c r="E32" s="138"/>
      <c r="F32" s="138"/>
      <c r="G32" s="138"/>
      <c r="H32" s="138"/>
      <c r="I32" s="138"/>
      <c r="J32" s="26"/>
      <c r="K32" s="26"/>
      <c r="L32" s="22"/>
      <c r="P32" s="615">
        <v>29</v>
      </c>
      <c r="Q32" s="702">
        <v>8.6149000000000004</v>
      </c>
      <c r="R32" s="702">
        <v>3.7006000000000001</v>
      </c>
      <c r="S32" s="702">
        <v>62.515714285714289</v>
      </c>
      <c r="T32" s="702">
        <v>35.738</v>
      </c>
      <c r="U32" s="702">
        <v>9.5503999999999998</v>
      </c>
      <c r="V32" s="702">
        <v>12.245714285714286</v>
      </c>
      <c r="W32" s="702">
        <v>1.9771428571428571</v>
      </c>
      <c r="X32" s="702">
        <v>38.677142857142861</v>
      </c>
      <c r="Y32" s="702">
        <v>6.3400000000000007</v>
      </c>
    </row>
    <row r="33" spans="1:25" ht="11.25" customHeight="1">
      <c r="A33" s="136"/>
      <c r="B33" s="138"/>
      <c r="C33" s="138"/>
      <c r="D33" s="138"/>
      <c r="E33" s="138"/>
      <c r="F33" s="138"/>
      <c r="G33" s="138"/>
      <c r="H33" s="138"/>
      <c r="I33" s="138"/>
      <c r="J33" s="25"/>
      <c r="K33" s="26"/>
      <c r="L33" s="22"/>
      <c r="P33" s="615">
        <v>30</v>
      </c>
      <c r="Q33" s="702">
        <v>8.1221428598571439</v>
      </c>
      <c r="R33" s="702">
        <v>4.9111429789999992</v>
      </c>
      <c r="S33" s="702">
        <v>57.148857115714286</v>
      </c>
      <c r="T33" s="702">
        <v>85.065429679999994</v>
      </c>
      <c r="U33" s="702">
        <v>15.534142631428571</v>
      </c>
      <c r="V33" s="702">
        <v>10.995952741142858</v>
      </c>
      <c r="W33" s="702">
        <v>2.2859999964285715</v>
      </c>
      <c r="X33" s="702">
        <v>56.166428702857139</v>
      </c>
      <c r="Y33" s="702">
        <v>9.4385714285714304</v>
      </c>
    </row>
    <row r="34" spans="1:25" ht="11.25" customHeight="1">
      <c r="A34" s="136"/>
      <c r="B34" s="138"/>
      <c r="C34" s="138"/>
      <c r="D34" s="138"/>
      <c r="E34" s="138"/>
      <c r="F34" s="138"/>
      <c r="G34" s="138"/>
      <c r="H34" s="138"/>
      <c r="I34" s="138"/>
      <c r="J34" s="25"/>
      <c r="K34" s="34"/>
      <c r="L34" s="22"/>
      <c r="P34" s="615">
        <v>31</v>
      </c>
      <c r="Q34" s="702">
        <v>7.5620000000000003</v>
      </c>
      <c r="R34" s="702">
        <v>3.28</v>
      </c>
      <c r="S34" s="702">
        <v>58.768000000000001</v>
      </c>
      <c r="T34" s="702">
        <v>40.375</v>
      </c>
      <c r="U34" s="702">
        <v>8.5579999999999998</v>
      </c>
      <c r="V34" s="702">
        <v>13.18</v>
      </c>
      <c r="W34" s="702">
        <v>2</v>
      </c>
      <c r="X34" s="702">
        <v>50.215000000000003</v>
      </c>
      <c r="Y34" s="702">
        <v>8.5770238095238049</v>
      </c>
    </row>
    <row r="35" spans="1:25" ht="11.25" customHeight="1">
      <c r="A35" s="136"/>
      <c r="B35" s="138"/>
      <c r="C35" s="138"/>
      <c r="D35" s="138"/>
      <c r="E35" s="138"/>
      <c r="F35" s="138"/>
      <c r="G35" s="138"/>
      <c r="H35" s="138"/>
      <c r="I35" s="138"/>
      <c r="J35" s="25"/>
      <c r="K35" s="34"/>
      <c r="L35" s="38"/>
      <c r="O35" s="278">
        <v>32</v>
      </c>
      <c r="P35" s="615">
        <v>32</v>
      </c>
      <c r="Q35" s="702">
        <v>8.4994284765714276</v>
      </c>
      <c r="R35" s="702">
        <v>4.8781427315714287</v>
      </c>
      <c r="S35" s="702">
        <v>54.703428540000004</v>
      </c>
      <c r="T35" s="702">
        <v>52.946428571428569</v>
      </c>
      <c r="U35" s="702">
        <v>10.739857128857144</v>
      </c>
      <c r="V35" s="702">
        <v>10.850328444285712</v>
      </c>
      <c r="W35" s="702">
        <v>2.0667142697142857</v>
      </c>
      <c r="X35" s="702">
        <v>50.460713522857141</v>
      </c>
      <c r="Y35" s="702">
        <v>9.7962856299999999</v>
      </c>
    </row>
    <row r="36" spans="1:25" ht="11.25" customHeight="1">
      <c r="A36" s="136"/>
      <c r="B36" s="138"/>
      <c r="C36" s="138"/>
      <c r="D36" s="138"/>
      <c r="E36" s="138"/>
      <c r="F36" s="138"/>
      <c r="G36" s="138"/>
      <c r="H36" s="138"/>
      <c r="I36" s="138"/>
      <c r="J36" s="25"/>
      <c r="K36" s="29"/>
      <c r="L36" s="22"/>
      <c r="P36" s="615">
        <v>33</v>
      </c>
      <c r="Q36" s="702">
        <v>7.8117142411428571</v>
      </c>
      <c r="R36" s="702">
        <v>4.5999999999999996</v>
      </c>
      <c r="S36" s="702">
        <v>59.066285269999995</v>
      </c>
      <c r="T36" s="702">
        <v>47.13</v>
      </c>
      <c r="U36" s="702">
        <v>9.23</v>
      </c>
      <c r="V36" s="702">
        <v>10.84</v>
      </c>
      <c r="W36" s="702">
        <v>2.0499999999999998</v>
      </c>
      <c r="X36" s="702">
        <v>44.64</v>
      </c>
      <c r="Y36" s="702">
        <v>8.7822855541428577</v>
      </c>
    </row>
    <row r="37" spans="1:25" ht="11.25" customHeight="1">
      <c r="A37" s="136"/>
      <c r="B37" s="138"/>
      <c r="C37" s="138"/>
      <c r="D37" s="138"/>
      <c r="E37" s="138"/>
      <c r="F37" s="138"/>
      <c r="G37" s="138"/>
      <c r="H37" s="138"/>
      <c r="I37" s="138"/>
      <c r="J37" s="25"/>
      <c r="K37" s="29"/>
      <c r="L37" s="22"/>
      <c r="P37" s="615">
        <v>34</v>
      </c>
      <c r="Q37" s="702">
        <v>6.44</v>
      </c>
      <c r="R37" s="702">
        <v>5.1568571165714285</v>
      </c>
      <c r="S37" s="702">
        <v>82.033571515714272</v>
      </c>
      <c r="T37" s="702">
        <v>63.892999920000001</v>
      </c>
      <c r="U37" s="702">
        <v>10.917285918714287</v>
      </c>
      <c r="V37" s="702">
        <v>10.534582955714285</v>
      </c>
      <c r="W37" s="702">
        <v>1.8788571358571429</v>
      </c>
      <c r="X37" s="702">
        <v>35.627857751428571</v>
      </c>
      <c r="Y37" s="702">
        <v>11.383714402571428</v>
      </c>
    </row>
    <row r="38" spans="1:25" ht="11.25" customHeight="1">
      <c r="A38" s="136"/>
      <c r="B38" s="138"/>
      <c r="C38" s="138"/>
      <c r="D38" s="138"/>
      <c r="E38" s="138"/>
      <c r="F38" s="138"/>
      <c r="G38" s="138"/>
      <c r="H38" s="138"/>
      <c r="I38" s="138"/>
      <c r="J38" s="25"/>
      <c r="K38" s="29"/>
      <c r="L38" s="22"/>
      <c r="P38" s="615">
        <v>35</v>
      </c>
      <c r="Q38" s="702">
        <v>7.5428571428571427</v>
      </c>
      <c r="R38" s="702">
        <v>2.15</v>
      </c>
      <c r="S38" s="702">
        <v>71.48</v>
      </c>
      <c r="T38" s="702">
        <v>45.64</v>
      </c>
      <c r="U38" s="702">
        <v>9.4700000000000006</v>
      </c>
      <c r="V38" s="702">
        <v>10.92</v>
      </c>
      <c r="W38" s="702">
        <v>1.88</v>
      </c>
      <c r="X38" s="702">
        <v>32.979999999999997</v>
      </c>
      <c r="Y38" s="702">
        <v>7.88</v>
      </c>
    </row>
    <row r="39" spans="1:25" ht="11.25" customHeight="1">
      <c r="P39" s="615">
        <v>36</v>
      </c>
      <c r="Q39" s="702">
        <v>7.1671427998571433</v>
      </c>
      <c r="R39" s="702">
        <v>4.8342857142857136</v>
      </c>
      <c r="S39" s="702">
        <v>63.092857142857149</v>
      </c>
      <c r="T39" s="702">
        <v>34.571428571428569</v>
      </c>
      <c r="U39" s="702">
        <v>7.5942857142857134</v>
      </c>
      <c r="V39" s="702">
        <v>11.091428571428571</v>
      </c>
      <c r="W39" s="702">
        <v>1.8442857142857143</v>
      </c>
      <c r="X39" s="702">
        <v>31.20428571428571</v>
      </c>
      <c r="Y39" s="702">
        <v>8.0857142857142854</v>
      </c>
    </row>
    <row r="40" spans="1:25" ht="11.25" customHeight="1">
      <c r="A40" s="899" t="s">
        <v>497</v>
      </c>
      <c r="B40" s="899"/>
      <c r="C40" s="899"/>
      <c r="D40" s="899"/>
      <c r="E40" s="899"/>
      <c r="F40" s="899"/>
      <c r="G40" s="899"/>
      <c r="H40" s="899"/>
      <c r="I40" s="899"/>
      <c r="J40" s="899"/>
      <c r="K40" s="899"/>
      <c r="L40" s="899"/>
      <c r="P40" s="615">
        <v>37</v>
      </c>
      <c r="Q40" s="702">
        <v>7.1637143408571422</v>
      </c>
      <c r="R40" s="702">
        <v>3.1535714688571423</v>
      </c>
      <c r="S40" s="702">
        <v>61.141713821428574</v>
      </c>
      <c r="T40" s="702">
        <v>28.744000025714286</v>
      </c>
      <c r="U40" s="702">
        <v>6.5637142318571433</v>
      </c>
      <c r="V40" s="702">
        <v>10.825238499999999</v>
      </c>
      <c r="W40" s="702">
        <v>1.8114285809999999</v>
      </c>
      <c r="X40" s="702">
        <v>29.614285605714283</v>
      </c>
      <c r="Y40" s="702">
        <v>8.6452856064285708</v>
      </c>
    </row>
    <row r="41" spans="1:25" ht="11.25" customHeight="1">
      <c r="P41" s="615">
        <v>38</v>
      </c>
      <c r="Q41" s="702">
        <v>8.31</v>
      </c>
      <c r="R41" s="702">
        <v>3.3441428289999995</v>
      </c>
      <c r="S41" s="702">
        <v>49.664428712857145</v>
      </c>
      <c r="T41" s="702">
        <v>35.571571351428574</v>
      </c>
      <c r="U41" s="702">
        <v>7.2939999444285712</v>
      </c>
      <c r="V41" s="702">
        <v>11.159824370000001</v>
      </c>
      <c r="W41" s="702">
        <v>1.8427142925714282</v>
      </c>
      <c r="X41" s="702">
        <v>30.912857054285716</v>
      </c>
      <c r="Y41" s="702">
        <v>8.6452856064285708</v>
      </c>
    </row>
    <row r="42" spans="1:25" ht="11.25" customHeight="1">
      <c r="A42" s="136"/>
      <c r="B42" s="138"/>
      <c r="C42" s="138"/>
      <c r="D42" s="138"/>
      <c r="E42" s="138"/>
      <c r="F42" s="138"/>
      <c r="G42" s="138"/>
      <c r="H42" s="138"/>
      <c r="I42" s="138"/>
      <c r="P42" s="615">
        <v>39</v>
      </c>
      <c r="Q42" s="702">
        <v>7.621428489714285</v>
      </c>
      <c r="R42" s="702">
        <v>4.6500000000000004</v>
      </c>
      <c r="S42" s="702">
        <v>42.24</v>
      </c>
      <c r="T42" s="702">
        <v>39.39</v>
      </c>
      <c r="U42" s="702">
        <v>7.68</v>
      </c>
      <c r="V42" s="702">
        <v>11.33</v>
      </c>
      <c r="W42" s="702">
        <v>1.64</v>
      </c>
      <c r="X42" s="702">
        <v>37.200000000000003</v>
      </c>
      <c r="Y42" s="702">
        <v>7.4194285528571422</v>
      </c>
    </row>
    <row r="43" spans="1:25" ht="11.25" customHeight="1">
      <c r="A43" s="136"/>
      <c r="B43" s="138"/>
      <c r="C43" s="138"/>
      <c r="D43" s="138"/>
      <c r="E43" s="138"/>
      <c r="F43" s="138"/>
      <c r="G43" s="138"/>
      <c r="H43" s="138"/>
      <c r="I43" s="138"/>
      <c r="O43" s="278">
        <v>40</v>
      </c>
      <c r="P43" s="615">
        <v>40</v>
      </c>
      <c r="Q43" s="702">
        <v>7.621428489714285</v>
      </c>
      <c r="R43" s="702">
        <v>5.128571373571428</v>
      </c>
      <c r="S43" s="702">
        <v>38.906285422857138</v>
      </c>
      <c r="T43" s="702">
        <v>41.34000069857143</v>
      </c>
      <c r="U43" s="702">
        <v>9.112857137571428</v>
      </c>
      <c r="V43" s="702">
        <v>11.565001485714285</v>
      </c>
      <c r="W43" s="702">
        <v>1.8221428395714285</v>
      </c>
      <c r="X43" s="702">
        <v>42.197143011428572</v>
      </c>
      <c r="Y43" s="702">
        <v>9.6005713597142837</v>
      </c>
    </row>
    <row r="44" spans="1:25" ht="11.25" customHeight="1">
      <c r="A44" s="136"/>
      <c r="B44" s="138"/>
      <c r="C44" s="138"/>
      <c r="D44" s="138"/>
      <c r="E44" s="138"/>
      <c r="F44" s="138"/>
      <c r="G44" s="138"/>
      <c r="H44" s="138"/>
      <c r="I44" s="138"/>
      <c r="P44" s="615">
        <v>41</v>
      </c>
      <c r="Q44" s="702">
        <v>7.2698572022574259</v>
      </c>
      <c r="R44" s="702">
        <v>4.8594285079410948</v>
      </c>
      <c r="S44" s="702">
        <v>42.923713956560341</v>
      </c>
      <c r="T44" s="702">
        <v>56.607142857142847</v>
      </c>
      <c r="U44" s="702">
        <v>11.170142854962995</v>
      </c>
      <c r="V44" s="702">
        <v>12.740178653172041</v>
      </c>
      <c r="W44" s="702">
        <v>1.7041428429739784</v>
      </c>
      <c r="X44" s="702">
        <v>49.475714547293492</v>
      </c>
      <c r="Y44" s="702">
        <v>10.943285942077617</v>
      </c>
    </row>
    <row r="45" spans="1:25" ht="11.25" customHeight="1">
      <c r="A45" s="136"/>
      <c r="B45" s="138"/>
      <c r="C45" s="138"/>
      <c r="D45" s="138"/>
      <c r="E45" s="138"/>
      <c r="F45" s="138"/>
      <c r="G45" s="138"/>
      <c r="H45" s="138"/>
      <c r="I45" s="138"/>
      <c r="P45" s="615">
        <v>42</v>
      </c>
      <c r="Q45" s="702">
        <v>6.2732856614249064</v>
      </c>
      <c r="R45" s="702">
        <v>4.00314286776951</v>
      </c>
      <c r="S45" s="702">
        <v>73.976001194545148</v>
      </c>
      <c r="T45" s="702">
        <v>89.232285635811792</v>
      </c>
      <c r="U45" s="702">
        <v>19.282285690307582</v>
      </c>
      <c r="V45" s="702">
        <v>11.792381422860229</v>
      </c>
      <c r="W45" s="702">
        <v>1.5524285691124997</v>
      </c>
      <c r="X45" s="702">
        <v>72.350713457379968</v>
      </c>
      <c r="Y45" s="702">
        <v>17.972571236746628</v>
      </c>
    </row>
    <row r="46" spans="1:25" ht="11.25" customHeight="1">
      <c r="A46" s="136"/>
      <c r="B46" s="138"/>
      <c r="C46" s="138"/>
      <c r="D46" s="138"/>
      <c r="E46" s="138"/>
      <c r="F46" s="138"/>
      <c r="G46" s="138"/>
      <c r="H46" s="138"/>
      <c r="I46" s="138"/>
      <c r="P46" s="615">
        <v>43</v>
      </c>
      <c r="Q46" s="702">
        <v>8.3208571161542526</v>
      </c>
      <c r="R46" s="702">
        <v>6.0481427737644662</v>
      </c>
      <c r="S46" s="702">
        <v>97.234427315848038</v>
      </c>
      <c r="T46" s="702">
        <v>125.70828465052978</v>
      </c>
      <c r="U46" s="702">
        <v>26.382142475673081</v>
      </c>
      <c r="V46" s="702">
        <v>12.0416071755545</v>
      </c>
      <c r="W46" s="702">
        <v>1.585428544453207</v>
      </c>
      <c r="X46" s="702">
        <v>82.484284537179079</v>
      </c>
      <c r="Y46" s="702">
        <v>19.552571432931028</v>
      </c>
    </row>
    <row r="47" spans="1:25" ht="11.25" customHeight="1">
      <c r="A47" s="136"/>
      <c r="B47" s="138"/>
      <c r="C47" s="138"/>
      <c r="D47" s="138"/>
      <c r="E47" s="138"/>
      <c r="F47" s="138"/>
      <c r="G47" s="138"/>
      <c r="H47" s="138"/>
      <c r="I47" s="138"/>
      <c r="P47" s="615">
        <v>44</v>
      </c>
      <c r="Q47" s="702">
        <v>9.2941429947142868</v>
      </c>
      <c r="R47" s="702">
        <v>7.6531428608571428</v>
      </c>
      <c r="S47" s="702">
        <v>120.62971387142855</v>
      </c>
      <c r="T47" s="702">
        <v>157.60714285714286</v>
      </c>
      <c r="U47" s="702">
        <v>33.364427840000005</v>
      </c>
      <c r="V47" s="702">
        <v>12.188929967142856</v>
      </c>
      <c r="W47" s="702">
        <v>1.6864285471428571</v>
      </c>
      <c r="X47" s="702">
        <v>110.40928649571428</v>
      </c>
      <c r="Y47" s="702">
        <v>33.081571032857141</v>
      </c>
    </row>
    <row r="48" spans="1:25">
      <c r="A48" s="136"/>
      <c r="B48" s="138"/>
      <c r="C48" s="138"/>
      <c r="D48" s="138"/>
      <c r="E48" s="138"/>
      <c r="F48" s="138"/>
      <c r="G48" s="138"/>
      <c r="H48" s="138"/>
      <c r="I48" s="138"/>
      <c r="P48" s="615">
        <v>45</v>
      </c>
      <c r="Q48" s="702">
        <v>8.6642857274285721</v>
      </c>
      <c r="R48" s="702">
        <v>4.2061428341428568</v>
      </c>
      <c r="S48" s="702">
        <v>125.43157086857143</v>
      </c>
      <c r="T48" s="702">
        <v>105.63685608857143</v>
      </c>
      <c r="U48" s="702">
        <v>18.735571588571428</v>
      </c>
      <c r="V48" s="702">
        <v>13</v>
      </c>
      <c r="W48" s="702">
        <v>1.7397142818571427</v>
      </c>
      <c r="X48" s="702">
        <v>114.14357212285714</v>
      </c>
      <c r="Y48" s="702">
        <v>39.80185754</v>
      </c>
    </row>
    <row r="49" spans="1:25">
      <c r="A49" s="136"/>
      <c r="B49" s="138"/>
      <c r="C49" s="138"/>
      <c r="D49" s="138"/>
      <c r="E49" s="138"/>
      <c r="F49" s="138"/>
      <c r="G49" s="138"/>
      <c r="H49" s="138"/>
      <c r="I49" s="138"/>
      <c r="P49" s="615">
        <v>46</v>
      </c>
      <c r="Q49" s="702">
        <v>8.5371428571428574</v>
      </c>
      <c r="R49" s="702">
        <v>5.9</v>
      </c>
      <c r="S49" s="702">
        <v>78.757142857142853</v>
      </c>
      <c r="T49" s="702">
        <v>79.304285714285712</v>
      </c>
      <c r="U49" s="702">
        <v>13.16</v>
      </c>
      <c r="V49" s="702">
        <v>13.001428571428571</v>
      </c>
      <c r="W49" s="702">
        <v>1.5</v>
      </c>
      <c r="X49" s="702">
        <v>93.457142857142841</v>
      </c>
      <c r="Y49" s="702">
        <v>37.212857142857146</v>
      </c>
    </row>
    <row r="50" spans="1:25">
      <c r="A50" s="136"/>
      <c r="B50" s="138"/>
      <c r="C50" s="138"/>
      <c r="D50" s="138"/>
      <c r="E50" s="138"/>
      <c r="F50" s="138"/>
      <c r="G50" s="138"/>
      <c r="H50" s="138"/>
      <c r="I50" s="138"/>
      <c r="P50" s="615">
        <v>47</v>
      </c>
      <c r="Q50" s="702">
        <v>9.0094285692857135</v>
      </c>
      <c r="R50" s="702">
        <v>7.1015714912857133</v>
      </c>
      <c r="S50" s="702">
        <v>88.111712864285735</v>
      </c>
      <c r="T50" s="702">
        <v>74.684428622857141</v>
      </c>
      <c r="U50" s="702">
        <v>13.483142988571428</v>
      </c>
      <c r="V50" s="702">
        <v>12.142405645714286</v>
      </c>
      <c r="W50" s="702">
        <v>1.5</v>
      </c>
      <c r="X50" s="702">
        <v>104.10500007571429</v>
      </c>
      <c r="Y50" s="702">
        <v>35.055428368571434</v>
      </c>
    </row>
    <row r="51" spans="1:25">
      <c r="A51" s="136"/>
      <c r="B51" s="138"/>
      <c r="C51" s="138"/>
      <c r="D51" s="138"/>
      <c r="E51" s="138"/>
      <c r="F51" s="138"/>
      <c r="G51" s="138"/>
      <c r="H51" s="138"/>
      <c r="I51" s="138"/>
      <c r="O51" s="278">
        <v>48</v>
      </c>
      <c r="P51" s="615">
        <v>48</v>
      </c>
      <c r="Q51" s="702">
        <v>8.5042856081428582</v>
      </c>
      <c r="R51" s="702">
        <v>4.3617142950000005</v>
      </c>
      <c r="S51" s="702">
        <v>80.151286534285717</v>
      </c>
      <c r="T51" s="702">
        <v>95.303570342857142</v>
      </c>
      <c r="U51" s="702">
        <v>12.543571337142859</v>
      </c>
      <c r="V51" s="702">
        <v>11.975262778571429</v>
      </c>
      <c r="W51" s="702">
        <v>1.5</v>
      </c>
      <c r="X51" s="702">
        <v>91.569999695714287</v>
      </c>
      <c r="Y51" s="702">
        <v>28.370000294285713</v>
      </c>
    </row>
    <row r="52" spans="1:25">
      <c r="A52" s="136"/>
      <c r="B52" s="138"/>
      <c r="C52" s="138"/>
      <c r="D52" s="138"/>
      <c r="E52" s="138"/>
      <c r="F52" s="138"/>
      <c r="G52" s="138"/>
      <c r="H52" s="138"/>
      <c r="I52" s="138"/>
      <c r="P52" s="615">
        <v>49</v>
      </c>
      <c r="Q52" s="702">
        <v>8.27</v>
      </c>
      <c r="R52" s="702">
        <v>6.9099999999999993</v>
      </c>
      <c r="S52" s="702">
        <v>66.555714285714288</v>
      </c>
      <c r="T52" s="702">
        <v>54.31</v>
      </c>
      <c r="U52" s="702">
        <v>8.99</v>
      </c>
      <c r="V52" s="702">
        <v>12.26</v>
      </c>
      <c r="W52" s="702">
        <v>1.5</v>
      </c>
      <c r="X52" s="702">
        <v>62.974285714285706</v>
      </c>
      <c r="Y52" s="702">
        <v>22.919999999999998</v>
      </c>
    </row>
    <row r="53" spans="1:25">
      <c r="A53" s="136"/>
      <c r="B53" s="138"/>
      <c r="C53" s="138"/>
      <c r="D53" s="138"/>
      <c r="E53" s="138"/>
      <c r="F53" s="138"/>
      <c r="G53" s="138"/>
      <c r="H53" s="138"/>
      <c r="I53" s="138"/>
      <c r="P53" s="615">
        <v>50</v>
      </c>
      <c r="Q53" s="702">
        <v>8.1765714374285707</v>
      </c>
      <c r="R53" s="702">
        <v>6.5639999597142857</v>
      </c>
      <c r="S53" s="702">
        <v>61.602715082857152</v>
      </c>
      <c r="T53" s="702">
        <v>52.47614288285714</v>
      </c>
      <c r="U53" s="702">
        <v>10.909571511285714</v>
      </c>
      <c r="V53" s="702">
        <v>13.001428604285715</v>
      </c>
      <c r="W53" s="702">
        <v>1.457142846857143</v>
      </c>
      <c r="X53" s="702">
        <v>52.244286674285718</v>
      </c>
      <c r="Y53" s="702">
        <v>17.695714271428571</v>
      </c>
    </row>
    <row r="54" spans="1:25">
      <c r="A54" s="136"/>
      <c r="B54" s="138"/>
      <c r="C54" s="138"/>
      <c r="D54" s="138"/>
      <c r="E54" s="138"/>
      <c r="F54" s="138"/>
      <c r="G54" s="138"/>
      <c r="H54" s="138"/>
      <c r="I54" s="138"/>
      <c r="P54" s="615">
        <v>51</v>
      </c>
      <c r="Q54" s="702">
        <v>10.342857142857142</v>
      </c>
      <c r="R54" s="702">
        <v>7.3285714285714283</v>
      </c>
      <c r="S54" s="702">
        <v>53.9</v>
      </c>
      <c r="T54" s="702">
        <v>126.14285714285714</v>
      </c>
      <c r="U54" s="702">
        <v>16.8</v>
      </c>
      <c r="V54" s="702">
        <v>12.257142857142856</v>
      </c>
      <c r="W54" s="702">
        <v>1.3857142857142859</v>
      </c>
      <c r="X54" s="702">
        <v>86.528571428571439</v>
      </c>
      <c r="Y54" s="702">
        <v>33.51428571428572</v>
      </c>
    </row>
    <row r="55" spans="1:25">
      <c r="A55" s="136"/>
      <c r="B55" s="138"/>
      <c r="C55" s="138"/>
      <c r="D55" s="138"/>
      <c r="E55" s="138"/>
      <c r="F55" s="138"/>
      <c r="G55" s="138"/>
      <c r="H55" s="138"/>
      <c r="I55" s="138"/>
      <c r="O55" s="278">
        <v>52</v>
      </c>
      <c r="P55" s="615">
        <v>52</v>
      </c>
      <c r="Q55" s="702">
        <v>10.661999840142856</v>
      </c>
      <c r="R55" s="702">
        <v>7.4820000789999996</v>
      </c>
      <c r="S55" s="702">
        <v>57.504999978571433</v>
      </c>
      <c r="T55" s="702">
        <v>100.38085719714286</v>
      </c>
      <c r="U55" s="702">
        <v>16.435142652857145</v>
      </c>
      <c r="V55" s="702">
        <v>12.222315514285714</v>
      </c>
      <c r="W55" s="702">
        <v>1.2999999520000001</v>
      </c>
      <c r="X55" s="702">
        <v>103.53357153142858</v>
      </c>
      <c r="Y55" s="702">
        <v>52.753143308571431</v>
      </c>
    </row>
    <row r="56" spans="1:25">
      <c r="A56" s="136"/>
      <c r="B56" s="138"/>
      <c r="C56" s="138"/>
      <c r="D56" s="138"/>
      <c r="E56" s="138"/>
      <c r="F56" s="138"/>
      <c r="G56" s="138"/>
      <c r="H56" s="138"/>
      <c r="I56" s="138"/>
      <c r="N56" s="278">
        <v>2019</v>
      </c>
      <c r="O56" s="278">
        <v>1</v>
      </c>
      <c r="P56" s="615">
        <v>1</v>
      </c>
      <c r="Q56" s="702">
        <v>8.992857251428573</v>
      </c>
      <c r="R56" s="702">
        <v>4.4642857141428571</v>
      </c>
      <c r="S56" s="702">
        <v>57.514999934285704</v>
      </c>
      <c r="T56" s="702">
        <v>79.871427261428579</v>
      </c>
      <c r="U56" s="702">
        <v>13.115714484285716</v>
      </c>
      <c r="V56" s="702">
        <v>11.571904317142856</v>
      </c>
      <c r="W56" s="702">
        <v>1.2999999520000001</v>
      </c>
      <c r="X56" s="702">
        <v>121.75642612857142</v>
      </c>
      <c r="Y56" s="702">
        <v>64.398429325714275</v>
      </c>
    </row>
    <row r="57" spans="1:25">
      <c r="A57" s="136"/>
      <c r="B57" s="138"/>
      <c r="C57" s="138"/>
      <c r="D57" s="138"/>
      <c r="E57" s="138"/>
      <c r="F57" s="138"/>
      <c r="G57" s="138"/>
      <c r="H57" s="138"/>
      <c r="I57" s="138"/>
      <c r="P57" s="615">
        <v>2</v>
      </c>
      <c r="Q57" s="702">
        <v>7.4904285157142843</v>
      </c>
      <c r="R57" s="702">
        <v>3.3685714177142856</v>
      </c>
      <c r="S57" s="702">
        <v>63.363856724285711</v>
      </c>
      <c r="T57" s="702">
        <v>84.184571402857145</v>
      </c>
      <c r="U57" s="702">
        <v>16.11014284285714</v>
      </c>
      <c r="V57" s="702">
        <v>11.570298602857141</v>
      </c>
      <c r="W57" s="702">
        <v>1.2999999520000001</v>
      </c>
      <c r="X57" s="702">
        <v>180.32999965714288</v>
      </c>
      <c r="Y57" s="702">
        <v>70.997858864285703</v>
      </c>
    </row>
    <row r="58" spans="1:25">
      <c r="A58" s="136"/>
      <c r="B58" s="138"/>
      <c r="C58" s="138"/>
      <c r="D58" s="138"/>
      <c r="E58" s="138"/>
      <c r="F58" s="138"/>
      <c r="G58" s="138"/>
      <c r="H58" s="138"/>
      <c r="I58" s="138"/>
      <c r="P58" s="615">
        <v>3</v>
      </c>
      <c r="Q58" s="702">
        <v>14.36</v>
      </c>
      <c r="R58" s="702">
        <v>10.74</v>
      </c>
      <c r="S58" s="702">
        <v>80.75</v>
      </c>
      <c r="T58" s="702">
        <v>149.30000000000001</v>
      </c>
      <c r="U58" s="702">
        <v>29.23</v>
      </c>
      <c r="V58" s="702">
        <v>11.28</v>
      </c>
      <c r="W58" s="702">
        <v>1.33</v>
      </c>
      <c r="X58" s="702">
        <v>167.22</v>
      </c>
      <c r="Y58" s="702">
        <v>68.83</v>
      </c>
    </row>
    <row r="59" spans="1:25">
      <c r="A59" s="136"/>
      <c r="B59" s="138"/>
      <c r="C59" s="138"/>
      <c r="D59" s="138"/>
      <c r="E59" s="138"/>
      <c r="F59" s="138"/>
      <c r="G59" s="138"/>
      <c r="H59" s="138"/>
      <c r="I59" s="138"/>
      <c r="P59" s="615">
        <v>4</v>
      </c>
      <c r="Q59" s="702">
        <v>17.131428719999999</v>
      </c>
      <c r="R59" s="702">
        <v>11.155714580142858</v>
      </c>
      <c r="S59" s="702">
        <v>85.689570837142853</v>
      </c>
      <c r="T59" s="702">
        <v>168.80999974285714</v>
      </c>
      <c r="U59" s="702">
        <v>36.200000218571425</v>
      </c>
      <c r="V59" s="702">
        <v>11.843988554285716</v>
      </c>
      <c r="W59" s="702">
        <v>3.0287143159999999</v>
      </c>
      <c r="X59" s="702">
        <v>185.51500375714286</v>
      </c>
      <c r="Y59" s="702">
        <v>70.089428494285713</v>
      </c>
    </row>
    <row r="60" spans="1:25">
      <c r="A60" s="136"/>
      <c r="B60" s="138"/>
      <c r="C60" s="138"/>
      <c r="D60" s="138"/>
      <c r="E60" s="138"/>
      <c r="F60" s="138"/>
      <c r="G60" s="138"/>
      <c r="H60" s="138"/>
      <c r="I60" s="138"/>
      <c r="P60" s="615">
        <v>5</v>
      </c>
      <c r="Q60" s="702">
        <v>30.592286245714288</v>
      </c>
      <c r="R60" s="702">
        <v>16.463000024285716</v>
      </c>
      <c r="S60" s="702">
        <v>416.48700821428571</v>
      </c>
      <c r="T60" s="702">
        <v>195.24999782857142</v>
      </c>
      <c r="U60" s="702">
        <v>36.703999928571427</v>
      </c>
      <c r="V60" s="702">
        <v>12.496724401428571</v>
      </c>
      <c r="W60" s="702">
        <v>6.6928571292857146</v>
      </c>
      <c r="X60" s="702">
        <v>199.03571430000002</v>
      </c>
      <c r="Y60" s="702">
        <v>74.655428748571438</v>
      </c>
    </row>
    <row r="61" spans="1:25">
      <c r="A61" s="136"/>
      <c r="B61" s="138"/>
      <c r="C61" s="138"/>
      <c r="D61" s="138"/>
      <c r="E61" s="138"/>
      <c r="F61" s="138"/>
      <c r="G61" s="138"/>
      <c r="H61" s="138"/>
      <c r="I61" s="138"/>
      <c r="P61" s="615">
        <v>6</v>
      </c>
      <c r="Q61" s="702">
        <v>20.372857142857146</v>
      </c>
      <c r="R61" s="702">
        <v>17.05857142857143</v>
      </c>
      <c r="S61" s="702">
        <v>426.67142857142863</v>
      </c>
      <c r="T61" s="702">
        <v>265.28000000000003</v>
      </c>
      <c r="U61" s="702">
        <v>51.29</v>
      </c>
      <c r="V61" s="702">
        <v>12.744285714285715</v>
      </c>
      <c r="W61" s="702">
        <v>14.464285714285714</v>
      </c>
      <c r="X61" s="702">
        <v>338.89857142857142</v>
      </c>
      <c r="Y61" s="702">
        <v>117.82857142857142</v>
      </c>
    </row>
    <row r="62" spans="1:25" ht="19.2" customHeight="1">
      <c r="A62" s="136"/>
      <c r="B62" s="138"/>
      <c r="C62" s="138"/>
      <c r="D62" s="138"/>
      <c r="E62" s="138"/>
      <c r="F62" s="138"/>
      <c r="G62" s="138"/>
      <c r="H62" s="138"/>
      <c r="I62" s="138"/>
      <c r="P62" s="615">
        <v>7</v>
      </c>
      <c r="Q62" s="702">
        <v>28.837571554285717</v>
      </c>
      <c r="R62" s="702">
        <v>18.065285818571429</v>
      </c>
      <c r="S62" s="702">
        <v>581.62514822857145</v>
      </c>
      <c r="T62" s="702">
        <v>230.7322888857143</v>
      </c>
      <c r="U62" s="702">
        <v>46.224000658571427</v>
      </c>
      <c r="V62" s="702">
        <v>23.841369902857146</v>
      </c>
      <c r="W62" s="702">
        <v>21.059571402857141</v>
      </c>
      <c r="X62" s="702">
        <v>288.0957205571429</v>
      </c>
      <c r="Y62" s="702">
        <v>118.07871352857144</v>
      </c>
    </row>
    <row r="63" spans="1:25">
      <c r="A63" s="136"/>
      <c r="B63" s="138"/>
      <c r="C63" s="138"/>
      <c r="D63" s="138"/>
      <c r="E63" s="138"/>
      <c r="F63" s="138"/>
      <c r="G63" s="138"/>
      <c r="H63" s="138"/>
      <c r="I63" s="138"/>
      <c r="O63" s="278">
        <v>8</v>
      </c>
      <c r="P63" s="615">
        <v>8</v>
      </c>
      <c r="Q63" s="702">
        <v>20.077857700000003</v>
      </c>
      <c r="R63" s="702">
        <v>14.531571660571432</v>
      </c>
      <c r="S63" s="702">
        <v>439.74099729999995</v>
      </c>
      <c r="T63" s="702">
        <v>219.37485614285717</v>
      </c>
      <c r="U63" s="702">
        <v>42.94585745571429</v>
      </c>
      <c r="V63" s="702">
        <v>23.894881112857146</v>
      </c>
      <c r="W63" s="702">
        <v>6.8928571428571432</v>
      </c>
      <c r="X63" s="702">
        <v>411.75142995714288</v>
      </c>
      <c r="Y63" s="702">
        <v>98.32</v>
      </c>
    </row>
    <row r="64" spans="1:25" ht="6" customHeight="1">
      <c r="A64" s="136"/>
      <c r="B64" s="138"/>
      <c r="C64" s="138"/>
      <c r="D64" s="138"/>
      <c r="E64" s="138"/>
      <c r="F64" s="138"/>
      <c r="G64" s="138"/>
      <c r="H64" s="138"/>
      <c r="I64" s="138"/>
      <c r="P64" s="615">
        <v>9</v>
      </c>
      <c r="Q64" s="702">
        <v>26.317999977142858</v>
      </c>
      <c r="R64" s="702">
        <v>19.520428521428574</v>
      </c>
      <c r="S64" s="702">
        <v>316.26999772857147</v>
      </c>
      <c r="T64" s="702">
        <v>191.17842539999998</v>
      </c>
      <c r="U64" s="702">
        <v>34.696428571428569</v>
      </c>
      <c r="V64" s="702">
        <v>22.406962801428573</v>
      </c>
      <c r="W64" s="702">
        <v>3.3807143142857146</v>
      </c>
      <c r="X64" s="702">
        <v>249.46285358571427</v>
      </c>
      <c r="Y64" s="702">
        <v>120.90099988571428</v>
      </c>
    </row>
    <row r="65" spans="1:25" ht="24.75" customHeight="1">
      <c r="A65" s="872" t="s">
        <v>498</v>
      </c>
      <c r="B65" s="872"/>
      <c r="C65" s="872"/>
      <c r="D65" s="872"/>
      <c r="E65" s="872"/>
      <c r="F65" s="872"/>
      <c r="G65" s="872"/>
      <c r="H65" s="872"/>
      <c r="I65" s="872"/>
      <c r="J65" s="872"/>
      <c r="K65" s="872"/>
      <c r="L65" s="872"/>
      <c r="P65" s="615">
        <v>10</v>
      </c>
      <c r="Q65" s="702">
        <v>27.959571565714288</v>
      </c>
      <c r="R65" s="702">
        <v>20.831714628571426</v>
      </c>
      <c r="S65" s="702">
        <v>326.63642664285715</v>
      </c>
      <c r="T65" s="702">
        <v>184.08928571428572</v>
      </c>
      <c r="U65" s="702">
        <v>38.680999754285715</v>
      </c>
      <c r="V65" s="702">
        <v>23.828572680000001</v>
      </c>
      <c r="W65" s="702">
        <v>2.3840000118571427</v>
      </c>
      <c r="X65" s="702">
        <v>225.10000174285716</v>
      </c>
      <c r="Y65" s="702">
        <v>78.177285328571429</v>
      </c>
    </row>
    <row r="66" spans="1:25" ht="20.25" customHeight="1">
      <c r="P66" s="615">
        <v>11</v>
      </c>
      <c r="Q66" s="702">
        <v>27.959571565714288</v>
      </c>
      <c r="R66" s="702">
        <v>22.247142927987216</v>
      </c>
      <c r="S66" s="702">
        <v>416.08099801199745</v>
      </c>
      <c r="T66" s="702">
        <v>226.88085501534573</v>
      </c>
      <c r="U66" s="702">
        <v>42.633285522460888</v>
      </c>
      <c r="V66" s="702">
        <v>23.809881482805473</v>
      </c>
      <c r="W66" s="702">
        <v>1.9291428668158341</v>
      </c>
      <c r="X66" s="702">
        <v>217.45642525809117</v>
      </c>
      <c r="Y66" s="702">
        <v>44.638999938964801</v>
      </c>
    </row>
    <row r="67" spans="1:25">
      <c r="P67" s="615">
        <v>12</v>
      </c>
      <c r="Q67" s="702">
        <v>28.476714270455457</v>
      </c>
      <c r="R67" s="702">
        <v>21.707857131428572</v>
      </c>
      <c r="S67" s="702">
        <v>394.13957431428571</v>
      </c>
      <c r="T67" s="702">
        <v>203.44642857142858</v>
      </c>
      <c r="U67" s="702">
        <v>43.529285431428569</v>
      </c>
      <c r="V67" s="702">
        <v>19.572964258571432</v>
      </c>
      <c r="W67" s="702">
        <v>1.7968571012857144</v>
      </c>
      <c r="X67" s="702">
        <v>327.82142857142861</v>
      </c>
      <c r="Y67" s="702">
        <v>98.4</v>
      </c>
    </row>
    <row r="68" spans="1:25">
      <c r="P68" s="615">
        <v>13</v>
      </c>
      <c r="Q68" s="702">
        <v>24.844714028571435</v>
      </c>
      <c r="R68" s="702">
        <v>20.569142751428576</v>
      </c>
      <c r="S68" s="702">
        <v>522.42285592857138</v>
      </c>
      <c r="T68" s="702">
        <v>225.26185825714285</v>
      </c>
      <c r="U68" s="702">
        <v>57.974427901428569</v>
      </c>
      <c r="V68" s="702">
        <v>12.582738467142859</v>
      </c>
      <c r="W68" s="702">
        <v>1.6904285634285714</v>
      </c>
      <c r="X68" s="702">
        <v>339.04356602857143</v>
      </c>
      <c r="Y68" s="702">
        <v>92.103571201428579</v>
      </c>
    </row>
    <row r="69" spans="1:25">
      <c r="P69" s="615">
        <v>14</v>
      </c>
      <c r="Q69" s="702">
        <v>29.483285902857141</v>
      </c>
      <c r="R69" s="702">
        <v>18.767857142857142</v>
      </c>
      <c r="S69" s="702">
        <v>316.33943394285717</v>
      </c>
      <c r="T69" s="702">
        <v>152.47643277142856</v>
      </c>
      <c r="U69" s="702">
        <v>55.119428907142868</v>
      </c>
      <c r="V69" s="702">
        <v>21.303751674285714</v>
      </c>
      <c r="W69" s="702">
        <v>1.6808571647142858</v>
      </c>
      <c r="X69" s="702">
        <v>250.08571298571431</v>
      </c>
      <c r="Y69" s="702">
        <v>65.665856497142855</v>
      </c>
    </row>
    <row r="70" spans="1:25">
      <c r="P70" s="615">
        <v>15</v>
      </c>
      <c r="Q70" s="702">
        <v>20.040428705714284</v>
      </c>
      <c r="R70" s="702">
        <v>14.275999887714287</v>
      </c>
      <c r="S70" s="702">
        <v>168.45457024285716</v>
      </c>
      <c r="T70" s="702">
        <v>98.160714291428576</v>
      </c>
      <c r="U70" s="702">
        <v>27.713714872857139</v>
      </c>
      <c r="V70" s="702">
        <v>17.810774395714287</v>
      </c>
      <c r="W70" s="702">
        <v>1.7205714498571432</v>
      </c>
      <c r="X70" s="702">
        <v>148.48785617142858</v>
      </c>
      <c r="Y70" s="702">
        <v>49.633285522857136</v>
      </c>
    </row>
    <row r="71" spans="1:25">
      <c r="O71" s="278">
        <v>16</v>
      </c>
      <c r="P71" s="615">
        <v>16</v>
      </c>
      <c r="Q71" s="702">
        <v>16.072142737142858</v>
      </c>
      <c r="R71" s="702">
        <v>10.180143014285713</v>
      </c>
      <c r="S71" s="702">
        <v>131.80142647142856</v>
      </c>
      <c r="T71" s="702">
        <v>98.279714314285712</v>
      </c>
      <c r="U71" s="702">
        <v>22.869143077142859</v>
      </c>
      <c r="V71" s="702">
        <v>12.210951395714286</v>
      </c>
      <c r="W71" s="702">
        <v>1.789857131857143</v>
      </c>
      <c r="X71" s="702">
        <v>105.47928511571429</v>
      </c>
      <c r="Y71" s="702">
        <v>31.291000095714285</v>
      </c>
    </row>
    <row r="72" spans="1:25">
      <c r="P72" s="615">
        <v>17</v>
      </c>
      <c r="Q72" s="702">
        <v>15.383999960000001</v>
      </c>
      <c r="R72" s="702">
        <v>12.121571608857142</v>
      </c>
      <c r="S72" s="702">
        <v>143.84128789999997</v>
      </c>
      <c r="T72" s="702">
        <v>83.547571454285716</v>
      </c>
      <c r="U72" s="702">
        <v>20.273857388571425</v>
      </c>
      <c r="V72" s="702">
        <v>12.949641501428573</v>
      </c>
      <c r="W72" s="702">
        <v>1.6648571664285714</v>
      </c>
      <c r="X72" s="702">
        <v>103.81928579571429</v>
      </c>
      <c r="Y72" s="702">
        <v>25.921857015714284</v>
      </c>
    </row>
    <row r="73" spans="1:25">
      <c r="P73" s="615">
        <v>18</v>
      </c>
      <c r="Q73" s="702">
        <v>16.026142665714286</v>
      </c>
      <c r="R73" s="702">
        <v>11.996285711571428</v>
      </c>
      <c r="S73" s="702">
        <v>111.12314277285714</v>
      </c>
      <c r="T73" s="702">
        <v>74.392857142857139</v>
      </c>
      <c r="U73" s="702">
        <v>18.103142875714287</v>
      </c>
      <c r="V73" s="702">
        <v>11.493274145714285</v>
      </c>
      <c r="W73" s="702">
        <v>1.55</v>
      </c>
      <c r="X73" s="702">
        <v>91.532855442857141</v>
      </c>
      <c r="Y73" s="702">
        <v>22.190428595714284</v>
      </c>
    </row>
    <row r="74" spans="1:25">
      <c r="P74" s="615">
        <v>19</v>
      </c>
      <c r="Q74" s="702">
        <v>14.769714355714287</v>
      </c>
      <c r="R74" s="702">
        <v>10.123285769857144</v>
      </c>
      <c r="S74" s="702">
        <v>89.41828482428572</v>
      </c>
      <c r="T74" s="702">
        <v>60.613000051428571</v>
      </c>
      <c r="U74" s="702">
        <v>15.728999954285714</v>
      </c>
      <c r="V74" s="702">
        <v>10.883738517142858</v>
      </c>
      <c r="W74" s="702">
        <v>1.5914285865714286</v>
      </c>
      <c r="X74" s="702">
        <v>82.45500183</v>
      </c>
      <c r="Y74" s="702">
        <v>20.991285870000006</v>
      </c>
    </row>
    <row r="75" spans="1:25">
      <c r="P75" s="615">
        <v>20</v>
      </c>
      <c r="Q75" s="702">
        <v>13.81242861</v>
      </c>
      <c r="R75" s="702">
        <v>9.3731427190000005</v>
      </c>
      <c r="S75" s="702">
        <v>79.212427410000004</v>
      </c>
      <c r="T75" s="702">
        <v>72.321428569999995</v>
      </c>
      <c r="U75" s="702">
        <v>20.647571429999999</v>
      </c>
      <c r="V75" s="702">
        <v>11.153748650000001</v>
      </c>
      <c r="W75" s="702">
        <v>1.5371428389999999</v>
      </c>
      <c r="X75" s="702">
        <v>76.857142859999996</v>
      </c>
      <c r="Y75" s="702">
        <v>23.085714070000002</v>
      </c>
    </row>
    <row r="76" spans="1:25">
      <c r="P76" s="615">
        <v>21</v>
      </c>
      <c r="Q76" s="702">
        <v>12.849714414285714</v>
      </c>
      <c r="R76" s="702">
        <v>7.085428442285715</v>
      </c>
      <c r="S76" s="702">
        <v>62.717000688571432</v>
      </c>
      <c r="T76" s="702">
        <v>52.565571377142859</v>
      </c>
      <c r="U76" s="702">
        <v>14.46171447</v>
      </c>
      <c r="V76" s="702">
        <v>12</v>
      </c>
      <c r="W76" s="702">
        <v>1.5128571304285714</v>
      </c>
      <c r="X76" s="702">
        <v>58.057856968571436</v>
      </c>
      <c r="Y76" s="702">
        <v>17.858285902857144</v>
      </c>
    </row>
    <row r="77" spans="1:25">
      <c r="P77" s="615">
        <v>22</v>
      </c>
      <c r="Q77" s="702">
        <v>12.105428559999998</v>
      </c>
      <c r="R77" s="702">
        <v>7.3308571058571435</v>
      </c>
      <c r="S77" s="702">
        <v>41.633143151428598</v>
      </c>
      <c r="T77" s="702">
        <v>49.261999948571429</v>
      </c>
      <c r="U77" s="702">
        <v>12.621714454285712</v>
      </c>
      <c r="V77" s="702">
        <v>10.442797251571431</v>
      </c>
      <c r="W77" s="702">
        <v>1.5</v>
      </c>
      <c r="X77" s="702">
        <v>51.520714895714285</v>
      </c>
      <c r="Y77" s="702">
        <v>15.324571202857143</v>
      </c>
    </row>
    <row r="78" spans="1:25">
      <c r="P78" s="615">
        <v>23</v>
      </c>
      <c r="Q78" s="702">
        <v>11.272714207142856</v>
      </c>
      <c r="R78" s="702">
        <v>7.7242857718571427</v>
      </c>
      <c r="S78" s="702">
        <v>41.633143151428598</v>
      </c>
      <c r="T78" s="702">
        <v>40.500142779999997</v>
      </c>
      <c r="U78" s="702">
        <v>10.571857179142857</v>
      </c>
      <c r="V78" s="702">
        <v>10.979225701428572</v>
      </c>
      <c r="W78" s="702">
        <v>1.5</v>
      </c>
      <c r="X78" s="702">
        <v>46.520714351428573</v>
      </c>
      <c r="Y78" s="702">
        <v>13.868142808571431</v>
      </c>
    </row>
    <row r="79" spans="1:25">
      <c r="P79" s="615">
        <v>24</v>
      </c>
      <c r="Q79" s="702">
        <v>10.867999894285715</v>
      </c>
      <c r="R79" s="702">
        <v>8.8337143495714301</v>
      </c>
      <c r="S79" s="702">
        <v>78.434000150000003</v>
      </c>
      <c r="T79" s="702">
        <v>35.785857065714289</v>
      </c>
      <c r="U79" s="702">
        <v>9.2180000031428584</v>
      </c>
      <c r="V79" s="702">
        <v>11.096784181428571</v>
      </c>
      <c r="W79" s="702">
        <v>1.5</v>
      </c>
      <c r="X79" s="702">
        <v>42.473571777142858</v>
      </c>
      <c r="Y79" s="702">
        <v>12.512571334285715</v>
      </c>
    </row>
    <row r="80" spans="1:25">
      <c r="P80" s="615">
        <v>25</v>
      </c>
      <c r="Q80" s="702">
        <v>10.167285918857143</v>
      </c>
      <c r="R80" s="702">
        <v>7.6592858184285708</v>
      </c>
      <c r="S80" s="702">
        <v>77.872000559999989</v>
      </c>
      <c r="T80" s="702">
        <v>33.357000077142857</v>
      </c>
      <c r="U80" s="702">
        <v>8.9321429390000002</v>
      </c>
      <c r="V80" s="702">
        <v>10.461965969999998</v>
      </c>
      <c r="W80" s="702">
        <v>1.5</v>
      </c>
      <c r="X80" s="702">
        <v>43.729285104285715</v>
      </c>
      <c r="Y80" s="702">
        <v>11.450428658571429</v>
      </c>
    </row>
    <row r="81" spans="15:25">
      <c r="O81" s="278">
        <v>26</v>
      </c>
      <c r="P81" s="615">
        <v>26</v>
      </c>
      <c r="Q81" s="702">
        <v>9.3535717554285718</v>
      </c>
      <c r="R81" s="702">
        <v>6.2751428064285708</v>
      </c>
      <c r="S81" s="702">
        <v>76.447856358571428</v>
      </c>
      <c r="T81" s="702">
        <v>29.154571531428569</v>
      </c>
      <c r="U81" s="702">
        <v>8.3007144928571428</v>
      </c>
      <c r="V81" s="702">
        <v>11.259941372857144</v>
      </c>
      <c r="W81" s="702">
        <v>1.5</v>
      </c>
      <c r="X81" s="702">
        <v>44.616428919999997</v>
      </c>
      <c r="Y81" s="702">
        <v>9.6660000944285702</v>
      </c>
    </row>
    <row r="82" spans="15:25">
      <c r="P82" s="615">
        <v>27</v>
      </c>
      <c r="Q82" s="702">
        <v>8.86</v>
      </c>
      <c r="R82" s="702">
        <v>7.15</v>
      </c>
      <c r="S82" s="702">
        <v>77.430000000000007</v>
      </c>
      <c r="T82" s="702">
        <v>30.35</v>
      </c>
      <c r="U82" s="702">
        <v>8.59</v>
      </c>
      <c r="V82" s="702">
        <v>10.758154460361988</v>
      </c>
      <c r="W82" s="702">
        <v>1.59</v>
      </c>
      <c r="X82" s="702">
        <v>43.84</v>
      </c>
      <c r="Y82" s="702">
        <v>8.27</v>
      </c>
    </row>
    <row r="83" spans="15:25">
      <c r="P83" s="615">
        <v>28</v>
      </c>
      <c r="Q83" s="702">
        <v>8.9135712215714289</v>
      </c>
      <c r="R83" s="702">
        <v>5.7058570728571425</v>
      </c>
      <c r="S83" s="702">
        <v>76.24514443428572</v>
      </c>
      <c r="T83" s="702">
        <v>27.702285765714286</v>
      </c>
      <c r="U83" s="702">
        <v>7.8261427880000003</v>
      </c>
      <c r="V83" s="702">
        <v>11.139168601428571</v>
      </c>
      <c r="W83" s="702">
        <v>1.6000000240000001</v>
      </c>
      <c r="X83" s="702">
        <v>39.995714458571435</v>
      </c>
      <c r="Y83" s="702">
        <v>7.4899999752857136</v>
      </c>
    </row>
    <row r="84" spans="15:25">
      <c r="P84" s="615">
        <v>29</v>
      </c>
      <c r="Q84" s="702">
        <v>9.1244284766060932</v>
      </c>
      <c r="R84" s="702">
        <v>6.4564285959516052</v>
      </c>
      <c r="S84" s="702">
        <v>66.31271307809007</v>
      </c>
      <c r="T84" s="702">
        <v>29.940428597586454</v>
      </c>
      <c r="U84" s="702">
        <v>7.6488569804600273</v>
      </c>
      <c r="V84" s="702">
        <v>10.810358456202879</v>
      </c>
      <c r="W84" s="702">
        <v>1.6000000238418504</v>
      </c>
      <c r="X84" s="702">
        <v>42.704285757882197</v>
      </c>
      <c r="Y84" s="702">
        <v>6.46428571428571</v>
      </c>
    </row>
    <row r="85" spans="15:25">
      <c r="P85" s="615">
        <v>30</v>
      </c>
      <c r="Q85" s="702">
        <v>8.5528571428571407</v>
      </c>
      <c r="R85" s="702">
        <v>4.6828571428571433</v>
      </c>
      <c r="S85" s="702">
        <v>72.048571428571435</v>
      </c>
      <c r="T85" s="702">
        <v>36.729999999999997</v>
      </c>
      <c r="U85" s="702">
        <v>8.18</v>
      </c>
      <c r="V85" s="702">
        <v>12.61</v>
      </c>
      <c r="W85" s="702">
        <v>1.6285714285714283</v>
      </c>
      <c r="X85" s="702">
        <v>44.611428571428576</v>
      </c>
      <c r="Y85" s="702">
        <v>8.2285714285714295</v>
      </c>
    </row>
    <row r="86" spans="15:25">
      <c r="P86" s="615">
        <v>31</v>
      </c>
      <c r="Q86" s="702">
        <v>8.6655714172857152</v>
      </c>
      <c r="R86" s="702">
        <v>6.0697142064285714</v>
      </c>
      <c r="S86" s="702">
        <v>71.543143134285714</v>
      </c>
      <c r="T86" s="702">
        <v>31.720428468571431</v>
      </c>
      <c r="U86" s="702">
        <v>7.0618571554285712</v>
      </c>
      <c r="V86" s="702">
        <v>12.322975702857141</v>
      </c>
      <c r="W86" s="702">
        <v>1.7000000479999999</v>
      </c>
      <c r="X86" s="702">
        <v>43.444999694285706</v>
      </c>
      <c r="Y86" s="702">
        <v>6.7562857354285706</v>
      </c>
    </row>
    <row r="87" spans="15:25">
      <c r="P87" s="615">
        <v>32</v>
      </c>
      <c r="Q87" s="702">
        <v>8.8231430052857132</v>
      </c>
      <c r="R87" s="702">
        <v>7.5088570807142858</v>
      </c>
      <c r="S87" s="702">
        <v>73.754999434285722</v>
      </c>
      <c r="T87" s="702">
        <v>23.255857194285714</v>
      </c>
      <c r="U87" s="702">
        <v>6.2595714159999991</v>
      </c>
      <c r="V87" s="702">
        <v>12.551451548571427</v>
      </c>
      <c r="W87" s="702">
        <v>1.7214285988571427</v>
      </c>
      <c r="X87" s="702">
        <v>38.432857512857147</v>
      </c>
      <c r="Y87" s="702">
        <v>6.4201429230000002</v>
      </c>
    </row>
    <row r="88" spans="15:25">
      <c r="P88" s="615">
        <v>33</v>
      </c>
      <c r="Q88" s="702">
        <v>7.5077142715714285</v>
      </c>
      <c r="R88" s="702">
        <v>3.2121428764285715</v>
      </c>
      <c r="S88" s="702">
        <v>68.878572191428574</v>
      </c>
      <c r="T88" s="702">
        <v>21.297428674285715</v>
      </c>
      <c r="U88" s="702">
        <v>6.3691428730000004</v>
      </c>
      <c r="V88" s="702">
        <v>12.137084417142857</v>
      </c>
      <c r="W88" s="702">
        <v>1.7482857022857143</v>
      </c>
      <c r="X88" s="702">
        <v>36.690713608571421</v>
      </c>
      <c r="Y88" s="702">
        <v>4.7154285567142855</v>
      </c>
    </row>
    <row r="89" spans="15:25">
      <c r="P89" s="615">
        <v>34</v>
      </c>
      <c r="Q89" s="702">
        <v>7.6147142817142859</v>
      </c>
      <c r="R89" s="702">
        <v>3.3949999810000002</v>
      </c>
      <c r="S89" s="702">
        <v>65.663999831428569</v>
      </c>
      <c r="T89" s="702">
        <v>20.922428674285715</v>
      </c>
      <c r="U89" s="702">
        <v>6.115428584</v>
      </c>
      <c r="V89" s="702">
        <v>12.034524235714285</v>
      </c>
      <c r="W89" s="702">
        <v>1.7482857022857143</v>
      </c>
      <c r="X89" s="702">
        <v>34.872856138571429</v>
      </c>
      <c r="Y89" s="702">
        <v>5.7421428814285713</v>
      </c>
    </row>
    <row r="90" spans="15:25">
      <c r="P90" s="615">
        <v>35</v>
      </c>
      <c r="Q90" s="702">
        <v>8.7815715245714294</v>
      </c>
      <c r="R90" s="702">
        <v>7.1025714534285722</v>
      </c>
      <c r="S90" s="702">
        <v>65.224427905714279</v>
      </c>
      <c r="T90" s="702">
        <v>19.458285740000001</v>
      </c>
      <c r="U90" s="702">
        <v>6.3137143680000003</v>
      </c>
      <c r="V90" s="702">
        <v>12.041607177142856</v>
      </c>
      <c r="W90" s="702">
        <v>1.75</v>
      </c>
      <c r="X90" s="702">
        <v>34.16142872428572</v>
      </c>
      <c r="Y90" s="702">
        <v>6.5945714541428577</v>
      </c>
    </row>
    <row r="91" spans="15:25">
      <c r="O91" s="278">
        <v>36</v>
      </c>
      <c r="P91" s="615">
        <v>36</v>
      </c>
      <c r="Q91" s="702">
        <v>8.2851428302857144</v>
      </c>
      <c r="R91" s="702">
        <v>6.7619999824285708</v>
      </c>
      <c r="S91" s="702">
        <v>60.719142914285719</v>
      </c>
      <c r="T91" s="702">
        <v>25.369000025714286</v>
      </c>
      <c r="U91" s="702">
        <v>5.8737142427142857</v>
      </c>
      <c r="V91" s="702">
        <v>12.055594308571429</v>
      </c>
      <c r="W91" s="702">
        <v>1.6425714154285713</v>
      </c>
      <c r="X91" s="702">
        <v>35.968571799999999</v>
      </c>
      <c r="Y91" s="702">
        <v>4.9847143037142851</v>
      </c>
    </row>
    <row r="92" spans="15:25">
      <c r="P92" s="615">
        <v>37</v>
      </c>
      <c r="Q92" s="702">
        <v>7.6475714954285712</v>
      </c>
      <c r="R92" s="702">
        <v>6.5272856442857137</v>
      </c>
      <c r="S92" s="702">
        <v>62.679428645714289</v>
      </c>
      <c r="T92" s="702">
        <v>28.136857168571428</v>
      </c>
      <c r="U92" s="702">
        <v>6.1154285838571436</v>
      </c>
      <c r="V92" s="702">
        <v>12.130952835714286</v>
      </c>
      <c r="W92" s="702">
        <v>1.6457142658571429</v>
      </c>
      <c r="X92" s="702">
        <v>34.324999674285714</v>
      </c>
      <c r="Y92" s="702">
        <v>5.502714293285714</v>
      </c>
    </row>
    <row r="93" spans="15:25">
      <c r="P93" s="615">
        <v>38</v>
      </c>
      <c r="Q93" s="702">
        <v>7.6971428571428575</v>
      </c>
      <c r="R93" s="702">
        <v>5.444285714285714</v>
      </c>
      <c r="S93" s="702">
        <v>65.47</v>
      </c>
      <c r="T93" s="702">
        <v>29.351428571428567</v>
      </c>
      <c r="U93" s="702">
        <v>6.8328571428571419</v>
      </c>
      <c r="V93" s="702">
        <v>12.194285714285716</v>
      </c>
      <c r="W93" s="702">
        <v>1.6014285714285712</v>
      </c>
      <c r="X93" s="702">
        <v>33.131428571428572</v>
      </c>
      <c r="Y93" s="702">
        <v>6.8414285714285716</v>
      </c>
    </row>
    <row r="94" spans="15:25">
      <c r="P94" s="615">
        <v>39</v>
      </c>
      <c r="Q94" s="702">
        <v>7.6702859061104887</v>
      </c>
      <c r="R94" s="702">
        <v>5.896142857415323</v>
      </c>
      <c r="S94" s="702">
        <v>72.930715288434641</v>
      </c>
      <c r="T94" s="702">
        <v>26.470285688127774</v>
      </c>
      <c r="U94" s="702">
        <v>9.2337144442966927</v>
      </c>
      <c r="V94" s="702">
        <v>12.167024339948341</v>
      </c>
      <c r="W94" s="702">
        <v>1.4285714115415273</v>
      </c>
      <c r="X94" s="702">
        <v>32.532142911638481</v>
      </c>
      <c r="Y94" s="702">
        <v>5.5879999569484111</v>
      </c>
    </row>
    <row r="95" spans="15:25">
      <c r="P95" s="615">
        <v>40</v>
      </c>
      <c r="Q95" s="702">
        <v>6.5494285314285721</v>
      </c>
      <c r="R95" s="702">
        <v>3.8238571030000004</v>
      </c>
      <c r="S95" s="702">
        <v>70.661287578571418</v>
      </c>
      <c r="T95" s="702">
        <v>28.190571377142856</v>
      </c>
      <c r="U95" s="702">
        <v>9.6928569934285722</v>
      </c>
      <c r="V95" s="702">
        <v>12.594642775714282</v>
      </c>
      <c r="W95" s="702">
        <v>1.3999999759999999</v>
      </c>
      <c r="X95" s="702">
        <v>36.384999957142853</v>
      </c>
      <c r="Y95" s="702">
        <v>8.0550000327142861</v>
      </c>
    </row>
    <row r="96" spans="15:25">
      <c r="P96" s="615">
        <v>41</v>
      </c>
      <c r="Q96" s="702">
        <v>8.096428529999999</v>
      </c>
      <c r="R96" s="702">
        <v>4.0404286040000006</v>
      </c>
      <c r="S96" s="702">
        <v>65.047571455714291</v>
      </c>
      <c r="T96" s="702">
        <v>47.010571615714284</v>
      </c>
      <c r="U96" s="702">
        <v>10.709857054714286</v>
      </c>
      <c r="V96" s="702">
        <v>13.274107117142858</v>
      </c>
      <c r="W96" s="702">
        <v>1.3785714251428571</v>
      </c>
      <c r="X96" s="702">
        <v>40.987143380000006</v>
      </c>
      <c r="Y96" s="702">
        <v>6.9969999451428562</v>
      </c>
    </row>
    <row r="97" spans="14:25">
      <c r="P97" s="615">
        <v>42</v>
      </c>
      <c r="Q97" s="702">
        <v>7.4685714285714289</v>
      </c>
      <c r="R97" s="702">
        <v>4.8257142857142856</v>
      </c>
      <c r="S97" s="702">
        <v>67.597142857142856</v>
      </c>
      <c r="T97" s="702">
        <v>47.291428571428575</v>
      </c>
      <c r="U97" s="702">
        <v>8.5642857142857132</v>
      </c>
      <c r="V97" s="702">
        <v>13.001428571428571</v>
      </c>
      <c r="W97" s="702">
        <v>1.3499999999999999</v>
      </c>
      <c r="X97" s="702">
        <v>37.554285714285712</v>
      </c>
      <c r="Y97" s="702">
        <v>6.2985714285714289</v>
      </c>
    </row>
    <row r="98" spans="14:25">
      <c r="P98" s="615">
        <v>43</v>
      </c>
      <c r="Q98" s="702">
        <v>8.9041427881428579</v>
      </c>
      <c r="R98" s="702">
        <v>7.354714223857143</v>
      </c>
      <c r="S98" s="702">
        <v>80.445570807142857</v>
      </c>
      <c r="T98" s="702">
        <v>71.934570317142857</v>
      </c>
      <c r="U98" s="702">
        <v>12.279142925142859</v>
      </c>
      <c r="V98" s="702">
        <v>13.139822822857143</v>
      </c>
      <c r="W98" s="702">
        <v>1.2642857177142857</v>
      </c>
      <c r="X98" s="702">
        <v>52.87071446142857</v>
      </c>
      <c r="Y98" s="702">
        <v>11.989999907285712</v>
      </c>
    </row>
    <row r="99" spans="14:25">
      <c r="O99" s="278">
        <v>44</v>
      </c>
      <c r="P99" s="615">
        <v>44</v>
      </c>
      <c r="Q99" s="702">
        <v>7.8245713370000001</v>
      </c>
      <c r="R99" s="702">
        <v>6.0929999348571409</v>
      </c>
      <c r="S99" s="702">
        <v>68.079284669999993</v>
      </c>
      <c r="T99" s="702">
        <v>33.011999948571429</v>
      </c>
      <c r="U99" s="702">
        <v>8.685571329857142</v>
      </c>
      <c r="V99" s="702">
        <v>13.275356975714287</v>
      </c>
      <c r="W99" s="702">
        <v>1.1857142621428574</v>
      </c>
      <c r="X99" s="702">
        <v>36.208572388571426</v>
      </c>
      <c r="Y99" s="702">
        <v>7.9394285338571438</v>
      </c>
    </row>
    <row r="100" spans="14:25">
      <c r="P100" s="615">
        <v>45</v>
      </c>
      <c r="Q100" s="702">
        <v>9.4607142031428566</v>
      </c>
      <c r="R100" s="702">
        <v>6.8107141777142859</v>
      </c>
      <c r="S100" s="702">
        <v>71.555715832857132</v>
      </c>
      <c r="T100" s="702">
        <v>77.119000028571435</v>
      </c>
      <c r="U100" s="702">
        <v>11.169571467285715</v>
      </c>
      <c r="V100" s="702">
        <v>14</v>
      </c>
      <c r="W100" s="702">
        <v>1.1200000049999999</v>
      </c>
      <c r="X100" s="702">
        <v>61.867856707142856</v>
      </c>
      <c r="Y100" s="702">
        <v>10.621285710571428</v>
      </c>
    </row>
    <row r="101" spans="14:25">
      <c r="P101" s="615">
        <v>46</v>
      </c>
      <c r="Q101" s="702">
        <v>9.3077141910000005</v>
      </c>
      <c r="R101" s="702">
        <v>7.0327142307142854</v>
      </c>
      <c r="S101" s="702">
        <v>91.077428547142858</v>
      </c>
      <c r="T101" s="702">
        <v>102.37485722571429</v>
      </c>
      <c r="U101" s="702">
        <v>13.601000102857142</v>
      </c>
      <c r="V101" s="702">
        <v>14.050535747142858</v>
      </c>
      <c r="W101" s="702">
        <v>1.1085714441428569</v>
      </c>
      <c r="X101" s="702">
        <v>108.26642826857143</v>
      </c>
      <c r="Y101" s="702">
        <v>19.484428541428574</v>
      </c>
    </row>
    <row r="102" spans="14:25">
      <c r="P102" s="615">
        <v>47</v>
      </c>
      <c r="Q102" s="702">
        <v>9.4625713492857138</v>
      </c>
      <c r="R102" s="702">
        <v>5.5844285494285719</v>
      </c>
      <c r="S102" s="702">
        <v>81.972856794285704</v>
      </c>
      <c r="T102" s="702">
        <v>82.511857174285723</v>
      </c>
      <c r="U102" s="702">
        <v>10.628571509714286</v>
      </c>
      <c r="V102" s="702">
        <v>13.985775811428573</v>
      </c>
      <c r="W102" s="702">
        <v>1.1000000240000001</v>
      </c>
      <c r="X102" s="702">
        <v>123.16000039999999</v>
      </c>
      <c r="Y102" s="702">
        <v>19.475428171428575</v>
      </c>
    </row>
    <row r="103" spans="14:25">
      <c r="P103" s="615">
        <v>48</v>
      </c>
      <c r="Q103" s="702">
        <v>10.788142817999999</v>
      </c>
      <c r="R103" s="702">
        <v>7.5644286014285722</v>
      </c>
      <c r="S103" s="702">
        <v>84.626999989999987</v>
      </c>
      <c r="T103" s="702">
        <v>67.75</v>
      </c>
      <c r="U103" s="702">
        <v>8.4404285975714277</v>
      </c>
      <c r="V103" s="702">
        <v>13.781128474285714</v>
      </c>
      <c r="W103" s="702">
        <v>1.1000000240000001</v>
      </c>
      <c r="X103" s="702">
        <v>94.382143292857137</v>
      </c>
      <c r="Y103" s="702">
        <v>16.918428555714282</v>
      </c>
    </row>
    <row r="104" spans="14:25">
      <c r="P104" s="615">
        <v>49</v>
      </c>
      <c r="Q104" s="702">
        <v>12.195857184142856</v>
      </c>
      <c r="R104" s="702">
        <v>8.7971429828571424</v>
      </c>
      <c r="S104" s="702">
        <v>127.52371543</v>
      </c>
      <c r="T104" s="702">
        <v>92.821572431428564</v>
      </c>
      <c r="U104" s="702">
        <v>12.563142707428572</v>
      </c>
      <c r="V104" s="702">
        <v>13.148691448571428</v>
      </c>
      <c r="W104" s="702">
        <v>1.1000000000000001</v>
      </c>
      <c r="X104" s="702">
        <v>134.38285718142859</v>
      </c>
      <c r="Y104" s="702">
        <v>23.580285755714289</v>
      </c>
    </row>
    <row r="105" spans="14:25">
      <c r="P105" s="615">
        <v>50</v>
      </c>
      <c r="Q105" s="702">
        <v>12.195857184142856</v>
      </c>
      <c r="R105" s="702">
        <v>8.7971429828571424</v>
      </c>
      <c r="S105" s="702">
        <v>183.5428575857143</v>
      </c>
      <c r="T105" s="702">
        <v>117.73200008285714</v>
      </c>
      <c r="U105" s="702">
        <v>21.506999832857144</v>
      </c>
      <c r="V105" s="702">
        <v>12.61392865857143</v>
      </c>
      <c r="W105" s="702">
        <v>1.1014285939999999</v>
      </c>
      <c r="X105" s="702">
        <v>210.99928282857144</v>
      </c>
      <c r="Y105" s="702">
        <v>41.892142702857143</v>
      </c>
    </row>
    <row r="106" spans="14:25">
      <c r="P106" s="615">
        <v>51</v>
      </c>
      <c r="Q106" s="702">
        <v>18.622142792857144</v>
      </c>
      <c r="R106" s="702">
        <v>18.057571141428571</v>
      </c>
      <c r="S106" s="702">
        <v>292.95071844285718</v>
      </c>
      <c r="T106" s="702">
        <v>180.44057028571427</v>
      </c>
      <c r="U106" s="702">
        <v>47.032857078571432</v>
      </c>
      <c r="V106" s="702">
        <v>12.600475584285714</v>
      </c>
      <c r="W106" s="702">
        <v>1.1000000240000001</v>
      </c>
      <c r="X106" s="702">
        <v>166.85428727142857</v>
      </c>
      <c r="Y106" s="702">
        <v>39.827428544285716</v>
      </c>
    </row>
    <row r="107" spans="14:25">
      <c r="P107" s="615">
        <v>52</v>
      </c>
      <c r="Q107" s="702">
        <v>29.98</v>
      </c>
      <c r="R107" s="702">
        <v>19.592142921428572</v>
      </c>
      <c r="S107" s="702">
        <v>381.11599999999993</v>
      </c>
      <c r="T107" s="702">
        <v>222.82728794285717</v>
      </c>
      <c r="U107" s="702">
        <v>45.963714052857135</v>
      </c>
      <c r="V107" s="702">
        <v>12.617798667142859</v>
      </c>
      <c r="W107" s="702">
        <v>1.4000000274285713</v>
      </c>
      <c r="X107" s="702">
        <v>293.28928701428578</v>
      </c>
      <c r="Y107" s="702">
        <v>62.57285690285714</v>
      </c>
    </row>
    <row r="108" spans="14:25">
      <c r="O108" s="278">
        <v>53</v>
      </c>
      <c r="P108" s="615">
        <v>53</v>
      </c>
      <c r="Q108" s="702">
        <v>16.182714325714286</v>
      </c>
      <c r="R108" s="702">
        <v>8.7855713015714283</v>
      </c>
      <c r="S108" s="702">
        <v>271.83385794285715</v>
      </c>
      <c r="T108" s="702">
        <v>172.15485925714285</v>
      </c>
      <c r="U108" s="702">
        <v>29.933428355714284</v>
      </c>
      <c r="V108" s="702">
        <v>12.85226127</v>
      </c>
      <c r="W108" s="702">
        <v>1.4571428811428571</v>
      </c>
      <c r="X108" s="702">
        <v>278.16286141428571</v>
      </c>
      <c r="Y108" s="702">
        <v>97.806430279999987</v>
      </c>
    </row>
    <row r="109" spans="14:25">
      <c r="N109" s="278">
        <v>2020</v>
      </c>
      <c r="P109" s="615">
        <v>1</v>
      </c>
      <c r="Q109" s="702">
        <v>12.763571330479184</v>
      </c>
      <c r="R109" s="702">
        <v>7.4842857292720009</v>
      </c>
      <c r="S109" s="702">
        <v>176.20814078194715</v>
      </c>
      <c r="T109" s="702">
        <v>130.2321406773155</v>
      </c>
      <c r="U109" s="702">
        <v>24.27742849077493</v>
      </c>
      <c r="V109" s="702">
        <v>14.514315741402715</v>
      </c>
      <c r="W109" s="702">
        <v>2.278571367263786</v>
      </c>
      <c r="X109" s="702">
        <v>468.15499877929659</v>
      </c>
      <c r="Y109" s="702">
        <v>152.80385916573601</v>
      </c>
    </row>
    <row r="110" spans="14:25">
      <c r="P110" s="615">
        <v>2</v>
      </c>
      <c r="Q110" s="702">
        <v>13.386285781428571</v>
      </c>
      <c r="R110" s="702">
        <v>6.9174285272857139</v>
      </c>
      <c r="S110" s="702">
        <v>159.75199889999999</v>
      </c>
      <c r="T110" s="702">
        <v>106.97614288285715</v>
      </c>
      <c r="U110" s="702">
        <v>30.680286678571431</v>
      </c>
      <c r="V110" s="702">
        <v>13.21958133142857</v>
      </c>
      <c r="W110" s="702">
        <v>1.8857142757142857</v>
      </c>
      <c r="X110" s="702">
        <v>213.59428187142859</v>
      </c>
      <c r="Y110" s="702">
        <v>97.949856347142855</v>
      </c>
    </row>
    <row r="111" spans="14:25">
      <c r="P111" s="615">
        <v>3</v>
      </c>
      <c r="Q111" s="702">
        <v>15.196428435714285</v>
      </c>
      <c r="R111" s="702">
        <v>11.330428599714283</v>
      </c>
      <c r="S111" s="702">
        <v>243.87700107142857</v>
      </c>
      <c r="T111" s="702">
        <v>137.04186028571428</v>
      </c>
      <c r="U111" s="702">
        <v>40.240000044285715</v>
      </c>
      <c r="V111" s="702">
        <v>16.855534282857143</v>
      </c>
      <c r="W111" s="702">
        <v>6.3075712748571418</v>
      </c>
      <c r="X111" s="702">
        <v>247.26214164285713</v>
      </c>
      <c r="Y111" s="702">
        <v>78.131857190000005</v>
      </c>
    </row>
    <row r="112" spans="14:25">
      <c r="P112" s="615">
        <v>4</v>
      </c>
      <c r="Q112" s="702">
        <v>16.57199968714286</v>
      </c>
      <c r="R112" s="702">
        <v>12.821999958571428</v>
      </c>
      <c r="S112" s="702">
        <v>236.61043005714285</v>
      </c>
      <c r="T112" s="702">
        <v>121.29742760000001</v>
      </c>
      <c r="U112" s="702">
        <v>26.470714297142855</v>
      </c>
      <c r="V112" s="702">
        <v>22.011848449999999</v>
      </c>
      <c r="W112" s="702">
        <v>4.3669999327142861</v>
      </c>
      <c r="X112" s="702">
        <v>212.78856985714287</v>
      </c>
      <c r="Y112" s="702">
        <v>52.875</v>
      </c>
    </row>
    <row r="113" spans="15:25">
      <c r="P113" s="615">
        <v>5</v>
      </c>
      <c r="Q113" s="702">
        <v>25.675428661428576</v>
      </c>
      <c r="R113" s="702">
        <v>18.254856927142857</v>
      </c>
      <c r="S113" s="702">
        <v>392.82542635714287</v>
      </c>
      <c r="T113" s="702">
        <v>216.11300005714287</v>
      </c>
      <c r="U113" s="702">
        <v>48.707714625714289</v>
      </c>
      <c r="V113" s="702">
        <v>14.496191432857142</v>
      </c>
      <c r="W113" s="702">
        <v>2.6891428574285712</v>
      </c>
      <c r="X113" s="702">
        <v>410.15428595714286</v>
      </c>
      <c r="Y113" s="702">
        <v>99.128998899999985</v>
      </c>
    </row>
    <row r="114" spans="15:25">
      <c r="P114" s="615">
        <v>6</v>
      </c>
      <c r="Q114" s="702">
        <v>22.638571330479174</v>
      </c>
      <c r="R114" s="702">
        <v>17.332571574619813</v>
      </c>
      <c r="S114" s="702">
        <v>448.59157017299066</v>
      </c>
      <c r="T114" s="702">
        <v>221.35714285714261</v>
      </c>
      <c r="U114" s="702">
        <v>51.925000326974022</v>
      </c>
      <c r="V114" s="702">
        <v>17.659045491899729</v>
      </c>
      <c r="W114" s="702">
        <v>9.7964284079415354</v>
      </c>
      <c r="X114" s="702">
        <v>622.45499965122758</v>
      </c>
      <c r="Y114" s="702">
        <v>151.47385733468144</v>
      </c>
    </row>
    <row r="115" spans="15:25">
      <c r="P115" s="615">
        <v>7</v>
      </c>
      <c r="Q115" s="702">
        <v>24.818285805714286</v>
      </c>
      <c r="R115" s="702">
        <v>19.436000279999998</v>
      </c>
      <c r="S115" s="702">
        <v>374.25799560000002</v>
      </c>
      <c r="T115" s="702">
        <v>142.54771639999998</v>
      </c>
      <c r="U115" s="702">
        <v>37.997142247142854</v>
      </c>
      <c r="V115" s="702">
        <v>23.642735891428568</v>
      </c>
      <c r="W115" s="702">
        <v>10.810714449000001</v>
      </c>
      <c r="X115" s="702">
        <v>434.32357352857144</v>
      </c>
      <c r="Y115" s="702">
        <v>148.12728554285715</v>
      </c>
    </row>
    <row r="116" spans="15:25">
      <c r="O116" s="278">
        <v>8</v>
      </c>
      <c r="P116" s="615">
        <v>8</v>
      </c>
      <c r="Q116" s="702">
        <v>16.877285957336387</v>
      </c>
      <c r="R116" s="702">
        <v>13.084142684936484</v>
      </c>
      <c r="S116" s="702">
        <v>289.19357081821948</v>
      </c>
      <c r="T116" s="702">
        <v>162.01200212751087</v>
      </c>
      <c r="U116" s="702">
        <v>30.780285699026873</v>
      </c>
      <c r="V116" s="702">
        <v>23.681545802525072</v>
      </c>
      <c r="W116" s="702">
        <v>21.290571621486073</v>
      </c>
      <c r="X116" s="702">
        <v>403.40571376255542</v>
      </c>
      <c r="Y116" s="702">
        <v>143.28899928501644</v>
      </c>
    </row>
    <row r="117" spans="15:25">
      <c r="P117" s="615">
        <v>9</v>
      </c>
      <c r="Q117" s="702">
        <v>20.463000162857146</v>
      </c>
      <c r="R117" s="702">
        <v>16.131428717142857</v>
      </c>
      <c r="S117" s="702">
        <v>302.38613892857137</v>
      </c>
      <c r="T117" s="702">
        <v>174.72028894285717</v>
      </c>
      <c r="U117" s="702">
        <v>36.13400023285714</v>
      </c>
      <c r="V117" s="702">
        <v>23.625475747142854</v>
      </c>
      <c r="W117" s="702">
        <v>11.064000130142858</v>
      </c>
      <c r="X117" s="702">
        <v>388.35356794285718</v>
      </c>
      <c r="Y117" s="702">
        <v>84.357999531428575</v>
      </c>
    </row>
    <row r="118" spans="15:25">
      <c r="P118" s="615">
        <v>10</v>
      </c>
      <c r="Q118" s="702">
        <v>20.001714159999999</v>
      </c>
      <c r="R118" s="702">
        <v>16.133428572857145</v>
      </c>
      <c r="S118" s="702">
        <v>219.49971445714283</v>
      </c>
      <c r="T118" s="702">
        <v>118.91071428571429</v>
      </c>
      <c r="U118" s="702">
        <v>22.61842863857143</v>
      </c>
      <c r="V118" s="702">
        <v>23.72583552857143</v>
      </c>
      <c r="W118" s="702">
        <v>5.0324285712857142</v>
      </c>
      <c r="X118" s="702">
        <v>317.96785625714284</v>
      </c>
      <c r="Y118" s="702">
        <v>76.472572329999977</v>
      </c>
    </row>
    <row r="119" spans="15:25">
      <c r="P119" s="615">
        <v>11</v>
      </c>
      <c r="Q119" s="702">
        <v>20.464285714285715</v>
      </c>
      <c r="R119" s="702">
        <v>16.275285719999999</v>
      </c>
      <c r="S119" s="702">
        <v>210.39014761428572</v>
      </c>
      <c r="T119" s="702">
        <v>145.36899785714286</v>
      </c>
      <c r="U119" s="702">
        <v>39.343428748571434</v>
      </c>
      <c r="V119" s="702">
        <v>23.714347295714287</v>
      </c>
      <c r="W119" s="702">
        <v>12.165999821428571</v>
      </c>
      <c r="X119" s="702">
        <v>377.62500435714281</v>
      </c>
      <c r="Y119" s="702">
        <v>110.78628649857141</v>
      </c>
    </row>
    <row r="120" spans="15:25">
      <c r="P120" s="615">
        <v>12</v>
      </c>
      <c r="Q120" s="702">
        <v>23.032714026314846</v>
      </c>
      <c r="R120" s="702">
        <v>20.180714198521169</v>
      </c>
      <c r="S120" s="702">
        <v>335.19785417829189</v>
      </c>
      <c r="T120" s="702">
        <v>171.26185716901472</v>
      </c>
      <c r="U120" s="702">
        <v>46.286999838692772</v>
      </c>
      <c r="V120" s="702">
        <v>23.623331614903002</v>
      </c>
      <c r="W120" s="702">
        <v>11.119714055742502</v>
      </c>
      <c r="X120" s="702">
        <v>380.85929216657314</v>
      </c>
      <c r="Y120" s="702">
        <v>113.32999965122723</v>
      </c>
    </row>
    <row r="121" spans="15:25">
      <c r="P121" s="615">
        <v>13</v>
      </c>
      <c r="Q121" s="702">
        <v>27.558857236589642</v>
      </c>
      <c r="R121" s="702">
        <v>21.319143022809669</v>
      </c>
      <c r="S121" s="702">
        <v>569.31741768973188</v>
      </c>
      <c r="T121" s="702">
        <v>241.59529113769531</v>
      </c>
      <c r="U121" s="702">
        <v>63.414285387311629</v>
      </c>
      <c r="V121" s="702">
        <v>22.128154209681874</v>
      </c>
      <c r="W121" s="702">
        <v>6.0048571995326432</v>
      </c>
      <c r="X121" s="702">
        <v>332.15285818917374</v>
      </c>
      <c r="Y121" s="702">
        <v>97.158571515764294</v>
      </c>
    </row>
    <row r="122" spans="15:25">
      <c r="P122" s="615">
        <v>14</v>
      </c>
      <c r="Q122" s="702">
        <v>18.795857294285714</v>
      </c>
      <c r="R122" s="702">
        <v>18.168000220000003</v>
      </c>
      <c r="S122" s="702">
        <v>298.48543221428571</v>
      </c>
      <c r="T122" s="702">
        <v>156.28586031428571</v>
      </c>
      <c r="U122" s="702">
        <v>40.567142485714285</v>
      </c>
      <c r="V122" s="702">
        <v>21.36</v>
      </c>
      <c r="W122" s="702">
        <v>4.6619999238571435</v>
      </c>
      <c r="X122" s="702">
        <v>272.16142927142863</v>
      </c>
      <c r="Y122" s="702">
        <v>87.023999895714283</v>
      </c>
    </row>
    <row r="123" spans="15:25">
      <c r="P123" s="615">
        <v>15</v>
      </c>
      <c r="Q123" s="616">
        <v>16.380999974285714</v>
      </c>
      <c r="R123" s="616">
        <v>14.786285537142858</v>
      </c>
      <c r="S123" s="616">
        <v>196.30642698571427</v>
      </c>
      <c r="T123" s="616">
        <v>126.20242854857143</v>
      </c>
      <c r="U123" s="616">
        <v>27.609000341428576</v>
      </c>
      <c r="V123" s="616">
        <v>23.601429802857144</v>
      </c>
      <c r="W123" s="616">
        <v>2.5870000464285714</v>
      </c>
      <c r="X123" s="616">
        <v>174.17928642857143</v>
      </c>
      <c r="Y123" s="616">
        <v>56.692000798571428</v>
      </c>
    </row>
    <row r="124" spans="15:25">
      <c r="O124" s="278">
        <v>16</v>
      </c>
      <c r="P124" s="615">
        <v>16</v>
      </c>
      <c r="Q124" s="702">
        <v>15.142857142857142</v>
      </c>
      <c r="R124" s="702">
        <v>11.113285608857142</v>
      </c>
      <c r="S124" s="702">
        <v>144.25785718571427</v>
      </c>
      <c r="T124" s="702">
        <v>112.32742854857143</v>
      </c>
      <c r="U124" s="702">
        <v>23.319143022857144</v>
      </c>
      <c r="V124" s="702">
        <v>16.145714351428573</v>
      </c>
      <c r="W124" s="702">
        <v>1.9568571534285717</v>
      </c>
      <c r="X124" s="702">
        <v>124.01500048571428</v>
      </c>
      <c r="Y124" s="702">
        <v>41.578285762857142</v>
      </c>
    </row>
    <row r="125" spans="15:25">
      <c r="P125" s="615">
        <v>17</v>
      </c>
      <c r="Q125" s="702">
        <v>14.535142626081141</v>
      </c>
      <c r="R125" s="702">
        <v>7.95871441704886</v>
      </c>
      <c r="S125" s="702">
        <v>118.61742946079741</v>
      </c>
      <c r="T125" s="702">
        <v>86.636999947684131</v>
      </c>
      <c r="U125" s="702">
        <v>19.662570953369116</v>
      </c>
      <c r="V125" s="702">
        <v>14.007261548723459</v>
      </c>
      <c r="W125" s="702">
        <v>2.0897142546517471</v>
      </c>
      <c r="X125" s="702">
        <v>109.72071402413471</v>
      </c>
      <c r="Y125" s="702">
        <v>32.277857099260544</v>
      </c>
    </row>
    <row r="126" spans="15:25">
      <c r="P126" s="615">
        <v>18</v>
      </c>
      <c r="Q126" s="702">
        <v>15.919285638571427</v>
      </c>
      <c r="R126" s="702">
        <v>12.133857388142859</v>
      </c>
      <c r="S126" s="702">
        <v>119.46943012857146</v>
      </c>
      <c r="T126" s="702">
        <v>95.79771531714286</v>
      </c>
      <c r="U126" s="702">
        <v>21.329571314285715</v>
      </c>
      <c r="V126" s="702">
        <v>12.484048571428572</v>
      </c>
      <c r="W126" s="702">
        <v>2.074857081857143</v>
      </c>
      <c r="X126" s="702">
        <v>121.69785745714287</v>
      </c>
      <c r="Y126" s="702">
        <v>27.218570980000003</v>
      </c>
    </row>
    <row r="127" spans="15:25">
      <c r="P127" s="615">
        <v>19</v>
      </c>
      <c r="Q127" s="702">
        <v>16.148714472857144</v>
      </c>
      <c r="R127" s="702">
        <v>14.776714189999998</v>
      </c>
      <c r="S127" s="702">
        <v>179.62085941428572</v>
      </c>
      <c r="T127" s="702">
        <v>63.654857091428575</v>
      </c>
      <c r="U127" s="702">
        <v>18.961428234285709</v>
      </c>
      <c r="V127" s="702">
        <v>11.436902861999998</v>
      </c>
      <c r="W127" s="702">
        <v>1.6491428614285712</v>
      </c>
      <c r="X127" s="702">
        <v>98.23285565285714</v>
      </c>
      <c r="Y127" s="702">
        <v>23.996714454285712</v>
      </c>
    </row>
    <row r="128" spans="15:25">
      <c r="P128" s="615">
        <v>20</v>
      </c>
      <c r="Q128" s="702">
        <v>13.91285719</v>
      </c>
      <c r="R128" s="702">
        <v>10.484285559</v>
      </c>
      <c r="S128" s="702">
        <v>132.41042655714287</v>
      </c>
      <c r="T128" s="702">
        <v>63.017857142857146</v>
      </c>
      <c r="U128" s="702">
        <v>17.724285941428572</v>
      </c>
      <c r="V128" s="702">
        <v>12.01881</v>
      </c>
      <c r="W128" s="702">
        <v>1.6491428614285712</v>
      </c>
      <c r="X128" s="702">
        <v>74.486427307142861</v>
      </c>
      <c r="Y128" s="702">
        <v>27.218570980000003</v>
      </c>
    </row>
    <row r="129" spans="15:26">
      <c r="P129" s="615">
        <v>21</v>
      </c>
      <c r="Q129" s="702">
        <v>12.832571710859</v>
      </c>
      <c r="R129" s="702">
        <v>8.7072857448032899</v>
      </c>
      <c r="S129" s="702">
        <v>118.96285901750787</v>
      </c>
      <c r="T129" s="702">
        <v>55.553428649902308</v>
      </c>
      <c r="U129" s="702">
        <v>14.547714369637587</v>
      </c>
      <c r="V129" s="702">
        <v>11.963334356035457</v>
      </c>
      <c r="W129" s="702">
        <v>1.6175714560917398</v>
      </c>
      <c r="X129" s="702">
        <v>66.354285648890865</v>
      </c>
      <c r="Y129" s="702">
        <v>17.639571326119512</v>
      </c>
    </row>
    <row r="130" spans="15:26">
      <c r="P130" s="615">
        <v>22</v>
      </c>
      <c r="Q130" s="702">
        <v>11.589857237142857</v>
      </c>
      <c r="R130" s="702">
        <v>7.6087141037142851</v>
      </c>
      <c r="S130" s="702">
        <v>92.527713229999989</v>
      </c>
      <c r="T130" s="702">
        <v>48.85114288285714</v>
      </c>
      <c r="U130" s="702">
        <v>12.851142882857143</v>
      </c>
      <c r="V130" s="702">
        <v>11.972144264285713</v>
      </c>
      <c r="W130" s="702">
        <v>1.7258571555714286</v>
      </c>
      <c r="X130" s="702">
        <v>60.742857795714293</v>
      </c>
      <c r="Y130" s="702">
        <v>13.389714241428573</v>
      </c>
    </row>
    <row r="131" spans="15:26">
      <c r="P131" s="615">
        <v>23</v>
      </c>
      <c r="Q131" s="702">
        <v>10.866000038571428</v>
      </c>
      <c r="R131" s="702">
        <v>6.6898570742857144</v>
      </c>
      <c r="S131" s="702">
        <v>86.262142725714284</v>
      </c>
      <c r="T131" s="702">
        <v>49.02971431142857</v>
      </c>
      <c r="U131" s="702">
        <v>13.300571305714286</v>
      </c>
      <c r="V131" s="702">
        <v>12.060297148571431</v>
      </c>
      <c r="W131" s="702">
        <v>2.2755714314285713</v>
      </c>
      <c r="X131" s="702">
        <v>60.932143074285719</v>
      </c>
      <c r="Y131" s="702">
        <v>13.06000001</v>
      </c>
    </row>
    <row r="132" spans="15:26">
      <c r="O132" s="278">
        <v>24</v>
      </c>
      <c r="P132" s="544">
        <v>24</v>
      </c>
      <c r="Q132" s="702">
        <v>10.893428530011814</v>
      </c>
      <c r="R132" s="702">
        <v>6.3937142235892095</v>
      </c>
      <c r="S132" s="702">
        <v>80.154999869210343</v>
      </c>
      <c r="T132" s="702">
        <v>39.363000052315797</v>
      </c>
      <c r="U132" s="702">
        <v>11.205857140677287</v>
      </c>
      <c r="V132" s="702">
        <v>12.025059972490542</v>
      </c>
      <c r="W132" s="702">
        <v>2.2755714314324473</v>
      </c>
      <c r="X132" s="702">
        <v>56.771429334367994</v>
      </c>
      <c r="Y132" s="702">
        <v>10.094714164733857</v>
      </c>
    </row>
    <row r="133" spans="15:26">
      <c r="P133" s="544">
        <v>25</v>
      </c>
      <c r="Q133" s="702">
        <v>9.7685713087142858</v>
      </c>
      <c r="R133" s="702">
        <v>5.4858571460000007</v>
      </c>
      <c r="S133" s="702">
        <v>71.438000270000003</v>
      </c>
      <c r="T133" s="702">
        <v>31.88514287142857</v>
      </c>
      <c r="U133" s="702">
        <v>9.1724285395714276</v>
      </c>
      <c r="V133" s="702">
        <v>11.867550168571428</v>
      </c>
      <c r="W133" s="702">
        <v>1.7577142885714285</v>
      </c>
      <c r="X133" s="702">
        <v>51.780714305714291</v>
      </c>
      <c r="Y133" s="702">
        <v>9.1595716474285691</v>
      </c>
    </row>
    <row r="134" spans="15:26">
      <c r="P134" s="544">
        <v>26</v>
      </c>
      <c r="Q134" s="702">
        <v>9.3011428291428579</v>
      </c>
      <c r="R134" s="702">
        <v>5.6422856875714285</v>
      </c>
      <c r="S134" s="702">
        <v>70.798141479999998</v>
      </c>
      <c r="T134" s="702">
        <v>29.80342864857143</v>
      </c>
      <c r="U134" s="702">
        <v>8.6642858641428564</v>
      </c>
      <c r="V134" s="702">
        <v>11.961507115714285</v>
      </c>
      <c r="W134" s="702">
        <v>1.7387143204285713</v>
      </c>
      <c r="X134" s="702">
        <v>47.265713828571435</v>
      </c>
      <c r="Y134" s="702">
        <v>8.8348572594285706</v>
      </c>
    </row>
    <row r="135" spans="15:26">
      <c r="P135" s="544">
        <v>27</v>
      </c>
      <c r="Q135" s="702">
        <v>9.0898572376796078</v>
      </c>
      <c r="R135" s="702">
        <v>4.8411428587777223</v>
      </c>
      <c r="S135" s="702">
        <v>72.323284694126613</v>
      </c>
      <c r="T135" s="702">
        <v>28.875142778669062</v>
      </c>
      <c r="U135" s="702">
        <v>8.3150001253400507</v>
      </c>
      <c r="V135" s="702">
        <v>12.125935554504371</v>
      </c>
      <c r="W135" s="702">
        <v>2.0545714242117699</v>
      </c>
      <c r="X135" s="702">
        <v>44.601428440638877</v>
      </c>
      <c r="Y135" s="702">
        <v>8.4665715353829452</v>
      </c>
    </row>
    <row r="136" spans="15:26">
      <c r="P136" s="544">
        <v>28</v>
      </c>
      <c r="Q136" s="702">
        <v>8.3315715788571421</v>
      </c>
      <c r="R136" s="702">
        <v>4.0902857780000001</v>
      </c>
      <c r="S136" s="702">
        <v>70.352427891428562</v>
      </c>
      <c r="T136" s="702">
        <v>27.071428571428573</v>
      </c>
      <c r="U136" s="702">
        <v>7.9792855807142846</v>
      </c>
      <c r="V136" s="702">
        <v>12.036131450000001</v>
      </c>
      <c r="W136" s="702">
        <v>1.862857103571429</v>
      </c>
      <c r="X136" s="702">
        <v>42.742857252857149</v>
      </c>
      <c r="Y136" s="702">
        <v>7.6952857290000001</v>
      </c>
    </row>
    <row r="137" spans="15:26">
      <c r="P137" s="544">
        <v>29</v>
      </c>
      <c r="Q137" s="702">
        <v>8.7399999755714273</v>
      </c>
      <c r="R137" s="702">
        <v>3.3690000857142857</v>
      </c>
      <c r="S137" s="702">
        <v>69.363000051428585</v>
      </c>
      <c r="T137" s="702">
        <v>26.369142805714286</v>
      </c>
      <c r="U137" s="702">
        <v>7.2952857698571441</v>
      </c>
      <c r="V137" s="702">
        <v>12.01250158142857</v>
      </c>
      <c r="W137" s="702">
        <v>2.1428571427142855</v>
      </c>
      <c r="X137" s="702">
        <v>40.262857164285712</v>
      </c>
      <c r="Y137" s="702">
        <v>7.1297142847142867</v>
      </c>
    </row>
    <row r="138" spans="15:26">
      <c r="P138" s="544">
        <v>30</v>
      </c>
      <c r="Q138" s="702">
        <v>8.2612857819999999</v>
      </c>
      <c r="R138" s="702">
        <v>3.9334286622857135</v>
      </c>
      <c r="S138" s="702">
        <v>68.101856775714282</v>
      </c>
      <c r="T138" s="702">
        <v>23.077571325714285</v>
      </c>
      <c r="U138" s="702">
        <v>7.5452858379999999</v>
      </c>
      <c r="V138" s="702">
        <v>12.065415654285715</v>
      </c>
      <c r="W138" s="702">
        <v>2.0148571899999999</v>
      </c>
      <c r="X138" s="702">
        <v>39.827141895714291</v>
      </c>
      <c r="Y138" s="702">
        <v>8.1214285577142853</v>
      </c>
    </row>
    <row r="139" spans="15:26">
      <c r="P139" s="544">
        <v>31</v>
      </c>
      <c r="Q139" s="702">
        <v>7.5295715331428577</v>
      </c>
      <c r="R139" s="702">
        <v>3.8718570981428577</v>
      </c>
      <c r="S139" s="702">
        <v>66.163572037142856</v>
      </c>
      <c r="T139" s="702">
        <v>20.36314283098493</v>
      </c>
      <c r="U139" s="702">
        <v>7.1267142297142865</v>
      </c>
      <c r="V139" s="702">
        <v>12.064045632857143</v>
      </c>
      <c r="W139" s="702">
        <v>2.0708571672857143</v>
      </c>
      <c r="X139" s="702">
        <v>37.761428834285709</v>
      </c>
      <c r="Y139" s="702">
        <v>8.1097143717142863</v>
      </c>
    </row>
    <row r="140" spans="15:26">
      <c r="O140" s="278">
        <v>32</v>
      </c>
      <c r="P140" s="544">
        <v>32</v>
      </c>
      <c r="Q140" s="702">
        <v>7.1332857268197154</v>
      </c>
      <c r="R140" s="702">
        <v>3.9694285733359158</v>
      </c>
      <c r="S140" s="702">
        <v>69.589143480573355</v>
      </c>
      <c r="T140" s="702">
        <v>20.36</v>
      </c>
      <c r="U140" s="702">
        <v>6.828428472791396</v>
      </c>
      <c r="V140" s="702">
        <v>11.89809417724604</v>
      </c>
      <c r="W140" s="702">
        <v>1.7728571551186658</v>
      </c>
      <c r="X140" s="702">
        <v>37.760714394705587</v>
      </c>
      <c r="Y140" s="702">
        <v>10.538714272635294</v>
      </c>
    </row>
    <row r="141" spans="15:26">
      <c r="P141" s="544">
        <v>33</v>
      </c>
      <c r="Q141" s="702">
        <v>7.307000092</v>
      </c>
      <c r="R141" s="702">
        <v>4.0542857307142848</v>
      </c>
      <c r="S141" s="702">
        <v>67.52914374142857</v>
      </c>
      <c r="T141" s="702">
        <v>23.369000025714286</v>
      </c>
      <c r="U141" s="702">
        <v>6.6690000125714279</v>
      </c>
      <c r="V141" s="702">
        <v>11.954105787142856</v>
      </c>
      <c r="W141" s="702">
        <v>1.7154285907142857</v>
      </c>
      <c r="X141" s="702">
        <v>38.402142115714284</v>
      </c>
      <c r="Y141" s="702">
        <v>6.1292857952857149</v>
      </c>
    </row>
    <row r="142" spans="15:26">
      <c r="P142" s="544">
        <v>34</v>
      </c>
      <c r="Q142" s="702">
        <v>6.8864285605714288</v>
      </c>
      <c r="R142" s="702">
        <v>3.8852857181428568</v>
      </c>
      <c r="S142" s="702">
        <v>67.307859692857136</v>
      </c>
      <c r="T142" s="702">
        <v>24.434428622857144</v>
      </c>
      <c r="U142" s="702">
        <v>6.6477142742857138</v>
      </c>
      <c r="V142" s="702">
        <v>11.958392961428572</v>
      </c>
      <c r="W142" s="702">
        <v>2.26100002</v>
      </c>
      <c r="X142" s="702">
        <v>36.792856487142856</v>
      </c>
      <c r="Y142" s="702">
        <v>6.0765714645714288</v>
      </c>
    </row>
    <row r="143" spans="15:26">
      <c r="P143" s="544">
        <v>35</v>
      </c>
      <c r="Q143" s="702">
        <v>6.9537143707275364</v>
      </c>
      <c r="R143" s="702">
        <v>3.3560000147138283</v>
      </c>
      <c r="S143" s="702">
        <v>62.870428357805473</v>
      </c>
      <c r="T143" s="702">
        <v>21.077428545270632</v>
      </c>
      <c r="U143" s="702">
        <v>6.0071428843906904</v>
      </c>
      <c r="V143" s="702">
        <v>12.309941428048228</v>
      </c>
      <c r="W143" s="702">
        <v>1.5178571258272411</v>
      </c>
      <c r="X143" s="702">
        <v>37.991428375244077</v>
      </c>
      <c r="Y143" s="702">
        <v>5.9287142923900031</v>
      </c>
      <c r="Z143" s="703"/>
    </row>
    <row r="144" spans="15:26">
      <c r="P144" s="544">
        <v>36</v>
      </c>
      <c r="Q144" s="702">
        <v>6.8990000316074882</v>
      </c>
      <c r="R144" s="702">
        <v>3.1212857110159686</v>
      </c>
      <c r="S144" s="702">
        <v>65.621286119733483</v>
      </c>
      <c r="T144" s="702">
        <v>23.857142857142815</v>
      </c>
      <c r="U144" s="702">
        <v>6.0528572627476231</v>
      </c>
      <c r="V144" s="702">
        <v>12.697084290640644</v>
      </c>
      <c r="W144" s="702">
        <v>1.0650000040020247</v>
      </c>
      <c r="X144" s="702">
        <v>40.24999999999995</v>
      </c>
      <c r="Y144" s="702">
        <v>6.6625714302062962</v>
      </c>
    </row>
    <row r="145" spans="15:25">
      <c r="P145" s="544">
        <v>37</v>
      </c>
      <c r="Q145" s="702">
        <v>6.6838571003505107</v>
      </c>
      <c r="R145" s="702">
        <v>3.6978571414947474</v>
      </c>
      <c r="S145" s="702">
        <v>65.927430289132204</v>
      </c>
      <c r="T145" s="702">
        <v>21.696428571428545</v>
      </c>
      <c r="U145" s="702">
        <v>5.992857115609298</v>
      </c>
      <c r="V145" s="702">
        <v>12.722499983651257</v>
      </c>
      <c r="W145" s="702">
        <v>1.5737142903464156</v>
      </c>
      <c r="X145" s="702">
        <v>41.220714024135006</v>
      </c>
      <c r="Y145" s="702">
        <v>6.7525714465549971</v>
      </c>
    </row>
    <row r="146" spans="15:25">
      <c r="P146" s="544">
        <v>38</v>
      </c>
      <c r="Q146" s="702">
        <v>7.5399999618530247</v>
      </c>
      <c r="R146" s="702">
        <v>4.336428608285714</v>
      </c>
      <c r="S146" s="702">
        <v>68.259427751813561</v>
      </c>
      <c r="T146" s="702">
        <v>32.958285740443614</v>
      </c>
      <c r="U146" s="702">
        <v>6.3054285049438423</v>
      </c>
      <c r="V146" s="702">
        <v>12.757261548723429</v>
      </c>
      <c r="W146" s="702">
        <v>1.6808571304593714</v>
      </c>
      <c r="X146" s="702">
        <v>38.451428549630243</v>
      </c>
      <c r="Y146" s="702">
        <v>6.3287143026079411</v>
      </c>
    </row>
    <row r="147" spans="15:25">
      <c r="P147" s="544">
        <v>39</v>
      </c>
      <c r="Q147" s="702">
        <v>6.875</v>
      </c>
      <c r="R147" s="702">
        <v>3.7</v>
      </c>
      <c r="S147" s="702">
        <v>75.159429278571437</v>
      </c>
      <c r="T147" s="702">
        <v>41.827428545714284</v>
      </c>
      <c r="U147" s="702">
        <v>7.6855713981428568</v>
      </c>
      <c r="V147" s="702">
        <v>12.744882855714284</v>
      </c>
      <c r="W147" s="702">
        <v>1.6871428661428571</v>
      </c>
      <c r="X147" s="702">
        <v>41.307143075714286</v>
      </c>
      <c r="Y147" s="702">
        <v>7.4534285069999999</v>
      </c>
    </row>
    <row r="148" spans="15:25">
      <c r="O148" s="278">
        <v>40</v>
      </c>
      <c r="P148" s="544">
        <v>40</v>
      </c>
      <c r="Q148" s="702">
        <v>6.0911429268571426</v>
      </c>
      <c r="R148" s="702">
        <v>3.501428569857143</v>
      </c>
      <c r="S148" s="702">
        <v>73.523286004285723</v>
      </c>
      <c r="T148" s="702">
        <v>30.178571428571427</v>
      </c>
      <c r="U148" s="702">
        <v>7.8047143392857157</v>
      </c>
      <c r="V148" s="702">
        <v>13.59601129857143</v>
      </c>
      <c r="W148" s="702">
        <v>1.6130000010000001</v>
      </c>
      <c r="X148" s="702">
        <v>45.036428724285713</v>
      </c>
      <c r="Y148" s="702">
        <v>6.0369999748571432</v>
      </c>
    </row>
    <row r="149" spans="15:25">
      <c r="P149" s="544">
        <v>41</v>
      </c>
      <c r="Q149" s="702">
        <v>5.8652857372857152</v>
      </c>
      <c r="R149" s="702">
        <v>4.2169999735714283</v>
      </c>
      <c r="S149" s="702">
        <v>67.761285509999993</v>
      </c>
      <c r="T149" s="702">
        <v>24.547571454285713</v>
      </c>
      <c r="U149" s="702">
        <v>6.762428624428571</v>
      </c>
      <c r="V149" s="702">
        <v>13.258037294285714</v>
      </c>
      <c r="W149" s="702">
        <v>1.8452857051428571</v>
      </c>
      <c r="X149" s="702">
        <v>44.255714417142862</v>
      </c>
      <c r="Y149" s="702">
        <v>6.8767141612857143</v>
      </c>
    </row>
    <row r="150" spans="15:25">
      <c r="P150" s="544">
        <v>42</v>
      </c>
      <c r="Q150" s="702">
        <v>6.6280000550406255</v>
      </c>
      <c r="R150" s="702">
        <v>4.7599999564034556</v>
      </c>
      <c r="S150" s="702">
        <v>71.132857186453606</v>
      </c>
      <c r="T150" s="702">
        <v>41.773857116699205</v>
      </c>
      <c r="U150" s="702">
        <v>7.8334286553519048</v>
      </c>
      <c r="V150" s="702">
        <v>12.748987061636742</v>
      </c>
      <c r="W150" s="702">
        <v>1.9990000043596503</v>
      </c>
      <c r="X150" s="702">
        <v>49.407857077462303</v>
      </c>
      <c r="Y150" s="702">
        <v>6.4478571755545433</v>
      </c>
    </row>
    <row r="151" spans="15:25">
      <c r="P151" s="544">
        <v>43</v>
      </c>
      <c r="Q151" s="702">
        <v>7.1351429394285715</v>
      </c>
      <c r="R151" s="702">
        <v>5.693714175857143</v>
      </c>
      <c r="S151" s="702">
        <v>76.869857788571409</v>
      </c>
      <c r="T151" s="702">
        <v>39.60114288285714</v>
      </c>
      <c r="U151" s="702">
        <v>6.4934286387142857</v>
      </c>
      <c r="V151" s="702">
        <v>12.771309988571426</v>
      </c>
      <c r="W151" s="702">
        <v>1.5481428758571429</v>
      </c>
      <c r="X151" s="702">
        <v>49.056428090000004</v>
      </c>
      <c r="Y151" s="702">
        <v>6.2457143240000006</v>
      </c>
    </row>
    <row r="152" spans="15:25">
      <c r="P152" s="544">
        <v>44</v>
      </c>
      <c r="Q152" s="702">
        <v>6.1070000102857147</v>
      </c>
      <c r="R152" s="702">
        <v>4.3958570957142857</v>
      </c>
      <c r="S152" s="702">
        <v>68.664999825714276</v>
      </c>
      <c r="T152" s="702">
        <v>36.702285765714286</v>
      </c>
      <c r="U152" s="702">
        <v>5.6301428931428577</v>
      </c>
      <c r="V152" s="702">
        <v>13.156308445714286</v>
      </c>
      <c r="W152" s="702">
        <v>1.4392857041428573</v>
      </c>
      <c r="X152" s="702">
        <v>48.241428374285711</v>
      </c>
      <c r="Y152" s="702">
        <v>6.5374285491428568</v>
      </c>
    </row>
    <row r="153" spans="15:25">
      <c r="P153" s="544">
        <v>45</v>
      </c>
      <c r="Q153" s="702">
        <v>5.6735714502857144</v>
      </c>
      <c r="R153" s="702">
        <v>4.5134285178571432</v>
      </c>
      <c r="S153" s="702">
        <v>62.049999781428575</v>
      </c>
      <c r="T153" s="702">
        <v>27.797571454285713</v>
      </c>
      <c r="U153" s="702">
        <v>5.3054286411428562</v>
      </c>
      <c r="V153" s="702">
        <v>12.687737055714285</v>
      </c>
      <c r="W153" s="702">
        <v>1.380714297142857</v>
      </c>
      <c r="X153" s="702">
        <v>46.33071463571428</v>
      </c>
      <c r="Y153" s="702">
        <v>6.183142798285715</v>
      </c>
    </row>
    <row r="154" spans="15:25">
      <c r="P154" s="544">
        <v>46</v>
      </c>
      <c r="Q154" s="702">
        <v>5.9637143271428581</v>
      </c>
      <c r="R154" s="702">
        <v>5.3014286587142854</v>
      </c>
      <c r="S154" s="702">
        <v>57.546571460000003</v>
      </c>
      <c r="T154" s="702">
        <v>32.208285740000001</v>
      </c>
      <c r="U154" s="702">
        <v>5.1785714285714288</v>
      </c>
      <c r="V154" s="702">
        <v>13.157975741428572</v>
      </c>
      <c r="W154" s="702">
        <v>1.3845714331428574</v>
      </c>
      <c r="X154" s="702">
        <v>44.693571362857142</v>
      </c>
      <c r="Y154" s="702">
        <v>7.3267143794285712</v>
      </c>
    </row>
    <row r="155" spans="15:25">
      <c r="P155" s="544">
        <v>47</v>
      </c>
      <c r="Q155" s="702">
        <v>6.7792857034285712</v>
      </c>
      <c r="R155" s="702">
        <v>3.8094285555714285</v>
      </c>
      <c r="S155" s="702">
        <v>56.944714135714285</v>
      </c>
      <c r="T155" s="702">
        <v>25.351285662857144</v>
      </c>
      <c r="U155" s="702">
        <v>6.1274285315714279</v>
      </c>
      <c r="V155" s="702">
        <v>12.246785572857144</v>
      </c>
      <c r="W155" s="702">
        <v>1.5065714290000003</v>
      </c>
      <c r="X155" s="702">
        <v>42.967857361428564</v>
      </c>
      <c r="Y155" s="702">
        <v>9.6325714934285713</v>
      </c>
    </row>
    <row r="156" spans="15:25">
      <c r="P156" s="544">
        <v>48</v>
      </c>
      <c r="Q156" s="702">
        <v>8.2138571738571429</v>
      </c>
      <c r="R156" s="702">
        <v>5.0787143024285717</v>
      </c>
      <c r="S156" s="702">
        <v>56.829999651428572</v>
      </c>
      <c r="T156" s="702">
        <v>37.994142805714283</v>
      </c>
      <c r="U156" s="702">
        <v>8.188285623714286</v>
      </c>
      <c r="V156" s="702">
        <v>13.367501529999998</v>
      </c>
      <c r="W156" s="702">
        <v>1.0268571504285715</v>
      </c>
      <c r="X156" s="702">
        <v>63.644285474285716</v>
      </c>
      <c r="Y156" s="702">
        <v>13.102857045714286</v>
      </c>
    </row>
    <row r="157" spans="15:25">
      <c r="P157" s="544">
        <v>49</v>
      </c>
      <c r="Q157" s="702">
        <v>17.68042864142857</v>
      </c>
      <c r="R157" s="702">
        <v>12.998142924285714</v>
      </c>
      <c r="S157" s="702">
        <v>90.966000160000007</v>
      </c>
      <c r="T157" s="702">
        <v>88.630856108571422</v>
      </c>
      <c r="U157" s="702">
        <v>14.530285971857142</v>
      </c>
      <c r="V157" s="702">
        <v>13.053452899999998</v>
      </c>
      <c r="W157" s="702">
        <v>1.0737142817142857</v>
      </c>
      <c r="X157" s="702">
        <v>90.734285625714293</v>
      </c>
      <c r="Y157" s="702">
        <v>17.667142595714285</v>
      </c>
    </row>
    <row r="158" spans="15:25">
      <c r="P158" s="544">
        <v>50</v>
      </c>
      <c r="Q158" s="702">
        <v>12.617142812857141</v>
      </c>
      <c r="R158" s="702">
        <v>11.908142771714285</v>
      </c>
      <c r="S158" s="702">
        <v>83.198000225714296</v>
      </c>
      <c r="T158" s="702">
        <v>44.297571454285716</v>
      </c>
      <c r="U158" s="702">
        <v>9.220428467142856</v>
      </c>
      <c r="V158" s="702">
        <v>13.068511554285712</v>
      </c>
      <c r="W158" s="702">
        <v>1.2921428212857144</v>
      </c>
      <c r="X158" s="702">
        <v>57.20714296714285</v>
      </c>
      <c r="Y158" s="702">
        <v>14.238999775714285</v>
      </c>
    </row>
    <row r="159" spans="15:25">
      <c r="P159" s="544">
        <v>51</v>
      </c>
      <c r="Q159" s="702">
        <v>19.502285685714288</v>
      </c>
      <c r="R159" s="702">
        <v>17.91042859142857</v>
      </c>
      <c r="S159" s="702">
        <v>93.582571842857163</v>
      </c>
      <c r="T159" s="702">
        <v>77.60742949714286</v>
      </c>
      <c r="U159" s="702">
        <v>9.7118571817142847</v>
      </c>
      <c r="V159" s="702">
        <v>12.987917082857143</v>
      </c>
      <c r="W159" s="702">
        <v>1.2780000142857142</v>
      </c>
      <c r="X159" s="702">
        <v>76.025713785714288</v>
      </c>
      <c r="Y159" s="702">
        <v>17.224714688571428</v>
      </c>
    </row>
    <row r="160" spans="15:25">
      <c r="O160" s="278">
        <v>52</v>
      </c>
      <c r="P160" s="544">
        <v>52</v>
      </c>
      <c r="Q160" s="702">
        <v>24.478714262857146</v>
      </c>
      <c r="R160" s="702">
        <v>20.052142824285713</v>
      </c>
      <c r="S160" s="702">
        <v>198.89756992857141</v>
      </c>
      <c r="T160" s="702">
        <v>158.34513965714288</v>
      </c>
      <c r="U160" s="702">
        <v>34.910285677142852</v>
      </c>
      <c r="V160" s="702">
        <v>18.967856814285714</v>
      </c>
      <c r="W160" s="702">
        <v>7.1757142371428566</v>
      </c>
      <c r="X160" s="702">
        <v>180.25785610000003</v>
      </c>
      <c r="Y160" s="702">
        <v>54.019857132857133</v>
      </c>
    </row>
    <row r="161" spans="13:35">
      <c r="N161" s="278">
        <v>2021</v>
      </c>
      <c r="P161" s="615">
        <v>1</v>
      </c>
      <c r="Q161" s="702">
        <v>32.471142904285713</v>
      </c>
      <c r="R161" s="702">
        <v>23.040428705714284</v>
      </c>
      <c r="S161" s="616">
        <v>363.19999692857135</v>
      </c>
      <c r="T161" s="616">
        <v>212.58328465714288</v>
      </c>
      <c r="U161" s="702">
        <v>44.205428261428565</v>
      </c>
      <c r="V161" s="702">
        <v>22.357858387142851</v>
      </c>
      <c r="W161" s="702">
        <v>6.7241427552857145</v>
      </c>
      <c r="X161" s="702">
        <v>233.42357307142856</v>
      </c>
      <c r="Y161" s="702">
        <v>70.259001594285721</v>
      </c>
    </row>
    <row r="162" spans="13:35">
      <c r="P162" s="615">
        <v>2</v>
      </c>
      <c r="Q162" s="702">
        <v>29.357571737142859</v>
      </c>
      <c r="R162" s="702">
        <v>22.506999971428574</v>
      </c>
      <c r="S162" s="616">
        <v>323.79400198571426</v>
      </c>
      <c r="T162" s="616">
        <v>154.41086031428571</v>
      </c>
      <c r="U162" s="702">
        <v>27.91428565857143</v>
      </c>
      <c r="V162" s="702">
        <v>16.044107027142857</v>
      </c>
      <c r="W162" s="702">
        <v>3.2384286270000002</v>
      </c>
      <c r="X162" s="702">
        <v>199.51214380000002</v>
      </c>
      <c r="Y162" s="702">
        <v>58.126999447142857</v>
      </c>
    </row>
    <row r="163" spans="13:35">
      <c r="P163" s="615">
        <v>3</v>
      </c>
      <c r="Q163" s="702">
        <v>27.718428745714288</v>
      </c>
      <c r="R163" s="702">
        <v>21.345142638571424</v>
      </c>
      <c r="S163" s="616">
        <v>401.6544320142857</v>
      </c>
      <c r="T163" s="616">
        <v>185.14285714285714</v>
      </c>
      <c r="U163" s="702">
        <v>39.37385668142857</v>
      </c>
      <c r="V163" s="702">
        <v>18.835116929999998</v>
      </c>
      <c r="W163" s="702">
        <v>6.560571466571429</v>
      </c>
      <c r="X163" s="702">
        <v>380.69428361428572</v>
      </c>
      <c r="Y163" s="702">
        <v>74.927428108571434</v>
      </c>
    </row>
    <row r="164" spans="13:35">
      <c r="P164" s="615">
        <v>4</v>
      </c>
      <c r="Q164" s="702">
        <v>30.739285877142859</v>
      </c>
      <c r="R164" s="702">
        <v>24.126143047142854</v>
      </c>
      <c r="S164" s="616">
        <v>367.00971765714274</v>
      </c>
      <c r="T164" s="616">
        <v>156.14856614285716</v>
      </c>
      <c r="U164" s="702">
        <v>23.497714179999999</v>
      </c>
      <c r="V164" s="702">
        <v>16.004641395714284</v>
      </c>
      <c r="W164" s="702">
        <v>5.1067142825714296</v>
      </c>
      <c r="X164" s="702">
        <v>322.4650006857143</v>
      </c>
      <c r="Y164" s="702">
        <v>68.394571574285706</v>
      </c>
    </row>
    <row r="165" spans="13:35" s="568" customFormat="1">
      <c r="M165" s="751"/>
      <c r="N165" s="278"/>
      <c r="O165" s="278"/>
      <c r="P165" s="615">
        <v>5</v>
      </c>
      <c r="Q165" s="702">
        <v>25.584571565714288</v>
      </c>
      <c r="R165" s="702">
        <v>22.874571391428567</v>
      </c>
      <c r="S165" s="616">
        <v>260.95085362857145</v>
      </c>
      <c r="T165" s="616">
        <v>108.66671425714286</v>
      </c>
      <c r="U165" s="702">
        <v>21.321428571428573</v>
      </c>
      <c r="V165" s="702">
        <v>16.024463924285715</v>
      </c>
      <c r="W165" s="702">
        <v>3.1654285022857147</v>
      </c>
      <c r="X165" s="702">
        <v>203.94785854285715</v>
      </c>
      <c r="Y165" s="702">
        <v>56.864572254285704</v>
      </c>
      <c r="Z165" s="278"/>
      <c r="AA165" s="751"/>
      <c r="AB165" s="751"/>
      <c r="AC165" s="751"/>
      <c r="AD165" s="751"/>
      <c r="AE165" s="751"/>
      <c r="AF165" s="751"/>
      <c r="AG165" s="751"/>
      <c r="AH165" s="751"/>
      <c r="AI165" s="751"/>
    </row>
    <row r="166" spans="13:35" s="568" customFormat="1">
      <c r="M166" s="751"/>
      <c r="N166" s="278"/>
      <c r="O166" s="278"/>
      <c r="P166" s="615">
        <v>6</v>
      </c>
      <c r="Q166" s="702">
        <v>18.677976190476191</v>
      </c>
      <c r="R166" s="702">
        <v>19.115142824285716</v>
      </c>
      <c r="S166" s="616">
        <v>266.1391427142857</v>
      </c>
      <c r="T166" s="616">
        <v>132.98228671428572</v>
      </c>
      <c r="U166" s="702">
        <v>30.396999359999999</v>
      </c>
      <c r="V166" s="702">
        <v>15.963094302857142</v>
      </c>
      <c r="W166" s="702">
        <v>5.8411428927142861</v>
      </c>
      <c r="X166" s="702">
        <v>317.90785435714287</v>
      </c>
      <c r="Y166" s="702">
        <v>60.405000412857149</v>
      </c>
      <c r="Z166" s="278"/>
      <c r="AA166" s="751"/>
      <c r="AB166" s="751"/>
      <c r="AC166" s="751"/>
      <c r="AD166" s="751"/>
      <c r="AE166" s="751"/>
      <c r="AF166" s="751"/>
      <c r="AG166" s="751"/>
      <c r="AH166" s="751"/>
      <c r="AI166" s="751"/>
    </row>
    <row r="167" spans="13:35" s="568" customFormat="1">
      <c r="M167" s="751"/>
      <c r="N167" s="278"/>
      <c r="O167" s="278"/>
      <c r="P167" s="615">
        <v>7</v>
      </c>
      <c r="Q167" s="702">
        <v>18.677976190476191</v>
      </c>
      <c r="R167" s="702">
        <v>18.677976190476191</v>
      </c>
      <c r="S167" s="616">
        <v>231.286666666667</v>
      </c>
      <c r="T167" s="616">
        <v>91.321428571428569</v>
      </c>
      <c r="U167" s="702">
        <v>18.5625</v>
      </c>
      <c r="V167" s="702">
        <v>14.07</v>
      </c>
      <c r="W167" s="702">
        <v>3.3580000000000001</v>
      </c>
      <c r="X167" s="702">
        <v>339.78</v>
      </c>
      <c r="Y167" s="702">
        <v>76.87</v>
      </c>
      <c r="Z167" s="278"/>
      <c r="AA167" s="751"/>
      <c r="AB167" s="751"/>
      <c r="AC167" s="751"/>
      <c r="AD167" s="751"/>
      <c r="AE167" s="751"/>
      <c r="AF167" s="751"/>
      <c r="AG167" s="751"/>
      <c r="AH167" s="751"/>
      <c r="AI167" s="751"/>
    </row>
    <row r="168" spans="13:35" s="568" customFormat="1">
      <c r="M168" s="751"/>
      <c r="N168" s="278"/>
      <c r="O168" s="278"/>
      <c r="P168" s="615">
        <v>8</v>
      </c>
      <c r="Q168" s="702">
        <v>15.895833333333314</v>
      </c>
      <c r="R168" s="702">
        <v>8.1069999999999993</v>
      </c>
      <c r="S168" s="616">
        <v>131.62660714285707</v>
      </c>
      <c r="T168" s="616">
        <v>104.375</v>
      </c>
      <c r="U168" s="702">
        <v>21.619</v>
      </c>
      <c r="V168" s="702">
        <v>13.162619047619055</v>
      </c>
      <c r="W168" s="702">
        <v>2.181</v>
      </c>
      <c r="X168" s="702">
        <v>264.85700000000003</v>
      </c>
      <c r="Y168" s="702">
        <v>119.958</v>
      </c>
      <c r="Z168" s="278"/>
      <c r="AA168" s="751"/>
      <c r="AB168" s="751"/>
      <c r="AC168" s="751"/>
      <c r="AD168" s="751"/>
      <c r="AE168" s="751"/>
      <c r="AF168" s="751"/>
      <c r="AG168" s="751"/>
      <c r="AH168" s="751"/>
      <c r="AI168" s="751"/>
    </row>
    <row r="169" spans="13:35" s="568" customFormat="1">
      <c r="M169" s="751"/>
      <c r="N169" s="278"/>
      <c r="O169" s="278"/>
      <c r="P169" s="615">
        <v>9</v>
      </c>
      <c r="Q169" s="702">
        <v>16.03157152448377</v>
      </c>
      <c r="R169" s="702">
        <v>10.70885712759833</v>
      </c>
      <c r="S169" s="616">
        <v>115.81614358084498</v>
      </c>
      <c r="T169" s="616">
        <v>81.571428571428527</v>
      </c>
      <c r="U169" s="702">
        <v>19.778999873570012</v>
      </c>
      <c r="V169" s="702">
        <v>11.839642660958372</v>
      </c>
      <c r="W169" s="702">
        <v>2.5798570939472714</v>
      </c>
      <c r="X169" s="702">
        <v>195.40928431919602</v>
      </c>
      <c r="Y169" s="702">
        <v>71.76285661969861</v>
      </c>
      <c r="Z169" s="278"/>
      <c r="AA169" s="751"/>
      <c r="AB169" s="751"/>
      <c r="AC169" s="751"/>
      <c r="AD169" s="751"/>
      <c r="AE169" s="751"/>
      <c r="AF169" s="751"/>
      <c r="AG169" s="751"/>
      <c r="AH169" s="751"/>
      <c r="AI169" s="751"/>
    </row>
    <row r="170" spans="13:35" s="568" customFormat="1">
      <c r="M170" s="751"/>
      <c r="N170" s="278"/>
      <c r="O170" s="278"/>
      <c r="P170" s="615">
        <v>10</v>
      </c>
      <c r="Q170" s="702">
        <v>28.276142392857142</v>
      </c>
      <c r="R170" s="702">
        <v>21.731714248571429</v>
      </c>
      <c r="S170" s="616">
        <v>254.39099884285716</v>
      </c>
      <c r="T170" s="616">
        <v>146.17256928571427</v>
      </c>
      <c r="U170" s="702">
        <v>29.352285658571429</v>
      </c>
      <c r="V170" s="702">
        <v>10.568511418142858</v>
      </c>
      <c r="W170" s="702">
        <v>2.1962857415714288</v>
      </c>
      <c r="X170" s="702">
        <v>212.2000013</v>
      </c>
      <c r="Y170" s="702">
        <v>56.04871422714286</v>
      </c>
      <c r="Z170" s="278"/>
      <c r="AA170" s="751"/>
      <c r="AB170" s="751"/>
      <c r="AC170" s="751"/>
      <c r="AD170" s="751"/>
      <c r="AE170" s="751"/>
      <c r="AF170" s="751"/>
      <c r="AG170" s="751"/>
      <c r="AH170" s="751"/>
      <c r="AI170" s="751"/>
    </row>
    <row r="171" spans="13:35" s="568" customFormat="1">
      <c r="M171" s="751"/>
      <c r="N171" s="278"/>
      <c r="O171" s="278"/>
      <c r="P171" s="615">
        <v>11</v>
      </c>
      <c r="Q171" s="702">
        <v>28.634571619999999</v>
      </c>
      <c r="R171" s="702">
        <v>21.524857657142856</v>
      </c>
      <c r="S171" s="616">
        <v>320.82542418571427</v>
      </c>
      <c r="T171" s="616">
        <v>138.12514602857144</v>
      </c>
      <c r="U171" s="702">
        <v>28.100000654285715</v>
      </c>
      <c r="V171" s="702">
        <v>11.367022922857142</v>
      </c>
      <c r="W171" s="702">
        <v>2.7152857098571426</v>
      </c>
      <c r="X171" s="702">
        <v>229.93857247142856</v>
      </c>
      <c r="Y171" s="702">
        <v>63.309571402857145</v>
      </c>
      <c r="Z171" s="278"/>
      <c r="AA171" s="751"/>
      <c r="AB171" s="751"/>
      <c r="AC171" s="751"/>
      <c r="AD171" s="751"/>
      <c r="AE171" s="751"/>
      <c r="AF171" s="751"/>
      <c r="AG171" s="751"/>
      <c r="AH171" s="751"/>
      <c r="AI171" s="751"/>
    </row>
    <row r="172" spans="13:35" s="568" customFormat="1">
      <c r="M172" s="751"/>
      <c r="N172" s="278"/>
      <c r="O172" s="278"/>
      <c r="P172" s="615">
        <v>12</v>
      </c>
      <c r="Q172" s="702">
        <v>28.223285404285715</v>
      </c>
      <c r="R172" s="702">
        <v>22.087285995714286</v>
      </c>
      <c r="S172" s="616">
        <v>295.67700197142852</v>
      </c>
      <c r="T172" s="616">
        <v>176.22028785714286</v>
      </c>
      <c r="U172" s="702">
        <v>43.393999101428577</v>
      </c>
      <c r="V172" s="702">
        <v>14.060239925714285</v>
      </c>
      <c r="W172" s="702">
        <v>3.625</v>
      </c>
      <c r="X172" s="702">
        <v>287.37429152857146</v>
      </c>
      <c r="Y172" s="702">
        <v>68.27</v>
      </c>
      <c r="Z172" s="278"/>
      <c r="AA172" s="751"/>
      <c r="AB172" s="751"/>
      <c r="AC172" s="751"/>
      <c r="AD172" s="751"/>
      <c r="AE172" s="751"/>
      <c r="AF172" s="751"/>
      <c r="AG172" s="751"/>
      <c r="AH172" s="751"/>
      <c r="AI172" s="751"/>
    </row>
    <row r="173" spans="13:35" s="568" customFormat="1">
      <c r="M173" s="751"/>
      <c r="N173" s="278"/>
      <c r="O173" s="278">
        <v>13</v>
      </c>
      <c r="P173" s="615">
        <v>13</v>
      </c>
      <c r="Q173" s="702">
        <v>27.516571317142855</v>
      </c>
      <c r="R173" s="702">
        <v>23.321285792857143</v>
      </c>
      <c r="S173" s="616">
        <v>358.4028538428571</v>
      </c>
      <c r="T173" s="616">
        <v>161.61914497142857</v>
      </c>
      <c r="U173" s="702">
        <v>39.082286288571431</v>
      </c>
      <c r="V173" s="702">
        <v>20.107797215142853</v>
      </c>
      <c r="W173" s="702">
        <v>4.0744285582857147</v>
      </c>
      <c r="X173" s="702">
        <v>292.37857055714284</v>
      </c>
      <c r="Y173" s="702">
        <v>61.654713765714291</v>
      </c>
      <c r="Z173" s="278"/>
      <c r="AA173" s="751"/>
      <c r="AB173" s="751"/>
      <c r="AC173" s="751"/>
      <c r="AD173" s="751"/>
      <c r="AE173" s="751"/>
      <c r="AF173" s="751"/>
      <c r="AG173" s="751"/>
      <c r="AH173" s="751"/>
      <c r="AI173" s="751"/>
    </row>
    <row r="174" spans="13:35" s="568" customFormat="1">
      <c r="M174" s="751"/>
      <c r="N174" s="278"/>
      <c r="O174" s="278"/>
      <c r="P174" s="615">
        <v>14</v>
      </c>
      <c r="Q174" s="702">
        <v>29.126714707142856</v>
      </c>
      <c r="R174" s="702">
        <v>26.810000011428574</v>
      </c>
      <c r="S174" s="616">
        <v>415.37771607142855</v>
      </c>
      <c r="T174" s="616">
        <v>180.97614180000002</v>
      </c>
      <c r="U174" s="702">
        <v>40.325571332857145</v>
      </c>
      <c r="V174" s="702">
        <v>23.453333172857139</v>
      </c>
      <c r="W174" s="702">
        <v>2.8194285800000003</v>
      </c>
      <c r="X174" s="702">
        <v>281.81714740000001</v>
      </c>
      <c r="Y174" s="702">
        <v>68.710573468571425</v>
      </c>
      <c r="Z174" s="278"/>
      <c r="AA174" s="751"/>
      <c r="AB174" s="751"/>
      <c r="AC174" s="751"/>
      <c r="AD174" s="751"/>
      <c r="AE174" s="751"/>
      <c r="AF174" s="751"/>
      <c r="AG174" s="751"/>
      <c r="AH174" s="751"/>
      <c r="AI174" s="751"/>
    </row>
    <row r="175" spans="13:35" s="568" customFormat="1">
      <c r="M175" s="751"/>
      <c r="N175" s="278"/>
      <c r="O175" s="278"/>
      <c r="P175" s="615">
        <v>15</v>
      </c>
      <c r="Q175" s="702">
        <v>28.420428685714288</v>
      </c>
      <c r="R175" s="702">
        <v>22.159857068571426</v>
      </c>
      <c r="S175" s="616">
        <v>388.02957154285713</v>
      </c>
      <c r="T175" s="616">
        <v>187.79186137142855</v>
      </c>
      <c r="U175" s="702">
        <v>52.19757080285715</v>
      </c>
      <c r="V175" s="702">
        <v>23.194762912857147</v>
      </c>
      <c r="W175" s="702">
        <v>2.7518571105714291</v>
      </c>
      <c r="X175" s="702">
        <v>319.64357211428575</v>
      </c>
      <c r="Y175" s="702">
        <v>74.239000592857138</v>
      </c>
      <c r="Z175" s="278"/>
      <c r="AA175" s="751"/>
      <c r="AB175" s="751"/>
      <c r="AC175" s="751"/>
      <c r="AD175" s="751"/>
      <c r="AE175" s="751"/>
      <c r="AF175" s="751"/>
      <c r="AG175" s="751"/>
      <c r="AH175" s="751"/>
      <c r="AI175" s="751"/>
    </row>
    <row r="176" spans="13:35" s="568" customFormat="1">
      <c r="M176" s="751"/>
      <c r="N176" s="278"/>
      <c r="O176" s="278"/>
      <c r="P176" s="615">
        <v>16</v>
      </c>
      <c r="Q176" s="702">
        <v>21.880999702857146</v>
      </c>
      <c r="R176" s="702">
        <v>20.447000231428571</v>
      </c>
      <c r="S176" s="616">
        <v>189.56900242857142</v>
      </c>
      <c r="T176" s="616">
        <v>107.50585611428572</v>
      </c>
      <c r="U176" s="702">
        <v>28.65042877285714</v>
      </c>
      <c r="V176" s="702">
        <v>18.780238424285709</v>
      </c>
      <c r="W176" s="702">
        <v>1.8839999778571432</v>
      </c>
      <c r="X176" s="702">
        <v>174.665717</v>
      </c>
      <c r="Y176" s="702">
        <v>39.415857042857148</v>
      </c>
      <c r="Z176" s="278"/>
      <c r="AA176" s="751"/>
      <c r="AB176" s="751"/>
      <c r="AC176" s="751"/>
      <c r="AD176" s="751"/>
      <c r="AE176" s="751"/>
      <c r="AF176" s="751"/>
      <c r="AG176" s="751"/>
      <c r="AH176" s="751"/>
      <c r="AI176" s="751"/>
    </row>
    <row r="177" spans="13:35" s="568" customFormat="1">
      <c r="M177" s="751"/>
      <c r="N177" s="278"/>
      <c r="O177" s="278"/>
      <c r="P177" s="615">
        <v>17</v>
      </c>
      <c r="Q177" s="702">
        <v>18.000999994285714</v>
      </c>
      <c r="R177" s="702">
        <v>14.095428602857144</v>
      </c>
      <c r="S177" s="616">
        <v>140.97214290000002</v>
      </c>
      <c r="T177" s="616">
        <v>90.738142825714277</v>
      </c>
      <c r="U177" s="702">
        <v>20.563142504285715</v>
      </c>
      <c r="V177" s="702">
        <v>13.920417241428572</v>
      </c>
      <c r="W177" s="702">
        <v>1.7985714162857143</v>
      </c>
      <c r="X177" s="702">
        <v>112.05499922142857</v>
      </c>
      <c r="Y177" s="702">
        <v>25.886856898571434</v>
      </c>
      <c r="Z177" s="278"/>
      <c r="AA177" s="751"/>
      <c r="AB177" s="751"/>
      <c r="AC177" s="751"/>
      <c r="AD177" s="751"/>
      <c r="AE177" s="751"/>
      <c r="AF177" s="751"/>
      <c r="AG177" s="751"/>
      <c r="AH177" s="751"/>
      <c r="AI177" s="751"/>
    </row>
    <row r="178" spans="13:35" s="568" customFormat="1">
      <c r="M178" s="751"/>
      <c r="N178" s="278"/>
      <c r="O178" s="278"/>
      <c r="P178" s="615">
        <v>18</v>
      </c>
      <c r="Q178" s="702">
        <v>16.076714378571427</v>
      </c>
      <c r="R178" s="702">
        <v>12.509142604285715</v>
      </c>
      <c r="S178" s="616">
        <v>114.69700078571428</v>
      </c>
      <c r="T178" s="616">
        <v>67.130999974285714</v>
      </c>
      <c r="U178" s="702">
        <v>16.68214280285714</v>
      </c>
      <c r="V178" s="702">
        <v>10.773084301857143</v>
      </c>
      <c r="W178" s="702">
        <v>1.8058571475714285</v>
      </c>
      <c r="X178" s="702">
        <v>79.242856705714289</v>
      </c>
      <c r="Y178" s="702">
        <v>19.646428789999998</v>
      </c>
      <c r="Z178" s="278"/>
      <c r="AA178" s="751"/>
      <c r="AB178" s="751"/>
      <c r="AC178" s="751"/>
      <c r="AD178" s="751"/>
      <c r="AE178" s="751"/>
      <c r="AF178" s="751"/>
      <c r="AG178" s="751"/>
      <c r="AH178" s="751"/>
      <c r="AI178" s="751"/>
    </row>
    <row r="179" spans="13:35" s="568" customFormat="1">
      <c r="M179" s="751"/>
      <c r="N179" s="278"/>
      <c r="O179" s="278"/>
      <c r="P179" s="615">
        <v>19</v>
      </c>
      <c r="Q179" s="702">
        <v>15.213571411428573</v>
      </c>
      <c r="R179" s="702">
        <v>8.5715713499999993</v>
      </c>
      <c r="S179" s="616">
        <v>99.656284881428547</v>
      </c>
      <c r="T179" s="616">
        <v>64.428571428571431</v>
      </c>
      <c r="U179" s="702">
        <v>17.039285524285713</v>
      </c>
      <c r="V179" s="702">
        <v>11.989167077142856</v>
      </c>
      <c r="W179" s="702">
        <v>1.8551428488571429</v>
      </c>
      <c r="X179" s="702">
        <v>73.040000915714288</v>
      </c>
      <c r="Y179" s="702">
        <v>16.286999974285717</v>
      </c>
      <c r="Z179" s="278"/>
      <c r="AA179" s="751"/>
      <c r="AB179" s="751"/>
      <c r="AC179" s="751"/>
      <c r="AD179" s="751"/>
      <c r="AE179" s="751"/>
      <c r="AF179" s="751"/>
      <c r="AG179" s="751"/>
      <c r="AH179" s="751"/>
      <c r="AI179" s="751"/>
    </row>
    <row r="180" spans="13:35" s="568" customFormat="1">
      <c r="M180" s="751"/>
      <c r="N180" s="278"/>
      <c r="O180" s="278"/>
      <c r="P180" s="615">
        <v>20</v>
      </c>
      <c r="Q180" s="702">
        <v>14.241714205714286</v>
      </c>
      <c r="R180" s="702">
        <v>7.0702857972857149</v>
      </c>
      <c r="S180" s="616">
        <v>88.480572290000026</v>
      </c>
      <c r="T180" s="616">
        <v>61.482142857142854</v>
      </c>
      <c r="U180" s="702">
        <v>13.813714164285713</v>
      </c>
      <c r="V180" s="702">
        <v>12.071368352857144</v>
      </c>
      <c r="W180" s="702">
        <v>1.7121428761428572</v>
      </c>
      <c r="X180" s="702">
        <v>68.874286108571425</v>
      </c>
      <c r="Y180" s="702">
        <v>14.018428667142857</v>
      </c>
      <c r="Z180" s="278"/>
      <c r="AA180" s="751"/>
      <c r="AB180" s="751"/>
      <c r="AC180" s="751"/>
      <c r="AD180" s="751"/>
      <c r="AE180" s="751"/>
      <c r="AF180" s="751"/>
      <c r="AG180" s="751"/>
      <c r="AH180" s="751"/>
      <c r="AI180" s="751"/>
    </row>
    <row r="181" spans="13:35" s="568" customFormat="1">
      <c r="M181" s="751"/>
      <c r="N181" s="278"/>
      <c r="O181" s="278"/>
      <c r="P181" s="615">
        <v>21</v>
      </c>
      <c r="Q181" s="702">
        <v>14.091571398571428</v>
      </c>
      <c r="R181" s="702">
        <v>7.0830000470000005</v>
      </c>
      <c r="S181" s="616">
        <v>98.34657178714285</v>
      </c>
      <c r="T181" s="616">
        <v>63.72614288285714</v>
      </c>
      <c r="U181" s="702">
        <v>14.927285738571429</v>
      </c>
      <c r="V181" s="702">
        <v>12.066725457142857</v>
      </c>
      <c r="W181" s="702">
        <v>1.9470000094285715</v>
      </c>
      <c r="X181" s="702">
        <v>68.332856858571418</v>
      </c>
      <c r="Y181" s="702">
        <v>14.466285705714286</v>
      </c>
      <c r="Z181" s="278"/>
      <c r="AA181" s="751"/>
      <c r="AB181" s="751"/>
      <c r="AC181" s="751"/>
      <c r="AD181" s="751"/>
      <c r="AE181" s="751"/>
      <c r="AF181" s="751"/>
      <c r="AG181" s="751"/>
      <c r="AH181" s="751"/>
      <c r="AI181" s="751"/>
    </row>
    <row r="182" spans="13:35" s="568" customFormat="1">
      <c r="M182" s="751"/>
      <c r="N182" s="278"/>
      <c r="O182" s="278"/>
      <c r="P182" s="615">
        <v>22</v>
      </c>
      <c r="Q182" s="702">
        <v>12.206428662857144</v>
      </c>
      <c r="R182" s="702">
        <v>6.5260000228571426</v>
      </c>
      <c r="S182" s="616">
        <v>88.19400133428573</v>
      </c>
      <c r="T182" s="616">
        <v>49.041857040000004</v>
      </c>
      <c r="U182" s="702">
        <v>12.11642851</v>
      </c>
      <c r="V182" s="702">
        <v>12.046847342857143</v>
      </c>
      <c r="W182" s="702">
        <v>1.9281428372857143</v>
      </c>
      <c r="X182" s="702">
        <v>60.234999522857144</v>
      </c>
      <c r="Y182" s="702">
        <v>11.637142864285716</v>
      </c>
      <c r="Z182" s="278"/>
      <c r="AA182" s="751"/>
      <c r="AB182" s="751"/>
      <c r="AC182" s="751"/>
      <c r="AD182" s="751"/>
      <c r="AE182" s="751"/>
      <c r="AF182" s="751"/>
      <c r="AG182" s="751"/>
      <c r="AH182" s="751"/>
      <c r="AI182" s="751"/>
    </row>
    <row r="183" spans="13:35" s="568" customFormat="1">
      <c r="M183" s="751"/>
      <c r="N183" s="278"/>
      <c r="O183" s="278"/>
      <c r="P183" s="615">
        <v>23</v>
      </c>
      <c r="Q183" s="702">
        <v>10.714285714285714</v>
      </c>
      <c r="R183" s="702">
        <v>6.0984286581428568</v>
      </c>
      <c r="S183" s="616">
        <v>67.392570495714281</v>
      </c>
      <c r="T183" s="616">
        <v>49.232000077142857</v>
      </c>
      <c r="U183" s="702">
        <v>10.973142897142859</v>
      </c>
      <c r="V183" s="702">
        <v>12.030653000000001</v>
      </c>
      <c r="W183" s="702">
        <v>1.8262857195714286</v>
      </c>
      <c r="X183" s="702">
        <v>55.279285977142862</v>
      </c>
      <c r="Y183" s="702">
        <v>10.373285701857142</v>
      </c>
      <c r="Z183" s="278"/>
      <c r="AA183" s="751"/>
      <c r="AB183" s="751"/>
      <c r="AC183" s="751"/>
      <c r="AD183" s="751"/>
      <c r="AE183" s="751"/>
      <c r="AF183" s="751"/>
      <c r="AG183" s="751"/>
      <c r="AH183" s="751"/>
      <c r="AI183" s="751"/>
    </row>
    <row r="184" spans="13:35" s="568" customFormat="1">
      <c r="M184" s="751"/>
      <c r="N184" s="278"/>
      <c r="O184" s="278"/>
      <c r="P184" s="615">
        <v>24</v>
      </c>
      <c r="Q184" s="702">
        <v>10.648285731428571</v>
      </c>
      <c r="R184" s="702">
        <v>5.3554284574285722</v>
      </c>
      <c r="S184" s="616">
        <v>74.302856445714283</v>
      </c>
      <c r="T184" s="616">
        <v>54.952285765714286</v>
      </c>
      <c r="U184" s="702">
        <v>10.649856976285715</v>
      </c>
      <c r="V184" s="702">
        <v>11.902322768571427</v>
      </c>
      <c r="W184" s="702">
        <v>1.3272857154285713</v>
      </c>
      <c r="X184" s="702">
        <v>49.072856904285722</v>
      </c>
      <c r="Y184" s="702">
        <v>9.3365716934285707</v>
      </c>
      <c r="Z184" s="278"/>
      <c r="AA184" s="751"/>
      <c r="AB184" s="751"/>
      <c r="AC184" s="751"/>
      <c r="AD184" s="751"/>
      <c r="AE184" s="751"/>
      <c r="AF184" s="751"/>
      <c r="AG184" s="751"/>
      <c r="AH184" s="751"/>
      <c r="AI184" s="751"/>
    </row>
    <row r="185" spans="13:35" s="568" customFormat="1">
      <c r="M185" s="751"/>
      <c r="N185" s="278"/>
      <c r="O185" s="278"/>
      <c r="P185" s="615">
        <v>25</v>
      </c>
      <c r="Q185" s="702">
        <v>10.931000164428569</v>
      </c>
      <c r="R185" s="702">
        <v>6.0032857149999996</v>
      </c>
      <c r="S185" s="616">
        <v>70.370715551428574</v>
      </c>
      <c r="T185" s="616">
        <v>39.565571377142859</v>
      </c>
      <c r="U185" s="702">
        <v>8.8067141942857141</v>
      </c>
      <c r="V185" s="702">
        <v>11.966488567142857</v>
      </c>
      <c r="W185" s="702">
        <v>1.2890000087142857</v>
      </c>
      <c r="X185" s="702">
        <v>43.960000174285717</v>
      </c>
      <c r="Y185" s="702">
        <v>8.5024284634285721</v>
      </c>
      <c r="Z185" s="278"/>
      <c r="AA185" s="751"/>
      <c r="AB185" s="751"/>
      <c r="AC185" s="751"/>
      <c r="AD185" s="751"/>
      <c r="AE185" s="751"/>
      <c r="AF185" s="751"/>
      <c r="AG185" s="751"/>
      <c r="AH185" s="751"/>
      <c r="AI185" s="751"/>
    </row>
    <row r="186" spans="13:35" s="568" customFormat="1">
      <c r="M186" s="751"/>
      <c r="N186" s="278"/>
      <c r="O186" s="278">
        <v>26</v>
      </c>
      <c r="P186" s="615">
        <v>26</v>
      </c>
      <c r="Q186" s="702">
        <v>9.871286118714286</v>
      </c>
      <c r="R186" s="702">
        <v>4.9715714455714286</v>
      </c>
      <c r="S186" s="616">
        <v>60.400571005714291</v>
      </c>
      <c r="T186" s="616">
        <v>43.083285740000001</v>
      </c>
      <c r="U186" s="702">
        <v>8.6310001098571423</v>
      </c>
      <c r="V186" s="702">
        <v>11.885477065714285</v>
      </c>
      <c r="W186" s="702">
        <v>1.732857125</v>
      </c>
      <c r="X186" s="702">
        <v>41.416428701428572</v>
      </c>
      <c r="Y186" s="702">
        <v>7.8322857448571428</v>
      </c>
      <c r="Z186" s="278"/>
      <c r="AA186" s="751"/>
      <c r="AB186" s="751"/>
      <c r="AC186" s="751"/>
      <c r="AD186" s="751"/>
      <c r="AE186" s="751"/>
      <c r="AF186" s="751"/>
      <c r="AG186" s="751"/>
      <c r="AH186" s="751"/>
      <c r="AI186" s="751"/>
    </row>
    <row r="187" spans="13:35" s="568" customFormat="1">
      <c r="M187" s="751"/>
      <c r="N187" s="278"/>
      <c r="O187" s="278"/>
      <c r="P187" s="615">
        <v>27</v>
      </c>
      <c r="Q187" s="702">
        <v>9.2658571514285715</v>
      </c>
      <c r="R187" s="702">
        <v>4.8162857462857147</v>
      </c>
      <c r="S187" s="616">
        <v>66.665999275714285</v>
      </c>
      <c r="T187" s="616">
        <v>33.029857091428575</v>
      </c>
      <c r="U187" s="702">
        <v>7.6702857698571432</v>
      </c>
      <c r="V187" s="702">
        <v>11.995894294285714</v>
      </c>
      <c r="W187" s="702">
        <v>1.8799999952857143</v>
      </c>
      <c r="X187" s="702">
        <v>38.669285909999992</v>
      </c>
      <c r="Y187" s="702">
        <v>7.0652857510000002</v>
      </c>
      <c r="Z187" s="278"/>
      <c r="AA187" s="751"/>
      <c r="AB187" s="751"/>
      <c r="AC187" s="751"/>
      <c r="AD187" s="751"/>
      <c r="AE187" s="751"/>
      <c r="AF187" s="751"/>
      <c r="AG187" s="751"/>
      <c r="AH187" s="751"/>
      <c r="AI187" s="751"/>
    </row>
    <row r="188" spans="13:35" s="568" customFormat="1">
      <c r="M188" s="751"/>
      <c r="N188" s="278"/>
      <c r="O188" s="278"/>
      <c r="P188" s="615">
        <v>28</v>
      </c>
      <c r="Q188" s="702">
        <v>8.3581429888571428</v>
      </c>
      <c r="R188" s="702">
        <v>4.1457142830000002</v>
      </c>
      <c r="S188" s="616">
        <v>66.009428840000012</v>
      </c>
      <c r="T188" s="616">
        <v>29.922571454285713</v>
      </c>
      <c r="U188" s="702">
        <v>6.9708570752857142</v>
      </c>
      <c r="V188" s="702">
        <v>11.927797181428572</v>
      </c>
      <c r="W188" s="702">
        <v>1.8718571149999998</v>
      </c>
      <c r="X188" s="702">
        <v>36.412143161428574</v>
      </c>
      <c r="Y188" s="702">
        <v>6.2407143457142853</v>
      </c>
      <c r="Z188" s="278"/>
      <c r="AA188" s="751"/>
      <c r="AB188" s="751"/>
      <c r="AC188" s="751"/>
      <c r="AD188" s="751"/>
      <c r="AE188" s="751"/>
      <c r="AF188" s="751"/>
      <c r="AG188" s="751"/>
      <c r="AH188" s="751"/>
      <c r="AI188" s="751"/>
    </row>
    <row r="189" spans="13:35" s="568" customFormat="1">
      <c r="M189" s="751"/>
      <c r="N189" s="278"/>
      <c r="O189" s="278"/>
      <c r="P189" s="615">
        <v>29</v>
      </c>
      <c r="Q189" s="702">
        <v>8.2642856324285709</v>
      </c>
      <c r="R189" s="702">
        <v>4.2404285498571426</v>
      </c>
      <c r="S189" s="616">
        <v>61.976286207142856</v>
      </c>
      <c r="T189" s="616">
        <v>30.851285662857144</v>
      </c>
      <c r="U189" s="702">
        <v>7.1941427504285702</v>
      </c>
      <c r="V189" s="702">
        <v>12.045535904285714</v>
      </c>
      <c r="W189" s="702">
        <v>1.7868571450000001</v>
      </c>
      <c r="X189" s="702">
        <v>36.787142614285713</v>
      </c>
      <c r="Y189" s="702">
        <v>6.221285752</v>
      </c>
      <c r="Z189" s="278"/>
      <c r="AA189" s="751"/>
      <c r="AB189" s="751"/>
      <c r="AC189" s="751"/>
      <c r="AD189" s="751"/>
      <c r="AE189" s="751"/>
      <c r="AF189" s="751"/>
      <c r="AG189" s="751"/>
      <c r="AH189" s="751"/>
      <c r="AI189" s="751"/>
    </row>
    <row r="190" spans="13:35" s="568" customFormat="1">
      <c r="M190" s="751"/>
      <c r="N190" s="278"/>
      <c r="O190" s="278"/>
      <c r="P190" s="615">
        <v>30</v>
      </c>
      <c r="Q190" s="702">
        <v>7.629714148142857</v>
      </c>
      <c r="R190" s="702">
        <v>3.9339999471428575</v>
      </c>
      <c r="S190" s="616">
        <v>56.385429927142859</v>
      </c>
      <c r="T190" s="616">
        <v>26.327428545714287</v>
      </c>
      <c r="U190" s="702">
        <v>6.6857143130000001</v>
      </c>
      <c r="V190" s="702">
        <v>11.927261488571427</v>
      </c>
      <c r="W190" s="702">
        <v>1.8862856968571431</v>
      </c>
      <c r="X190" s="702">
        <v>39.564285824285712</v>
      </c>
      <c r="Y190" s="702">
        <v>5.7022857667142848</v>
      </c>
      <c r="Z190" s="278"/>
      <c r="AA190" s="751"/>
      <c r="AB190" s="751"/>
      <c r="AC190" s="751"/>
      <c r="AD190" s="751"/>
      <c r="AE190" s="751"/>
      <c r="AF190" s="751"/>
      <c r="AG190" s="751"/>
      <c r="AH190" s="751"/>
      <c r="AI190" s="751"/>
    </row>
    <row r="191" spans="13:35" s="568" customFormat="1">
      <c r="M191" s="751"/>
      <c r="N191" s="278"/>
      <c r="O191" s="278"/>
      <c r="P191" s="615">
        <v>31</v>
      </c>
      <c r="Q191" s="702">
        <v>7.8445713860000001</v>
      </c>
      <c r="R191" s="702">
        <v>4.2642856665714284</v>
      </c>
      <c r="S191" s="616">
        <v>63.196000779999999</v>
      </c>
      <c r="T191" s="616">
        <v>30.940428597142859</v>
      </c>
      <c r="U191" s="702">
        <v>7.3144286019999996</v>
      </c>
      <c r="V191" s="702">
        <v>13.712319918571428</v>
      </c>
      <c r="W191" s="702">
        <v>1.8420000075714285</v>
      </c>
      <c r="X191" s="702">
        <v>41.400714874285711</v>
      </c>
      <c r="Y191" s="702">
        <v>7.1649999617142859</v>
      </c>
      <c r="Z191" s="278"/>
      <c r="AA191" s="751"/>
      <c r="AB191" s="751"/>
      <c r="AC191" s="751"/>
      <c r="AD191" s="751"/>
      <c r="AE191" s="751"/>
      <c r="AF191" s="751"/>
      <c r="AG191" s="751"/>
      <c r="AH191" s="751"/>
      <c r="AI191" s="751"/>
    </row>
    <row r="192" spans="13:35" s="568" customFormat="1">
      <c r="M192" s="751"/>
      <c r="N192" s="278"/>
      <c r="O192" s="278"/>
      <c r="P192" s="615">
        <v>32</v>
      </c>
      <c r="Q192" s="702">
        <v>7.8535714147142865</v>
      </c>
      <c r="R192" s="702">
        <v>4.0602857387142857</v>
      </c>
      <c r="S192" s="616">
        <v>61.839428492857145</v>
      </c>
      <c r="T192" s="616">
        <v>23.267714362857141</v>
      </c>
      <c r="U192" s="702">
        <v>6.1658571107142865</v>
      </c>
      <c r="V192" s="702">
        <v>13.989404405714286</v>
      </c>
      <c r="W192" s="702">
        <v>1.8741428512857143</v>
      </c>
      <c r="X192" s="702">
        <v>39.942857471428567</v>
      </c>
      <c r="Y192" s="702">
        <v>7.2785714695714301</v>
      </c>
      <c r="Z192" s="278"/>
      <c r="AA192" s="751"/>
      <c r="AB192" s="751"/>
      <c r="AC192" s="751"/>
      <c r="AD192" s="751"/>
      <c r="AE192" s="751"/>
      <c r="AF192" s="751"/>
      <c r="AG192" s="751"/>
      <c r="AH192" s="751"/>
      <c r="AI192" s="751"/>
    </row>
    <row r="193" spans="13:35" s="568" customFormat="1">
      <c r="M193" s="751"/>
      <c r="N193" s="278"/>
      <c r="O193" s="278">
        <v>33</v>
      </c>
      <c r="P193" s="615">
        <v>33</v>
      </c>
      <c r="Q193" s="702">
        <v>7.8434285441428573</v>
      </c>
      <c r="R193" s="702">
        <v>3.7991428715714286</v>
      </c>
      <c r="S193" s="616">
        <v>59.987286159999996</v>
      </c>
      <c r="T193" s="616">
        <v>22.755999974285714</v>
      </c>
      <c r="U193" s="702">
        <v>5.9981428554285712</v>
      </c>
      <c r="V193" s="702">
        <v>13.973928587142856</v>
      </c>
      <c r="W193" s="702">
        <v>1.871857132285714</v>
      </c>
      <c r="X193" s="702">
        <v>37.965715135714291</v>
      </c>
      <c r="Y193" s="702">
        <v>5.154142958714286</v>
      </c>
      <c r="Z193" s="278"/>
      <c r="AA193" s="751"/>
      <c r="AB193" s="751"/>
      <c r="AC193" s="751"/>
      <c r="AD193" s="751"/>
      <c r="AE193" s="751"/>
      <c r="AF193" s="751"/>
      <c r="AG193" s="751"/>
      <c r="AH193" s="751"/>
      <c r="AI193" s="751"/>
    </row>
    <row r="194" spans="13:35" s="568" customFormat="1">
      <c r="M194" s="751"/>
      <c r="N194" s="278"/>
      <c r="O194" s="278"/>
      <c r="P194" s="615">
        <v>34</v>
      </c>
      <c r="Q194" s="702">
        <v>8.0232857294285722</v>
      </c>
      <c r="R194" s="702">
        <v>3.6017142020000001</v>
      </c>
      <c r="S194" s="616">
        <v>63.141999381428562</v>
      </c>
      <c r="T194" s="616">
        <v>21.678714208571428</v>
      </c>
      <c r="U194" s="702">
        <v>5.9428571975714277</v>
      </c>
      <c r="V194" s="702">
        <v>14.050774301428572</v>
      </c>
      <c r="W194" s="702">
        <v>1.8375714168571429</v>
      </c>
      <c r="X194" s="702">
        <v>37.97857121285714</v>
      </c>
      <c r="Y194" s="702">
        <v>6.0459999357142857</v>
      </c>
      <c r="Z194" s="278"/>
      <c r="AA194" s="751"/>
      <c r="AB194" s="751"/>
      <c r="AC194" s="751"/>
      <c r="AD194" s="751"/>
      <c r="AE194" s="751"/>
      <c r="AF194" s="751"/>
      <c r="AG194" s="751"/>
      <c r="AH194" s="751"/>
      <c r="AI194" s="751"/>
    </row>
    <row r="195" spans="13:35" s="568" customFormat="1">
      <c r="M195" s="751"/>
      <c r="N195" s="278"/>
      <c r="O195" s="278"/>
      <c r="P195" s="615">
        <v>35</v>
      </c>
      <c r="Q195" s="702">
        <v>9.1238570895714286</v>
      </c>
      <c r="R195" s="702">
        <v>6.7515713490000007</v>
      </c>
      <c r="S195" s="616">
        <v>62.449570247142852</v>
      </c>
      <c r="T195" s="616">
        <v>29.398714337142856</v>
      </c>
      <c r="U195" s="702">
        <v>5.5928570885714288</v>
      </c>
      <c r="V195" s="702">
        <v>13.988035748571429</v>
      </c>
      <c r="W195" s="702">
        <v>1.654571413857143</v>
      </c>
      <c r="X195" s="702">
        <v>37.199285234285711</v>
      </c>
      <c r="Y195" s="702">
        <v>5.7705714702857147</v>
      </c>
      <c r="Z195" s="278"/>
      <c r="AA195" s="751"/>
      <c r="AB195" s="751"/>
      <c r="AC195" s="751"/>
      <c r="AD195" s="751"/>
      <c r="AE195" s="751"/>
      <c r="AF195" s="751"/>
      <c r="AG195" s="751"/>
      <c r="AH195" s="751"/>
      <c r="AI195" s="751"/>
    </row>
    <row r="196" spans="13:35" s="568" customFormat="1">
      <c r="M196" s="751"/>
      <c r="N196" s="278"/>
      <c r="O196" s="278"/>
      <c r="P196" s="615">
        <v>36</v>
      </c>
      <c r="Q196" s="702">
        <v>8.2869999062857129</v>
      </c>
      <c r="R196" s="702">
        <v>5.5024285997142854</v>
      </c>
      <c r="S196" s="616">
        <v>62.160142081428567</v>
      </c>
      <c r="T196" s="616">
        <v>24.535714285714285</v>
      </c>
      <c r="U196" s="702">
        <v>5.7147143908571421</v>
      </c>
      <c r="V196" s="702">
        <v>13.989464348571429</v>
      </c>
      <c r="W196" s="702">
        <v>1.7275714362857142</v>
      </c>
      <c r="X196" s="702">
        <v>36.553570882857137</v>
      </c>
      <c r="Y196" s="702">
        <v>7.9151426724285718</v>
      </c>
      <c r="Z196" s="278"/>
      <c r="AA196" s="751"/>
      <c r="AB196" s="751"/>
      <c r="AC196" s="751"/>
      <c r="AD196" s="751"/>
      <c r="AE196" s="751"/>
      <c r="AF196" s="751"/>
      <c r="AG196" s="751"/>
      <c r="AH196" s="751"/>
      <c r="AI196" s="751"/>
    </row>
    <row r="197" spans="13:35" s="568" customFormat="1">
      <c r="M197" s="751"/>
      <c r="N197" s="278"/>
      <c r="O197" s="278"/>
      <c r="P197" s="615">
        <v>37</v>
      </c>
      <c r="Q197" s="702">
        <v>7.2742856564285701</v>
      </c>
      <c r="R197" s="702">
        <v>5.7037142345714287</v>
      </c>
      <c r="S197" s="616">
        <v>63.491571698571427</v>
      </c>
      <c r="T197" s="616">
        <v>33.851285662857144</v>
      </c>
      <c r="U197" s="702">
        <v>6.5815715108571435</v>
      </c>
      <c r="V197" s="702">
        <v>13.932678497142856</v>
      </c>
      <c r="W197" s="702">
        <v>1.6434285640000001</v>
      </c>
      <c r="X197" s="702">
        <v>36.635714938571432</v>
      </c>
      <c r="Y197" s="702">
        <v>5.2711429254285713</v>
      </c>
      <c r="Z197" s="278"/>
      <c r="AA197" s="751"/>
      <c r="AB197" s="751"/>
      <c r="AC197" s="751"/>
      <c r="AD197" s="751"/>
      <c r="AE197" s="751"/>
      <c r="AF197" s="751"/>
      <c r="AG197" s="751"/>
      <c r="AH197" s="751"/>
      <c r="AI197" s="751"/>
    </row>
    <row r="198" spans="13:35" s="568" customFormat="1">
      <c r="M198" s="751"/>
      <c r="N198" s="278"/>
      <c r="O198" s="278"/>
      <c r="P198" s="615">
        <v>38</v>
      </c>
      <c r="Q198" s="702">
        <v>5.7302856442857149</v>
      </c>
      <c r="R198" s="702">
        <v>4.6181428091428574</v>
      </c>
      <c r="S198" s="616">
        <v>66.366000039999989</v>
      </c>
      <c r="T198" s="616">
        <v>30.833285740000001</v>
      </c>
      <c r="U198" s="702">
        <v>6.3408571651428574</v>
      </c>
      <c r="V198" s="702">
        <v>14.030597005714284</v>
      </c>
      <c r="W198" s="702">
        <v>1.7824285711428571</v>
      </c>
      <c r="X198" s="702">
        <v>36.422143117142859</v>
      </c>
      <c r="Y198" s="702">
        <v>4.8772857188571432</v>
      </c>
      <c r="Z198" s="278"/>
      <c r="AA198" s="751"/>
      <c r="AB198" s="751"/>
      <c r="AC198" s="751"/>
      <c r="AD198" s="751"/>
      <c r="AE198" s="751"/>
      <c r="AF198" s="751"/>
      <c r="AG198" s="751"/>
      <c r="AH198" s="751"/>
      <c r="AI198" s="751"/>
    </row>
    <row r="199" spans="13:35" s="568" customFormat="1">
      <c r="M199" s="751"/>
      <c r="N199" s="278"/>
      <c r="O199" s="278"/>
      <c r="P199" s="615">
        <v>39</v>
      </c>
      <c r="Q199" s="702">
        <v>5.3494285172857152</v>
      </c>
      <c r="R199" s="702">
        <v>4.7248570578571423</v>
      </c>
      <c r="S199" s="616">
        <v>75.45028468428572</v>
      </c>
      <c r="T199" s="616">
        <v>25.431428635714287</v>
      </c>
      <c r="U199" s="702">
        <v>6.8902856279999991</v>
      </c>
      <c r="V199" s="702">
        <v>14.026608604285714</v>
      </c>
      <c r="W199" s="702">
        <v>1.7897142852857144</v>
      </c>
      <c r="X199" s="702">
        <v>36.457856858571432</v>
      </c>
      <c r="Y199" s="702">
        <v>6.1969999587142857</v>
      </c>
      <c r="Z199" s="278"/>
      <c r="AA199" s="751"/>
      <c r="AB199" s="751"/>
      <c r="AC199" s="751"/>
      <c r="AD199" s="751"/>
      <c r="AE199" s="751"/>
      <c r="AF199" s="751"/>
      <c r="AG199" s="751"/>
      <c r="AH199" s="751"/>
      <c r="AI199" s="751"/>
    </row>
    <row r="200" spans="13:35" s="568" customFormat="1">
      <c r="M200" s="751"/>
      <c r="N200" s="278"/>
      <c r="O200" s="278"/>
      <c r="P200" s="615">
        <v>40</v>
      </c>
      <c r="Q200" s="702">
        <v>5.4815714698571432</v>
      </c>
      <c r="R200" s="702">
        <v>5.3951427595714279</v>
      </c>
      <c r="S200" s="616">
        <v>78.309284754285713</v>
      </c>
      <c r="T200" s="616">
        <v>54.744000025714286</v>
      </c>
      <c r="U200" s="702">
        <v>7.7940000801428573</v>
      </c>
      <c r="V200" s="702">
        <v>14.026192801428573</v>
      </c>
      <c r="W200" s="702">
        <v>1.7887142725714287</v>
      </c>
      <c r="X200" s="702">
        <v>44.888571058571429</v>
      </c>
      <c r="Y200" s="702">
        <v>10.280285493285716</v>
      </c>
      <c r="Z200" s="278"/>
      <c r="AA200" s="751"/>
      <c r="AB200" s="751"/>
      <c r="AC200" s="751"/>
      <c r="AD200" s="751"/>
      <c r="AE200" s="751"/>
      <c r="AF200" s="751"/>
      <c r="AG200" s="751"/>
      <c r="AH200" s="751"/>
      <c r="AI200" s="751"/>
    </row>
    <row r="201" spans="13:35" s="568" customFormat="1">
      <c r="M201" s="751"/>
      <c r="N201" s="278"/>
      <c r="O201" s="278"/>
      <c r="P201" s="615">
        <v>41</v>
      </c>
      <c r="Q201" s="702">
        <v>6.414142881000001</v>
      </c>
      <c r="R201" s="702">
        <v>5.6744286329999998</v>
      </c>
      <c r="S201" s="616">
        <v>79.701571872857144</v>
      </c>
      <c r="T201" s="616">
        <v>50.934571402857145</v>
      </c>
      <c r="U201" s="702">
        <v>8.9731427602857146</v>
      </c>
      <c r="V201" s="702">
        <v>14.020297051428571</v>
      </c>
      <c r="W201" s="702">
        <v>1.4745714322857144</v>
      </c>
      <c r="X201" s="702">
        <v>49.243571144285717</v>
      </c>
      <c r="Y201" s="702">
        <v>7.658571379714286</v>
      </c>
      <c r="Z201" s="278"/>
      <c r="AA201" s="751"/>
      <c r="AB201" s="751"/>
      <c r="AC201" s="751"/>
      <c r="AD201" s="751"/>
      <c r="AE201" s="751"/>
      <c r="AF201" s="751"/>
      <c r="AG201" s="751"/>
      <c r="AH201" s="751"/>
      <c r="AI201" s="751"/>
    </row>
    <row r="202" spans="13:35" s="568" customFormat="1">
      <c r="M202" s="751"/>
      <c r="N202" s="278"/>
      <c r="O202" s="278"/>
      <c r="P202" s="615">
        <v>42</v>
      </c>
      <c r="Q202" s="702">
        <v>7.0597143174285719</v>
      </c>
      <c r="R202" s="702">
        <v>5.6411428450000001</v>
      </c>
      <c r="S202" s="616">
        <v>71.140427727142864</v>
      </c>
      <c r="T202" s="616">
        <v>43.184428622857141</v>
      </c>
      <c r="U202" s="702">
        <v>9.1315714969999995</v>
      </c>
      <c r="V202" s="702">
        <v>13.992498534285714</v>
      </c>
      <c r="W202" s="702">
        <v>1.325428571</v>
      </c>
      <c r="X202" s="702">
        <v>38.599999562857143</v>
      </c>
      <c r="Y202" s="702">
        <v>5.9647143228571426</v>
      </c>
      <c r="Z202" s="278"/>
      <c r="AA202" s="751"/>
      <c r="AB202" s="751"/>
      <c r="AC202" s="751"/>
      <c r="AD202" s="751"/>
      <c r="AE202" s="751"/>
      <c r="AF202" s="751"/>
      <c r="AG202" s="751"/>
      <c r="AH202" s="751"/>
      <c r="AI202" s="751"/>
    </row>
    <row r="203" spans="13:35" s="568" customFormat="1">
      <c r="M203" s="751"/>
      <c r="N203" s="278"/>
      <c r="O203" s="278"/>
      <c r="P203" s="615">
        <v>43</v>
      </c>
      <c r="Q203" s="702">
        <v>6.5518571988571432</v>
      </c>
      <c r="R203" s="702">
        <v>5.278142861428571</v>
      </c>
      <c r="S203" s="616">
        <v>66.382999420000004</v>
      </c>
      <c r="T203" s="616">
        <v>36.916714259999999</v>
      </c>
      <c r="U203" s="702">
        <v>8.3171428948571435</v>
      </c>
      <c r="V203" s="702">
        <v>14.015835900000001</v>
      </c>
      <c r="W203" s="702">
        <v>1.3259999922857142</v>
      </c>
      <c r="X203" s="702">
        <v>35.493572237142857</v>
      </c>
      <c r="Y203" s="702">
        <v>6.7207142624285723</v>
      </c>
      <c r="Z203" s="278"/>
      <c r="AA203" s="751"/>
      <c r="AB203" s="751"/>
      <c r="AC203" s="751"/>
      <c r="AD203" s="751"/>
      <c r="AE203" s="751"/>
      <c r="AF203" s="751"/>
      <c r="AG203" s="751"/>
      <c r="AH203" s="751"/>
      <c r="AI203" s="751"/>
    </row>
    <row r="204" spans="13:35" s="568" customFormat="1">
      <c r="M204" s="751"/>
      <c r="N204" s="278"/>
      <c r="O204" s="278">
        <v>44</v>
      </c>
      <c r="P204" s="615">
        <v>44</v>
      </c>
      <c r="Q204" s="702">
        <v>6.2178571565714282</v>
      </c>
      <c r="R204" s="702">
        <v>3.7729999678571429</v>
      </c>
      <c r="S204" s="616">
        <v>67.872285570000003</v>
      </c>
      <c r="T204" s="616">
        <v>41.726285662857144</v>
      </c>
      <c r="U204" s="702">
        <v>8.7617143898571435</v>
      </c>
      <c r="V204" s="702">
        <v>13.927204130000002</v>
      </c>
      <c r="W204" s="702">
        <v>1.0918571607142857</v>
      </c>
      <c r="X204" s="702">
        <v>46.067856924285714</v>
      </c>
      <c r="Y204" s="702">
        <v>5.8240000180000004</v>
      </c>
      <c r="Z204" s="278"/>
      <c r="AA204" s="751"/>
      <c r="AB204" s="751"/>
      <c r="AC204" s="751"/>
      <c r="AD204" s="751"/>
      <c r="AE204" s="751"/>
      <c r="AF204" s="751"/>
      <c r="AG204" s="751"/>
      <c r="AH204" s="751"/>
      <c r="AI204" s="751"/>
    </row>
    <row r="205" spans="13:35" s="568" customFormat="1">
      <c r="M205" s="751"/>
      <c r="N205" s="278"/>
      <c r="O205" s="278"/>
      <c r="P205" s="615">
        <v>45</v>
      </c>
      <c r="Q205" s="702">
        <v>5.7207142285714285</v>
      </c>
      <c r="R205" s="702">
        <v>4.0865714210000004</v>
      </c>
      <c r="S205" s="616">
        <v>64.557143075714279</v>
      </c>
      <c r="T205" s="616">
        <v>47.85114288285714</v>
      </c>
      <c r="U205" s="702">
        <v>8.1029998912857142</v>
      </c>
      <c r="V205" s="702">
        <v>13.944405964285716</v>
      </c>
      <c r="W205" s="702">
        <v>1.1197142941428571</v>
      </c>
      <c r="X205" s="702">
        <v>41.25857108142857</v>
      </c>
      <c r="Y205" s="702">
        <v>7.255428586571429</v>
      </c>
      <c r="Z205" s="278"/>
      <c r="AA205" s="751"/>
      <c r="AB205" s="751"/>
      <c r="AC205" s="751"/>
      <c r="AD205" s="751"/>
      <c r="AE205" s="751"/>
      <c r="AF205" s="751"/>
      <c r="AG205" s="751"/>
      <c r="AH205" s="751"/>
      <c r="AI205" s="751"/>
    </row>
    <row r="206" spans="13:35" s="568" customFormat="1">
      <c r="M206" s="751"/>
      <c r="N206" s="278"/>
      <c r="O206" s="278"/>
      <c r="P206" s="615">
        <v>46</v>
      </c>
      <c r="Q206" s="702">
        <v>5.8224285672857139</v>
      </c>
      <c r="R206" s="702">
        <v>4.1967142989999999</v>
      </c>
      <c r="S206" s="616">
        <v>48.114428929999988</v>
      </c>
      <c r="T206" s="616">
        <v>58.976285662857144</v>
      </c>
      <c r="U206" s="702">
        <v>7.6644285747142851</v>
      </c>
      <c r="V206" s="702">
        <v>14.053689955714287</v>
      </c>
      <c r="W206" s="702">
        <v>1.2584285650000002</v>
      </c>
      <c r="X206" s="702">
        <v>59.822143555714284</v>
      </c>
      <c r="Y206" s="702">
        <v>7.569857052142857</v>
      </c>
      <c r="Z206" s="278"/>
      <c r="AA206" s="751"/>
      <c r="AB206" s="751"/>
      <c r="AC206" s="751"/>
      <c r="AD206" s="751"/>
      <c r="AE206" s="751"/>
      <c r="AF206" s="751"/>
      <c r="AG206" s="751"/>
      <c r="AH206" s="751"/>
      <c r="AI206" s="751"/>
    </row>
    <row r="207" spans="13:35" s="568" customFormat="1">
      <c r="M207" s="751"/>
      <c r="N207" s="278"/>
      <c r="O207" s="278"/>
      <c r="P207" s="615">
        <v>47</v>
      </c>
      <c r="Q207" s="702">
        <v>8.7129998894285716</v>
      </c>
      <c r="R207" s="702">
        <v>6.8662857328571425</v>
      </c>
      <c r="S207" s="616">
        <v>75.949856894285716</v>
      </c>
      <c r="T207" s="616">
        <v>107.95228576857143</v>
      </c>
      <c r="U207" s="702">
        <v>21.278142930000001</v>
      </c>
      <c r="V207" s="702">
        <v>14.02023874</v>
      </c>
      <c r="W207" s="702">
        <v>1.6037142788571426</v>
      </c>
      <c r="X207" s="702">
        <v>58.205000194285724</v>
      </c>
      <c r="Y207" s="702">
        <v>11.491143022142859</v>
      </c>
      <c r="Z207" s="278"/>
      <c r="AA207" s="751"/>
      <c r="AB207" s="751"/>
      <c r="AC207" s="751"/>
      <c r="AD207" s="751"/>
      <c r="AE207" s="751"/>
      <c r="AF207" s="751"/>
      <c r="AG207" s="751"/>
      <c r="AH207" s="751"/>
      <c r="AI207" s="751"/>
    </row>
    <row r="208" spans="13:35" s="568" customFormat="1">
      <c r="M208" s="751"/>
      <c r="N208" s="278"/>
      <c r="O208" s="278"/>
      <c r="P208" s="615">
        <v>48</v>
      </c>
      <c r="Q208" s="702">
        <v>9.7443332226190496</v>
      </c>
      <c r="R208" s="702">
        <v>7.8295714628095201</v>
      </c>
      <c r="S208" s="616">
        <v>115.94985689428501</v>
      </c>
      <c r="T208" s="616">
        <v>116.577285768571</v>
      </c>
      <c r="U208" s="702">
        <v>25.523666837380901</v>
      </c>
      <c r="V208" s="702">
        <v>14.0819443290476</v>
      </c>
      <c r="W208" s="702">
        <v>1.686999981</v>
      </c>
      <c r="X208" s="702">
        <v>108.646</v>
      </c>
      <c r="Y208" s="702">
        <v>11.491143022142859</v>
      </c>
      <c r="Z208" s="278"/>
      <c r="AA208" s="751"/>
      <c r="AB208" s="751"/>
      <c r="AC208" s="751"/>
      <c r="AD208" s="751"/>
      <c r="AE208" s="751"/>
      <c r="AF208" s="751"/>
      <c r="AG208" s="751"/>
      <c r="AH208" s="751"/>
      <c r="AI208" s="751"/>
    </row>
    <row r="209" spans="13:35" s="568" customFormat="1">
      <c r="M209" s="751"/>
      <c r="N209" s="278"/>
      <c r="O209" s="278"/>
      <c r="P209" s="615">
        <v>49</v>
      </c>
      <c r="Q209" s="702">
        <v>15.740428922857143</v>
      </c>
      <c r="R209" s="702">
        <v>16.272571155571431</v>
      </c>
      <c r="S209" s="616">
        <v>179.40442985714284</v>
      </c>
      <c r="T209" s="616">
        <v>143.97028568571429</v>
      </c>
      <c r="U209" s="702">
        <v>24.464857102857142</v>
      </c>
      <c r="V209" s="702">
        <v>14.414462907142859</v>
      </c>
      <c r="W209" s="702">
        <v>1.509857126857143</v>
      </c>
      <c r="X209" s="702">
        <v>183.08428410000002</v>
      </c>
      <c r="Y209" s="702">
        <v>11.52</v>
      </c>
      <c r="Z209" s="278"/>
      <c r="AA209" s="751"/>
      <c r="AB209" s="751"/>
      <c r="AC209" s="751"/>
      <c r="AD209" s="751"/>
      <c r="AE209" s="751"/>
      <c r="AF209" s="751"/>
      <c r="AG209" s="751"/>
      <c r="AH209" s="751"/>
      <c r="AI209" s="751"/>
    </row>
    <row r="210" spans="13:35" s="568" customFormat="1">
      <c r="M210" s="751"/>
      <c r="N210" s="278"/>
      <c r="O210" s="278"/>
      <c r="P210" s="615">
        <v>50</v>
      </c>
      <c r="Q210" s="702">
        <v>11.458857127</v>
      </c>
      <c r="R210" s="702">
        <v>8.6871428825714272</v>
      </c>
      <c r="S210" s="616">
        <v>180.05014475714285</v>
      </c>
      <c r="T210" s="616">
        <v>105.38685716857142</v>
      </c>
      <c r="U210" s="702">
        <v>15.326142855714284</v>
      </c>
      <c r="V210" s="702">
        <v>14.382619995714284</v>
      </c>
      <c r="W210" s="702">
        <v>1.5802857021428574</v>
      </c>
      <c r="X210" s="702">
        <v>192.18500408571427</v>
      </c>
      <c r="Y210" s="702">
        <v>63.42214257285714</v>
      </c>
      <c r="Z210" s="278"/>
      <c r="AA210" s="751"/>
      <c r="AB210" s="751"/>
      <c r="AC210" s="751"/>
      <c r="AD210" s="751"/>
      <c r="AE210" s="751"/>
      <c r="AF210" s="751"/>
      <c r="AG210" s="751"/>
      <c r="AH210" s="751"/>
      <c r="AI210" s="751"/>
    </row>
    <row r="211" spans="13:35" s="568" customFormat="1">
      <c r="M211" s="751"/>
      <c r="N211" s="278"/>
      <c r="O211" s="278"/>
      <c r="P211" s="615">
        <v>51</v>
      </c>
      <c r="Q211" s="702">
        <v>9.4554285322857137</v>
      </c>
      <c r="R211" s="702">
        <v>4.7284286361428576</v>
      </c>
      <c r="S211" s="616">
        <v>179.9772862142857</v>
      </c>
      <c r="T211" s="616">
        <v>14.57142870857143</v>
      </c>
      <c r="U211" s="702">
        <v>5</v>
      </c>
      <c r="V211" s="702">
        <v>13.809047154285716</v>
      </c>
      <c r="W211" s="702">
        <v>1.0052857144285714</v>
      </c>
      <c r="X211" s="702">
        <v>189.54214041428571</v>
      </c>
      <c r="Y211" s="702">
        <v>105.71028573142858</v>
      </c>
      <c r="Z211" s="278"/>
      <c r="AA211" s="751"/>
      <c r="AB211" s="751"/>
      <c r="AC211" s="751"/>
      <c r="AD211" s="751"/>
      <c r="AE211" s="751"/>
      <c r="AF211" s="751"/>
      <c r="AG211" s="751"/>
      <c r="AH211" s="751"/>
      <c r="AI211" s="751"/>
    </row>
    <row r="212" spans="13:35">
      <c r="O212" s="278">
        <v>52</v>
      </c>
      <c r="P212" s="615">
        <v>52</v>
      </c>
      <c r="Q212" s="702">
        <v>10.030285698</v>
      </c>
      <c r="R212" s="702">
        <v>6.3814284807142858</v>
      </c>
      <c r="S212" s="616">
        <v>180.17299980000001</v>
      </c>
      <c r="T212" s="616">
        <v>59.892857142857146</v>
      </c>
      <c r="U212" s="702">
        <v>9.771428653000001</v>
      </c>
      <c r="V212" s="702">
        <v>13.759048734285715</v>
      </c>
      <c r="W212" s="702">
        <v>1.2590000118571429</v>
      </c>
      <c r="X212" s="702">
        <v>169.73285565714286</v>
      </c>
      <c r="Y212" s="702">
        <v>86.07714135142858</v>
      </c>
    </row>
    <row r="213" spans="13:35">
      <c r="P213" s="615"/>
    </row>
    <row r="214" spans="13:35">
      <c r="Q214" s="703" t="s">
        <v>264</v>
      </c>
      <c r="R214" s="703" t="s">
        <v>265</v>
      </c>
      <c r="S214" s="703" t="s">
        <v>266</v>
      </c>
      <c r="T214" s="703" t="s">
        <v>267</v>
      </c>
      <c r="U214" s="703" t="s">
        <v>268</v>
      </c>
      <c r="V214" s="703" t="s">
        <v>269</v>
      </c>
      <c r="W214" s="703" t="s">
        <v>270</v>
      </c>
      <c r="X214" s="703" t="s">
        <v>271</v>
      </c>
      <c r="Y214" s="703" t="s">
        <v>272</v>
      </c>
    </row>
    <row r="218" spans="13:35" s="568" customFormat="1">
      <c r="M218" s="751"/>
      <c r="N218" s="278"/>
      <c r="O218" s="278"/>
      <c r="P218" s="278"/>
      <c r="Q218" s="278"/>
      <c r="R218" s="278"/>
      <c r="S218" s="278"/>
      <c r="T218" s="278"/>
      <c r="U218" s="278"/>
      <c r="V218" s="278"/>
      <c r="W218" s="278"/>
      <c r="X218" s="278"/>
      <c r="Y218" s="278"/>
      <c r="Z218" s="278"/>
      <c r="AA218" s="751"/>
      <c r="AB218" s="751"/>
      <c r="AC218" s="751"/>
      <c r="AD218" s="751"/>
      <c r="AE218" s="751"/>
      <c r="AF218" s="751"/>
      <c r="AG218" s="751"/>
      <c r="AH218" s="751"/>
      <c r="AI218" s="751"/>
    </row>
    <row r="219" spans="13:35" s="568" customFormat="1">
      <c r="M219" s="751"/>
      <c r="N219" s="278"/>
      <c r="O219" s="278"/>
      <c r="P219" s="278"/>
      <c r="Q219" s="278"/>
      <c r="R219" s="278"/>
      <c r="S219" s="278"/>
      <c r="T219" s="278"/>
      <c r="U219" s="278"/>
      <c r="V219" s="278"/>
      <c r="W219" s="278"/>
      <c r="X219" s="278"/>
      <c r="Y219" s="278"/>
      <c r="Z219" s="278"/>
      <c r="AA219" s="751"/>
      <c r="AB219" s="751"/>
      <c r="AC219" s="751"/>
      <c r="AD219" s="751"/>
      <c r="AE219" s="751"/>
      <c r="AF219" s="751"/>
      <c r="AG219" s="751"/>
      <c r="AH219" s="751"/>
      <c r="AI219" s="751"/>
    </row>
    <row r="220" spans="13:35" s="568" customFormat="1">
      <c r="M220" s="751"/>
      <c r="N220" s="278"/>
      <c r="O220" s="278"/>
      <c r="P220" s="278"/>
      <c r="Q220" s="278"/>
      <c r="R220" s="278"/>
      <c r="S220" s="278"/>
      <c r="T220" s="278"/>
      <c r="U220" s="278"/>
      <c r="V220" s="278"/>
      <c r="W220" s="278"/>
      <c r="X220" s="278"/>
      <c r="Y220" s="278"/>
      <c r="Z220" s="278"/>
      <c r="AA220" s="751"/>
      <c r="AB220" s="751"/>
      <c r="AC220" s="751"/>
      <c r="AD220" s="751"/>
      <c r="AE220" s="751"/>
      <c r="AF220" s="751"/>
      <c r="AG220" s="751"/>
      <c r="AH220" s="751"/>
      <c r="AI220" s="751"/>
    </row>
    <row r="221" spans="13:35" s="568" customFormat="1">
      <c r="M221" s="751"/>
      <c r="N221" s="278"/>
      <c r="O221" s="278"/>
      <c r="P221" s="278"/>
      <c r="Q221" s="278"/>
      <c r="R221" s="278"/>
      <c r="S221" s="278"/>
      <c r="T221" s="278"/>
      <c r="U221" s="278"/>
      <c r="V221" s="278"/>
      <c r="W221" s="278"/>
      <c r="X221" s="278"/>
      <c r="Y221" s="278"/>
      <c r="Z221" s="278"/>
      <c r="AA221" s="751"/>
      <c r="AB221" s="751"/>
      <c r="AC221" s="751"/>
      <c r="AD221" s="751"/>
      <c r="AE221" s="751"/>
      <c r="AF221" s="751"/>
      <c r="AG221" s="751"/>
      <c r="AH221" s="751"/>
      <c r="AI221" s="751"/>
    </row>
    <row r="224" spans="13:35" s="568" customFormat="1">
      <c r="M224" s="751"/>
      <c r="N224" s="278"/>
      <c r="O224" s="278"/>
      <c r="P224" s="278"/>
      <c r="Q224" s="278"/>
      <c r="R224" s="278"/>
      <c r="S224" s="278"/>
      <c r="T224" s="278"/>
      <c r="U224" s="278"/>
      <c r="V224" s="278"/>
      <c r="W224" s="278"/>
      <c r="X224" s="278"/>
      <c r="Y224" s="278"/>
      <c r="Z224" s="278"/>
      <c r="AA224" s="751"/>
      <c r="AB224" s="751"/>
      <c r="AC224" s="751"/>
      <c r="AD224" s="751"/>
      <c r="AE224" s="751"/>
      <c r="AF224" s="751"/>
      <c r="AG224" s="751"/>
      <c r="AH224" s="751"/>
      <c r="AI224" s="751"/>
    </row>
    <row r="225" spans="13:35" s="568" customFormat="1">
      <c r="M225" s="751"/>
      <c r="N225" s="278"/>
      <c r="O225" s="278"/>
      <c r="P225" s="278"/>
      <c r="Q225" s="278"/>
      <c r="R225" s="278"/>
      <c r="S225" s="278"/>
      <c r="T225" s="278"/>
      <c r="U225" s="278"/>
      <c r="V225" s="278"/>
      <c r="W225" s="278"/>
      <c r="X225" s="278"/>
      <c r="Y225" s="278"/>
      <c r="Z225" s="278"/>
      <c r="AA225" s="751"/>
      <c r="AB225" s="751"/>
      <c r="AC225" s="751"/>
      <c r="AD225" s="751"/>
      <c r="AE225" s="751"/>
      <c r="AF225" s="751"/>
      <c r="AG225" s="751"/>
      <c r="AH225" s="751"/>
      <c r="AI225" s="751"/>
    </row>
    <row r="226" spans="13:35" s="568" customFormat="1">
      <c r="M226" s="751"/>
      <c r="N226" s="278"/>
      <c r="O226" s="278"/>
      <c r="P226" s="278"/>
      <c r="Q226" s="278"/>
      <c r="R226" s="278"/>
      <c r="S226" s="278"/>
      <c r="T226" s="278"/>
      <c r="U226" s="278"/>
      <c r="V226" s="278"/>
      <c r="W226" s="278"/>
      <c r="X226" s="278"/>
      <c r="Y226" s="278"/>
      <c r="Z226" s="278"/>
      <c r="AA226" s="751"/>
      <c r="AB226" s="751"/>
      <c r="AC226" s="751"/>
      <c r="AD226" s="751"/>
      <c r="AE226" s="751"/>
      <c r="AF226" s="751"/>
      <c r="AG226" s="751"/>
      <c r="AH226" s="751"/>
      <c r="AI226" s="751"/>
    </row>
    <row r="227" spans="13:35" s="568" customFormat="1">
      <c r="M227" s="751"/>
      <c r="N227" s="278"/>
      <c r="O227" s="278"/>
      <c r="P227" s="278"/>
      <c r="Q227" s="278"/>
      <c r="R227" s="278"/>
      <c r="S227" s="278"/>
      <c r="T227" s="278"/>
      <c r="U227" s="278"/>
      <c r="V227" s="278"/>
      <c r="W227" s="278"/>
      <c r="X227" s="278"/>
      <c r="Y227" s="278"/>
      <c r="Z227" s="278"/>
      <c r="AA227" s="751"/>
      <c r="AB227" s="751"/>
      <c r="AC227" s="751"/>
      <c r="AD227" s="751"/>
      <c r="AE227" s="751"/>
      <c r="AF227" s="751"/>
      <c r="AG227" s="751"/>
      <c r="AH227" s="751"/>
      <c r="AI227" s="751"/>
    </row>
    <row r="228" spans="13:35" s="568" customFormat="1">
      <c r="M228" s="751"/>
      <c r="N228" s="278"/>
      <c r="O228" s="278"/>
      <c r="P228" s="278"/>
      <c r="Q228" s="278"/>
      <c r="R228" s="278"/>
      <c r="S228" s="278"/>
      <c r="T228" s="278"/>
      <c r="U228" s="278"/>
      <c r="V228" s="278"/>
      <c r="W228" s="278"/>
      <c r="X228" s="278"/>
      <c r="Y228" s="278"/>
      <c r="Z228" s="278"/>
      <c r="AA228" s="751"/>
      <c r="AB228" s="751"/>
      <c r="AC228" s="751"/>
      <c r="AD228" s="751"/>
      <c r="AE228" s="751"/>
      <c r="AF228" s="751"/>
      <c r="AG228" s="751"/>
      <c r="AH228" s="751"/>
      <c r="AI228" s="751"/>
    </row>
    <row r="229" spans="13:35" s="568" customFormat="1">
      <c r="M229" s="751"/>
      <c r="N229" s="278"/>
      <c r="O229" s="278"/>
      <c r="P229" s="278"/>
      <c r="Q229" s="278"/>
      <c r="R229" s="278"/>
      <c r="S229" s="278"/>
      <c r="T229" s="278"/>
      <c r="U229" s="278"/>
      <c r="V229" s="278"/>
      <c r="W229" s="278"/>
      <c r="X229" s="278"/>
      <c r="Y229" s="278"/>
      <c r="Z229" s="278"/>
      <c r="AA229" s="751"/>
      <c r="AB229" s="751"/>
      <c r="AC229" s="751"/>
      <c r="AD229" s="751"/>
      <c r="AE229" s="751"/>
      <c r="AF229" s="751"/>
      <c r="AG229" s="751"/>
      <c r="AH229" s="751"/>
      <c r="AI229" s="751"/>
    </row>
    <row r="230" spans="13:35" s="568" customFormat="1">
      <c r="M230" s="751"/>
      <c r="N230" s="278"/>
      <c r="O230" s="278"/>
      <c r="P230" s="278"/>
      <c r="Q230" s="278"/>
      <c r="R230" s="278"/>
      <c r="S230" s="278"/>
      <c r="T230" s="278"/>
      <c r="U230" s="278"/>
      <c r="V230" s="278"/>
      <c r="W230" s="278"/>
      <c r="X230" s="278"/>
      <c r="Y230" s="278"/>
      <c r="Z230" s="278"/>
      <c r="AA230" s="751"/>
      <c r="AB230" s="751"/>
      <c r="AC230" s="751"/>
      <c r="AD230" s="751"/>
      <c r="AE230" s="751"/>
      <c r="AF230" s="751"/>
      <c r="AG230" s="751"/>
      <c r="AH230" s="751"/>
      <c r="AI230" s="751"/>
    </row>
    <row r="231" spans="13:35" s="568" customFormat="1">
      <c r="M231" s="751"/>
      <c r="N231" s="278"/>
      <c r="O231" s="278"/>
      <c r="P231" s="278"/>
      <c r="Q231" s="278"/>
      <c r="R231" s="278"/>
      <c r="S231" s="278"/>
      <c r="T231" s="278"/>
      <c r="U231" s="278"/>
      <c r="V231" s="278"/>
      <c r="W231" s="278"/>
      <c r="X231" s="278"/>
      <c r="Y231" s="278"/>
      <c r="Z231" s="278"/>
      <c r="AA231" s="751"/>
      <c r="AB231" s="751"/>
      <c r="AC231" s="751"/>
      <c r="AD231" s="751"/>
      <c r="AE231" s="751"/>
      <c r="AF231" s="751"/>
      <c r="AG231" s="751"/>
      <c r="AH231" s="751"/>
      <c r="AI231" s="751"/>
    </row>
    <row r="232" spans="13:35" s="568" customFormat="1">
      <c r="M232" s="751"/>
      <c r="N232" s="278"/>
      <c r="O232" s="278"/>
      <c r="P232" s="278"/>
      <c r="Q232" s="278"/>
      <c r="R232" s="278"/>
      <c r="S232" s="278"/>
      <c r="T232" s="278"/>
      <c r="U232" s="278"/>
      <c r="V232" s="278"/>
      <c r="W232" s="278"/>
      <c r="X232" s="278"/>
      <c r="Y232" s="278"/>
      <c r="Z232" s="278"/>
      <c r="AA232" s="751"/>
      <c r="AB232" s="751"/>
      <c r="AC232" s="751"/>
      <c r="AD232" s="751"/>
      <c r="AE232" s="751"/>
      <c r="AF232" s="751"/>
      <c r="AG232" s="751"/>
      <c r="AH232" s="751"/>
      <c r="AI232" s="751"/>
    </row>
    <row r="233" spans="13:35" s="568" customFormat="1">
      <c r="M233" s="751"/>
      <c r="N233" s="278"/>
      <c r="O233" s="278"/>
      <c r="P233" s="278"/>
      <c r="Q233" s="278"/>
      <c r="R233" s="278"/>
      <c r="S233" s="278"/>
      <c r="T233" s="278"/>
      <c r="U233" s="278"/>
      <c r="V233" s="278"/>
      <c r="W233" s="278"/>
      <c r="X233" s="278"/>
      <c r="Y233" s="278"/>
      <c r="Z233" s="278"/>
      <c r="AA233" s="751"/>
      <c r="AB233" s="751"/>
      <c r="AC233" s="751"/>
      <c r="AD233" s="751"/>
      <c r="AE233" s="751"/>
      <c r="AF233" s="751"/>
      <c r="AG233" s="751"/>
      <c r="AH233" s="751"/>
      <c r="AI233" s="751"/>
    </row>
    <row r="234" spans="13:35" s="568" customFormat="1">
      <c r="M234" s="751"/>
      <c r="N234" s="278"/>
      <c r="O234" s="278"/>
      <c r="P234" s="278"/>
      <c r="Q234" s="278"/>
      <c r="R234" s="278"/>
      <c r="S234" s="278"/>
      <c r="T234" s="278"/>
      <c r="U234" s="278"/>
      <c r="V234" s="278"/>
      <c r="W234" s="278"/>
      <c r="X234" s="278"/>
      <c r="Y234" s="278"/>
      <c r="Z234" s="278"/>
      <c r="AA234" s="751"/>
      <c r="AB234" s="751"/>
      <c r="AC234" s="751"/>
      <c r="AD234" s="751"/>
      <c r="AE234" s="751"/>
      <c r="AF234" s="751"/>
      <c r="AG234" s="751"/>
      <c r="AH234" s="751"/>
      <c r="AI234" s="751"/>
    </row>
    <row r="235" spans="13:35" s="568" customFormat="1">
      <c r="M235" s="751"/>
      <c r="N235" s="278"/>
      <c r="O235" s="278"/>
      <c r="P235" s="278"/>
      <c r="Q235" s="278"/>
      <c r="R235" s="278"/>
      <c r="S235" s="278"/>
      <c r="T235" s="278"/>
      <c r="U235" s="278"/>
      <c r="V235" s="278"/>
      <c r="W235" s="278"/>
      <c r="X235" s="278"/>
      <c r="Y235" s="278"/>
      <c r="Z235" s="278"/>
      <c r="AA235" s="751"/>
      <c r="AB235" s="751"/>
      <c r="AC235" s="751"/>
      <c r="AD235" s="751"/>
      <c r="AE235" s="751"/>
      <c r="AF235" s="751"/>
      <c r="AG235" s="751"/>
      <c r="AH235" s="751"/>
      <c r="AI235" s="751"/>
    </row>
    <row r="236" spans="13:35" s="568" customFormat="1">
      <c r="M236" s="751"/>
      <c r="N236" s="278"/>
      <c r="O236" s="278"/>
      <c r="P236" s="278"/>
      <c r="Q236" s="278"/>
      <c r="R236" s="278"/>
      <c r="S236" s="278"/>
      <c r="T236" s="278"/>
      <c r="U236" s="278"/>
      <c r="V236" s="278"/>
      <c r="W236" s="278"/>
      <c r="X236" s="278"/>
      <c r="Y236" s="278"/>
      <c r="Z236" s="278"/>
      <c r="AA236" s="751"/>
      <c r="AB236" s="751"/>
      <c r="AC236" s="751"/>
      <c r="AD236" s="751"/>
      <c r="AE236" s="751"/>
      <c r="AF236" s="751"/>
      <c r="AG236" s="751"/>
      <c r="AH236" s="751"/>
      <c r="AI236" s="751"/>
    </row>
    <row r="237" spans="13:35" s="568" customFormat="1">
      <c r="M237" s="751"/>
      <c r="N237" s="278"/>
      <c r="O237" s="278"/>
      <c r="P237" s="278"/>
      <c r="Q237" s="278"/>
      <c r="R237" s="278"/>
      <c r="S237" s="278"/>
      <c r="T237" s="278"/>
      <c r="U237" s="278"/>
      <c r="V237" s="278"/>
      <c r="W237" s="278"/>
      <c r="X237" s="278"/>
      <c r="Y237" s="278"/>
      <c r="Z237" s="278"/>
      <c r="AA237" s="751"/>
      <c r="AB237" s="751"/>
      <c r="AC237" s="751"/>
      <c r="AD237" s="751"/>
      <c r="AE237" s="751"/>
      <c r="AF237" s="751"/>
      <c r="AG237" s="751"/>
      <c r="AH237" s="751"/>
      <c r="AI237" s="751"/>
    </row>
    <row r="238" spans="13:35" s="568" customFormat="1">
      <c r="M238" s="751"/>
      <c r="N238" s="278"/>
      <c r="O238" s="278"/>
      <c r="P238" s="278"/>
      <c r="Q238" s="278"/>
      <c r="R238" s="278"/>
      <c r="S238" s="278"/>
      <c r="T238" s="278"/>
      <c r="U238" s="278"/>
      <c r="V238" s="278"/>
      <c r="W238" s="278"/>
      <c r="X238" s="278"/>
      <c r="Y238" s="278"/>
      <c r="Z238" s="278"/>
      <c r="AA238" s="751"/>
      <c r="AB238" s="751"/>
      <c r="AC238" s="751"/>
      <c r="AD238" s="751"/>
      <c r="AE238" s="751"/>
      <c r="AF238" s="751"/>
      <c r="AG238" s="751"/>
      <c r="AH238" s="751"/>
      <c r="AI238" s="751"/>
    </row>
    <row r="239" spans="13:35" s="568" customFormat="1">
      <c r="M239" s="751"/>
      <c r="N239" s="278"/>
      <c r="O239" s="278"/>
      <c r="P239" s="278"/>
      <c r="Q239" s="278"/>
      <c r="R239" s="278"/>
      <c r="S239" s="278"/>
      <c r="T239" s="278"/>
      <c r="U239" s="278"/>
      <c r="V239" s="278"/>
      <c r="W239" s="278"/>
      <c r="X239" s="278"/>
      <c r="Y239" s="278"/>
      <c r="Z239" s="278"/>
      <c r="AA239" s="751"/>
      <c r="AB239" s="751"/>
      <c r="AC239" s="751"/>
      <c r="AD239" s="751"/>
      <c r="AE239" s="751"/>
      <c r="AF239" s="751"/>
      <c r="AG239" s="751"/>
      <c r="AH239" s="751"/>
      <c r="AI239" s="751"/>
    </row>
    <row r="240" spans="13:35" s="568" customFormat="1">
      <c r="M240" s="751"/>
      <c r="N240" s="278"/>
      <c r="O240" s="278"/>
      <c r="P240" s="278"/>
      <c r="Q240" s="278"/>
      <c r="R240" s="278"/>
      <c r="S240" s="278"/>
      <c r="T240" s="278"/>
      <c r="U240" s="278"/>
      <c r="V240" s="278"/>
      <c r="W240" s="278"/>
      <c r="X240" s="278"/>
      <c r="Y240" s="278"/>
      <c r="Z240" s="278"/>
      <c r="AA240" s="751"/>
      <c r="AB240" s="751"/>
      <c r="AC240" s="751"/>
      <c r="AD240" s="751"/>
      <c r="AE240" s="751"/>
      <c r="AF240" s="751"/>
      <c r="AG240" s="751"/>
      <c r="AH240" s="751"/>
      <c r="AI240" s="751"/>
    </row>
    <row r="241" spans="13:35" s="568" customFormat="1">
      <c r="M241" s="751"/>
      <c r="N241" s="278"/>
      <c r="O241" s="278"/>
      <c r="P241" s="278"/>
      <c r="Q241" s="278"/>
      <c r="R241" s="278"/>
      <c r="S241" s="278"/>
      <c r="T241" s="278"/>
      <c r="U241" s="278"/>
      <c r="V241" s="278"/>
      <c r="W241" s="278"/>
      <c r="X241" s="278"/>
      <c r="Y241" s="278"/>
      <c r="Z241" s="278"/>
      <c r="AA241" s="751"/>
      <c r="AB241" s="751"/>
      <c r="AC241" s="751"/>
      <c r="AD241" s="751"/>
      <c r="AE241" s="751"/>
      <c r="AF241" s="751"/>
      <c r="AG241" s="751"/>
      <c r="AH241" s="751"/>
      <c r="AI241" s="751"/>
    </row>
    <row r="242" spans="13:35" s="568" customFormat="1">
      <c r="M242" s="751"/>
      <c r="N242" s="278"/>
      <c r="O242" s="278"/>
      <c r="P242" s="278"/>
      <c r="Q242" s="278"/>
      <c r="R242" s="278"/>
      <c r="S242" s="278"/>
      <c r="T242" s="278"/>
      <c r="U242" s="278"/>
      <c r="V242" s="278"/>
      <c r="W242" s="278"/>
      <c r="X242" s="278"/>
      <c r="Y242" s="278"/>
      <c r="Z242" s="278"/>
      <c r="AA242" s="751"/>
      <c r="AB242" s="751"/>
      <c r="AC242" s="751"/>
      <c r="AD242" s="751"/>
      <c r="AE242" s="751"/>
      <c r="AF242" s="751"/>
      <c r="AG242" s="751"/>
      <c r="AH242" s="751"/>
      <c r="AI242" s="751"/>
    </row>
    <row r="243" spans="13:35" s="568" customFormat="1">
      <c r="M243" s="751"/>
      <c r="N243" s="278"/>
      <c r="O243" s="278"/>
      <c r="P243" s="278"/>
      <c r="Q243" s="278"/>
      <c r="R243" s="278"/>
      <c r="S243" s="278"/>
      <c r="T243" s="278"/>
      <c r="U243" s="278"/>
      <c r="V243" s="278"/>
      <c r="W243" s="278"/>
      <c r="X243" s="278"/>
      <c r="Y243" s="278"/>
      <c r="Z243" s="278"/>
      <c r="AA243" s="751"/>
      <c r="AB243" s="751"/>
      <c r="AC243" s="751"/>
      <c r="AD243" s="751"/>
      <c r="AE243" s="751"/>
      <c r="AF243" s="751"/>
      <c r="AG243" s="751"/>
      <c r="AH243" s="751"/>
      <c r="AI243" s="751"/>
    </row>
    <row r="244" spans="13:35" s="568" customFormat="1">
      <c r="M244" s="751"/>
      <c r="N244" s="278"/>
      <c r="O244" s="278"/>
      <c r="P244" s="278"/>
      <c r="Q244" s="278"/>
      <c r="R244" s="278"/>
      <c r="S244" s="278"/>
      <c r="T244" s="278"/>
      <c r="U244" s="278"/>
      <c r="V244" s="278"/>
      <c r="W244" s="278"/>
      <c r="X244" s="278"/>
      <c r="Y244" s="278"/>
      <c r="Z244" s="278"/>
      <c r="AA244" s="751"/>
      <c r="AB244" s="751"/>
      <c r="AC244" s="751"/>
      <c r="AD244" s="751"/>
      <c r="AE244" s="751"/>
      <c r="AF244" s="751"/>
      <c r="AG244" s="751"/>
      <c r="AH244" s="751"/>
      <c r="AI244" s="751"/>
    </row>
    <row r="245" spans="13:35" s="568" customFormat="1">
      <c r="M245" s="751"/>
      <c r="N245" s="278"/>
      <c r="O245" s="278"/>
      <c r="P245" s="278"/>
      <c r="Q245" s="278"/>
      <c r="R245" s="278"/>
      <c r="S245" s="278"/>
      <c r="T245" s="278"/>
      <c r="U245" s="278"/>
      <c r="V245" s="278"/>
      <c r="W245" s="278"/>
      <c r="X245" s="278"/>
      <c r="Y245" s="278"/>
      <c r="Z245" s="278"/>
      <c r="AA245" s="751"/>
      <c r="AB245" s="751"/>
      <c r="AC245" s="751"/>
      <c r="AD245" s="751"/>
      <c r="AE245" s="751"/>
      <c r="AF245" s="751"/>
      <c r="AG245" s="751"/>
      <c r="AH245" s="751"/>
      <c r="AI245" s="751"/>
    </row>
    <row r="246" spans="13:35" s="568" customFormat="1">
      <c r="M246" s="751"/>
      <c r="N246" s="278"/>
      <c r="O246" s="278"/>
      <c r="P246" s="278"/>
      <c r="Q246" s="278"/>
      <c r="R246" s="278"/>
      <c r="S246" s="278"/>
      <c r="T246" s="278"/>
      <c r="U246" s="278"/>
      <c r="V246" s="278"/>
      <c r="W246" s="278"/>
      <c r="X246" s="278"/>
      <c r="Y246" s="278"/>
      <c r="Z246" s="278"/>
      <c r="AA246" s="751"/>
      <c r="AB246" s="751"/>
      <c r="AC246" s="751"/>
      <c r="AD246" s="751"/>
      <c r="AE246" s="751"/>
      <c r="AF246" s="751"/>
      <c r="AG246" s="751"/>
      <c r="AH246" s="751"/>
      <c r="AI246" s="751"/>
    </row>
    <row r="247" spans="13:35" s="568" customFormat="1">
      <c r="M247" s="751"/>
      <c r="N247" s="278"/>
      <c r="O247" s="278"/>
      <c r="P247" s="278"/>
      <c r="Q247" s="278"/>
      <c r="R247" s="278"/>
      <c r="S247" s="278"/>
      <c r="T247" s="278"/>
      <c r="U247" s="278"/>
      <c r="V247" s="278"/>
      <c r="W247" s="278"/>
      <c r="X247" s="278"/>
      <c r="Y247" s="278"/>
      <c r="Z247" s="278"/>
      <c r="AA247" s="751"/>
      <c r="AB247" s="751"/>
      <c r="AC247" s="751"/>
      <c r="AD247" s="751"/>
      <c r="AE247" s="751"/>
      <c r="AF247" s="751"/>
      <c r="AG247" s="751"/>
      <c r="AH247" s="751"/>
      <c r="AI247" s="751"/>
    </row>
    <row r="248" spans="13:35" s="568" customFormat="1">
      <c r="M248" s="751"/>
      <c r="N248" s="278"/>
      <c r="O248" s="278"/>
      <c r="P248" s="278"/>
      <c r="Q248" s="278"/>
      <c r="R248" s="278"/>
      <c r="S248" s="278"/>
      <c r="T248" s="278"/>
      <c r="U248" s="278"/>
      <c r="V248" s="278"/>
      <c r="W248" s="278"/>
      <c r="X248" s="278"/>
      <c r="Y248" s="278"/>
      <c r="Z248" s="278"/>
      <c r="AA248" s="751"/>
      <c r="AB248" s="751"/>
      <c r="AC248" s="751"/>
      <c r="AD248" s="751"/>
      <c r="AE248" s="751"/>
      <c r="AF248" s="751"/>
      <c r="AG248" s="751"/>
      <c r="AH248" s="751"/>
      <c r="AI248" s="751"/>
    </row>
    <row r="249" spans="13:35" s="568" customFormat="1">
      <c r="M249" s="751"/>
      <c r="N249" s="278"/>
      <c r="O249" s="278"/>
      <c r="P249" s="278"/>
      <c r="Q249" s="278"/>
      <c r="R249" s="278"/>
      <c r="S249" s="278"/>
      <c r="T249" s="278"/>
      <c r="U249" s="278"/>
      <c r="V249" s="278"/>
      <c r="W249" s="278"/>
      <c r="X249" s="278"/>
      <c r="Y249" s="278"/>
      <c r="Z249" s="278"/>
      <c r="AA249" s="751"/>
      <c r="AB249" s="751"/>
      <c r="AC249" s="751"/>
      <c r="AD249" s="751"/>
      <c r="AE249" s="751"/>
      <c r="AF249" s="751"/>
      <c r="AG249" s="751"/>
      <c r="AH249" s="751"/>
      <c r="AI249" s="751"/>
    </row>
    <row r="250" spans="13:35" s="568" customFormat="1">
      <c r="M250" s="751"/>
      <c r="N250" s="278"/>
      <c r="O250" s="278"/>
      <c r="P250" s="278"/>
      <c r="Q250" s="278"/>
      <c r="R250" s="278"/>
      <c r="S250" s="278"/>
      <c r="T250" s="278"/>
      <c r="U250" s="278"/>
      <c r="V250" s="278"/>
      <c r="W250" s="278"/>
      <c r="X250" s="278"/>
      <c r="Y250" s="278"/>
      <c r="Z250" s="278"/>
      <c r="AA250" s="751"/>
      <c r="AB250" s="751"/>
      <c r="AC250" s="751"/>
      <c r="AD250" s="751"/>
      <c r="AE250" s="751"/>
      <c r="AF250" s="751"/>
      <c r="AG250" s="751"/>
      <c r="AH250" s="751"/>
      <c r="AI250" s="751"/>
    </row>
    <row r="251" spans="13:35" s="568" customFormat="1">
      <c r="M251" s="751"/>
      <c r="N251" s="278"/>
      <c r="O251" s="278"/>
      <c r="P251" s="278"/>
      <c r="Q251" s="278"/>
      <c r="R251" s="278"/>
      <c r="S251" s="278"/>
      <c r="T251" s="278"/>
      <c r="U251" s="278"/>
      <c r="V251" s="278"/>
      <c r="W251" s="278"/>
      <c r="X251" s="278"/>
      <c r="Y251" s="278"/>
      <c r="Z251" s="278"/>
      <c r="AA251" s="751"/>
      <c r="AB251" s="751"/>
      <c r="AC251" s="751"/>
      <c r="AD251" s="751"/>
      <c r="AE251" s="751"/>
      <c r="AF251" s="751"/>
      <c r="AG251" s="751"/>
      <c r="AH251" s="751"/>
      <c r="AI251" s="751"/>
    </row>
    <row r="252" spans="13:35" s="568" customFormat="1">
      <c r="M252" s="751"/>
      <c r="N252" s="278"/>
      <c r="O252" s="278"/>
      <c r="P252" s="278"/>
      <c r="Q252" s="278"/>
      <c r="R252" s="278"/>
      <c r="S252" s="278"/>
      <c r="T252" s="278"/>
      <c r="U252" s="278"/>
      <c r="V252" s="278"/>
      <c r="W252" s="278"/>
      <c r="X252" s="278"/>
      <c r="Y252" s="278"/>
      <c r="Z252" s="278"/>
      <c r="AA252" s="751"/>
      <c r="AB252" s="751"/>
      <c r="AC252" s="751"/>
      <c r="AD252" s="751"/>
      <c r="AE252" s="751"/>
      <c r="AF252" s="751"/>
      <c r="AG252" s="751"/>
      <c r="AH252" s="751"/>
      <c r="AI252" s="751"/>
    </row>
    <row r="253" spans="13:35" s="568" customFormat="1">
      <c r="M253" s="751"/>
      <c r="N253" s="278"/>
      <c r="O253" s="278"/>
      <c r="P253" s="278"/>
      <c r="Q253" s="278"/>
      <c r="R253" s="278"/>
      <c r="S253" s="278"/>
      <c r="T253" s="278"/>
      <c r="U253" s="278"/>
      <c r="V253" s="278"/>
      <c r="W253" s="278"/>
      <c r="X253" s="278"/>
      <c r="Y253" s="278"/>
      <c r="Z253" s="278"/>
      <c r="AA253" s="751"/>
      <c r="AB253" s="751"/>
      <c r="AC253" s="751"/>
      <c r="AD253" s="751"/>
      <c r="AE253" s="751"/>
      <c r="AF253" s="751"/>
      <c r="AG253" s="751"/>
      <c r="AH253" s="751"/>
      <c r="AI253" s="751"/>
    </row>
    <row r="254" spans="13:35" s="568" customFormat="1">
      <c r="M254" s="751"/>
      <c r="N254" s="278"/>
      <c r="O254" s="278"/>
      <c r="P254" s="278"/>
      <c r="Q254" s="278"/>
      <c r="R254" s="278"/>
      <c r="S254" s="278"/>
      <c r="T254" s="278"/>
      <c r="U254" s="278"/>
      <c r="V254" s="278"/>
      <c r="W254" s="278"/>
      <c r="X254" s="278"/>
      <c r="Y254" s="278"/>
      <c r="Z254" s="278"/>
      <c r="AA254" s="751"/>
      <c r="AB254" s="751"/>
      <c r="AC254" s="751"/>
      <c r="AD254" s="751"/>
      <c r="AE254" s="751"/>
      <c r="AF254" s="751"/>
      <c r="AG254" s="751"/>
      <c r="AH254" s="751"/>
      <c r="AI254" s="751"/>
    </row>
    <row r="255" spans="13:35" s="568" customFormat="1">
      <c r="M255" s="751"/>
      <c r="N255" s="278"/>
      <c r="O255" s="278"/>
      <c r="P255" s="278"/>
      <c r="Q255" s="278"/>
      <c r="R255" s="278"/>
      <c r="S255" s="278"/>
      <c r="T255" s="278"/>
      <c r="U255" s="278"/>
      <c r="V255" s="278"/>
      <c r="W255" s="278"/>
      <c r="X255" s="278"/>
      <c r="Y255" s="278"/>
      <c r="Z255" s="278"/>
      <c r="AA255" s="751"/>
      <c r="AB255" s="751"/>
      <c r="AC255" s="751"/>
      <c r="AD255" s="751"/>
      <c r="AE255" s="751"/>
      <c r="AF255" s="751"/>
      <c r="AG255" s="751"/>
      <c r="AH255" s="751"/>
      <c r="AI255" s="751"/>
    </row>
    <row r="256" spans="13:35" s="568" customFormat="1">
      <c r="M256" s="751"/>
      <c r="N256" s="278"/>
      <c r="O256" s="278"/>
      <c r="P256" s="278"/>
      <c r="Q256" s="278"/>
      <c r="R256" s="278"/>
      <c r="S256" s="278"/>
      <c r="T256" s="278"/>
      <c r="U256" s="278"/>
      <c r="V256" s="278"/>
      <c r="W256" s="278"/>
      <c r="X256" s="278"/>
      <c r="Y256" s="278"/>
      <c r="Z256" s="278"/>
      <c r="AA256" s="751"/>
      <c r="AB256" s="751"/>
      <c r="AC256" s="751"/>
      <c r="AD256" s="751"/>
      <c r="AE256" s="751"/>
      <c r="AF256" s="751"/>
      <c r="AG256" s="751"/>
      <c r="AH256" s="751"/>
      <c r="AI256" s="751"/>
    </row>
    <row r="257" spans="13:35" s="568" customFormat="1">
      <c r="M257" s="751"/>
      <c r="N257" s="278"/>
      <c r="O257" s="278"/>
      <c r="P257" s="278"/>
      <c r="Q257" s="278"/>
      <c r="R257" s="278"/>
      <c r="S257" s="278"/>
      <c r="T257" s="278"/>
      <c r="U257" s="278"/>
      <c r="V257" s="278"/>
      <c r="W257" s="278"/>
      <c r="X257" s="278"/>
      <c r="Y257" s="278"/>
      <c r="Z257" s="278"/>
      <c r="AA257" s="751"/>
      <c r="AB257" s="751"/>
      <c r="AC257" s="751"/>
      <c r="AD257" s="751"/>
      <c r="AE257" s="751"/>
      <c r="AF257" s="751"/>
      <c r="AG257" s="751"/>
      <c r="AH257" s="751"/>
      <c r="AI257" s="751"/>
    </row>
    <row r="258" spans="13:35" s="568" customFormat="1">
      <c r="M258" s="751"/>
      <c r="N258" s="278"/>
      <c r="O258" s="278"/>
      <c r="P258" s="278"/>
      <c r="Q258" s="278"/>
      <c r="R258" s="278"/>
      <c r="S258" s="278"/>
      <c r="T258" s="278"/>
      <c r="U258" s="278"/>
      <c r="V258" s="278"/>
      <c r="W258" s="278"/>
      <c r="X258" s="278"/>
      <c r="Y258" s="278"/>
      <c r="Z258" s="278"/>
      <c r="AA258" s="751"/>
      <c r="AB258" s="751"/>
      <c r="AC258" s="751"/>
      <c r="AD258" s="751"/>
      <c r="AE258" s="751"/>
      <c r="AF258" s="751"/>
      <c r="AG258" s="751"/>
      <c r="AH258" s="751"/>
      <c r="AI258" s="751"/>
    </row>
    <row r="259" spans="13:35" s="568" customFormat="1">
      <c r="M259" s="751"/>
      <c r="N259" s="278"/>
      <c r="O259" s="278"/>
      <c r="P259" s="278"/>
      <c r="Q259" s="278"/>
      <c r="R259" s="278"/>
      <c r="S259" s="278"/>
      <c r="T259" s="278"/>
      <c r="U259" s="278"/>
      <c r="V259" s="278"/>
      <c r="W259" s="278"/>
      <c r="X259" s="278"/>
      <c r="Y259" s="278"/>
      <c r="Z259" s="278"/>
      <c r="AA259" s="751"/>
      <c r="AB259" s="751"/>
      <c r="AC259" s="751"/>
      <c r="AD259" s="751"/>
      <c r="AE259" s="751"/>
      <c r="AF259" s="751"/>
      <c r="AG259" s="751"/>
      <c r="AH259" s="751"/>
      <c r="AI259" s="751"/>
    </row>
    <row r="264" spans="13:35">
      <c r="P264" s="615"/>
      <c r="Q264" s="702"/>
      <c r="R264" s="702"/>
      <c r="S264" s="702"/>
      <c r="T264" s="702"/>
      <c r="U264" s="702"/>
      <c r="V264" s="702"/>
      <c r="W264" s="702"/>
      <c r="X264" s="702"/>
      <c r="Y264" s="702"/>
    </row>
    <row r="268" spans="13:35">
      <c r="P268" s="615"/>
      <c r="Q268" s="702"/>
      <c r="R268" s="702"/>
      <c r="S268" s="702"/>
      <c r="T268" s="702"/>
      <c r="U268" s="702"/>
      <c r="V268" s="702"/>
      <c r="W268" s="702"/>
      <c r="X268" s="702"/>
      <c r="Y268" s="702"/>
    </row>
    <row r="269" spans="13:35">
      <c r="P269" s="615"/>
      <c r="Q269" s="702"/>
      <c r="R269" s="702"/>
      <c r="S269" s="702"/>
      <c r="T269" s="702"/>
      <c r="U269" s="702"/>
      <c r="V269" s="702"/>
      <c r="W269" s="702"/>
      <c r="X269" s="702"/>
      <c r="Y269" s="702"/>
    </row>
    <row r="270" spans="13:35">
      <c r="P270" s="615"/>
      <c r="Q270" s="702"/>
      <c r="R270" s="702"/>
      <c r="S270" s="702"/>
      <c r="T270" s="702"/>
      <c r="U270" s="702"/>
      <c r="V270" s="702"/>
      <c r="W270" s="702"/>
      <c r="X270" s="702"/>
      <c r="Y270" s="702"/>
    </row>
    <row r="271" spans="13:35">
      <c r="P271" s="615"/>
      <c r="Q271" s="702"/>
      <c r="R271" s="702"/>
      <c r="S271" s="702"/>
      <c r="T271" s="702"/>
      <c r="U271" s="702"/>
      <c r="V271" s="702"/>
      <c r="W271" s="702"/>
      <c r="X271" s="702"/>
      <c r="Y271" s="702"/>
    </row>
    <row r="272" spans="13:35">
      <c r="P272" s="615"/>
      <c r="Q272" s="702"/>
      <c r="R272" s="702"/>
      <c r="S272" s="704"/>
      <c r="T272" s="702"/>
      <c r="U272" s="702"/>
      <c r="V272" s="702"/>
      <c r="W272" s="702"/>
      <c r="X272" s="702"/>
      <c r="Y272" s="702"/>
    </row>
    <row r="273" spans="16:25">
      <c r="P273" s="615"/>
      <c r="Q273" s="702"/>
      <c r="R273" s="702"/>
      <c r="S273" s="704"/>
      <c r="T273" s="702"/>
      <c r="U273" s="702"/>
      <c r="V273" s="702"/>
      <c r="W273" s="702"/>
      <c r="X273" s="702"/>
      <c r="Y273" s="702"/>
    </row>
    <row r="274" spans="16:25">
      <c r="P274" s="615"/>
      <c r="Q274" s="702"/>
      <c r="R274" s="702"/>
      <c r="S274" s="704"/>
      <c r="T274" s="702"/>
      <c r="U274" s="702"/>
      <c r="V274" s="702"/>
      <c r="W274" s="702"/>
      <c r="X274" s="702"/>
      <c r="Y274" s="702"/>
    </row>
    <row r="275" spans="16:25">
      <c r="P275" s="615"/>
      <c r="Q275" s="702"/>
      <c r="R275" s="702"/>
      <c r="S275" s="704"/>
      <c r="T275" s="702"/>
      <c r="U275" s="702"/>
      <c r="V275" s="702"/>
      <c r="W275" s="702"/>
      <c r="X275" s="702"/>
      <c r="Y275" s="702"/>
    </row>
    <row r="276" spans="16:25">
      <c r="P276" s="615"/>
      <c r="Q276" s="702"/>
      <c r="R276" s="702"/>
      <c r="S276" s="704"/>
      <c r="T276" s="702"/>
      <c r="U276" s="702"/>
      <c r="V276" s="702"/>
      <c r="W276" s="702"/>
      <c r="X276" s="702"/>
      <c r="Y276" s="702"/>
    </row>
    <row r="277" spans="16:25">
      <c r="P277" s="615"/>
      <c r="Q277" s="702"/>
      <c r="R277" s="702"/>
      <c r="S277" s="702"/>
      <c r="T277" s="702"/>
      <c r="U277" s="702"/>
      <c r="V277" s="702"/>
      <c r="W277" s="702"/>
      <c r="X277" s="702"/>
      <c r="Y277" s="702"/>
    </row>
    <row r="278" spans="16:25">
      <c r="P278" s="615"/>
      <c r="Q278" s="702"/>
      <c r="R278" s="702"/>
      <c r="S278" s="702"/>
      <c r="T278" s="702"/>
      <c r="U278" s="702"/>
      <c r="V278" s="702"/>
      <c r="W278" s="702"/>
      <c r="X278" s="702"/>
      <c r="Y278" s="702"/>
    </row>
    <row r="279" spans="16:25">
      <c r="P279" s="615"/>
      <c r="Q279" s="702"/>
      <c r="R279" s="702"/>
      <c r="S279" s="702"/>
      <c r="T279" s="702"/>
      <c r="U279" s="702"/>
      <c r="V279" s="702"/>
      <c r="W279" s="702"/>
      <c r="X279" s="702"/>
      <c r="Y279" s="702"/>
    </row>
    <row r="280" spans="16:25">
      <c r="P280" s="615"/>
      <c r="Q280" s="702"/>
      <c r="R280" s="702"/>
      <c r="S280" s="702"/>
      <c r="T280" s="702"/>
      <c r="U280" s="702"/>
      <c r="V280" s="702"/>
      <c r="W280" s="702"/>
      <c r="X280" s="702"/>
      <c r="Y280" s="702"/>
    </row>
    <row r="281" spans="16:25">
      <c r="P281" s="615"/>
      <c r="Q281" s="702"/>
      <c r="R281" s="702"/>
      <c r="S281" s="702"/>
      <c r="T281" s="702"/>
      <c r="U281" s="702"/>
      <c r="V281" s="702"/>
      <c r="W281" s="702"/>
      <c r="X281" s="702"/>
      <c r="Y281" s="702"/>
    </row>
    <row r="282" spans="16:25">
      <c r="P282" s="615"/>
      <c r="Q282" s="702"/>
      <c r="R282" s="702"/>
      <c r="S282" s="702"/>
      <c r="T282" s="702"/>
      <c r="U282" s="702"/>
      <c r="V282" s="702"/>
      <c r="W282" s="702"/>
      <c r="X282" s="702"/>
      <c r="Y282" s="702"/>
    </row>
    <row r="283" spans="16:25">
      <c r="P283" s="615"/>
      <c r="Q283" s="702"/>
      <c r="R283" s="702"/>
      <c r="S283" s="702"/>
      <c r="T283" s="702"/>
      <c r="U283" s="702"/>
      <c r="V283" s="702"/>
      <c r="W283" s="702"/>
      <c r="X283" s="702"/>
      <c r="Y283" s="702"/>
    </row>
    <row r="284" spans="16:25">
      <c r="P284" s="615"/>
      <c r="Q284" s="702"/>
      <c r="R284" s="702"/>
      <c r="S284" s="702"/>
      <c r="T284" s="702"/>
      <c r="U284" s="702"/>
      <c r="V284" s="702"/>
      <c r="W284" s="702"/>
      <c r="X284" s="702"/>
      <c r="Y284" s="702"/>
    </row>
    <row r="285" spans="16:25">
      <c r="P285" s="615"/>
      <c r="Q285" s="702"/>
      <c r="R285" s="702"/>
      <c r="S285" s="702"/>
      <c r="T285" s="702"/>
      <c r="U285" s="702"/>
      <c r="V285" s="702"/>
      <c r="W285" s="702"/>
      <c r="X285" s="702"/>
      <c r="Y285" s="702"/>
    </row>
    <row r="286" spans="16:25">
      <c r="P286" s="615"/>
      <c r="Q286" s="702"/>
      <c r="R286" s="702"/>
      <c r="S286" s="702"/>
      <c r="T286" s="702"/>
      <c r="U286" s="702"/>
      <c r="V286" s="702"/>
      <c r="W286" s="702"/>
      <c r="X286" s="702"/>
      <c r="Y286" s="702"/>
    </row>
    <row r="287" spans="16:25">
      <c r="P287" s="615"/>
      <c r="Q287" s="702"/>
      <c r="R287" s="702"/>
      <c r="S287" s="702"/>
      <c r="T287" s="702"/>
      <c r="U287" s="702"/>
      <c r="V287" s="702"/>
      <c r="W287" s="702"/>
      <c r="X287" s="702"/>
      <c r="Y287" s="702"/>
    </row>
    <row r="288" spans="16:25">
      <c r="P288" s="615"/>
      <c r="Q288" s="702"/>
      <c r="R288" s="702"/>
      <c r="S288" s="702"/>
      <c r="T288" s="702"/>
      <c r="U288" s="702"/>
      <c r="V288" s="702"/>
      <c r="W288" s="702"/>
      <c r="X288" s="702"/>
      <c r="Y288" s="702"/>
    </row>
    <row r="289" spans="16:25">
      <c r="P289" s="615"/>
      <c r="Q289" s="702"/>
      <c r="R289" s="702"/>
      <c r="S289" s="702"/>
      <c r="T289" s="702"/>
      <c r="U289" s="702"/>
      <c r="V289" s="702"/>
      <c r="W289" s="702"/>
      <c r="X289" s="702"/>
      <c r="Y289" s="702"/>
    </row>
    <row r="290" spans="16:25">
      <c r="P290" s="615"/>
      <c r="Q290" s="702"/>
      <c r="R290" s="702"/>
      <c r="S290" s="702"/>
      <c r="T290" s="702"/>
      <c r="U290" s="702"/>
      <c r="V290" s="702"/>
      <c r="W290" s="702"/>
      <c r="X290" s="702"/>
      <c r="Y290" s="702"/>
    </row>
    <row r="291" spans="16:25">
      <c r="P291" s="615"/>
      <c r="Q291" s="702"/>
      <c r="R291" s="702"/>
      <c r="S291" s="702"/>
      <c r="T291" s="702"/>
      <c r="U291" s="702"/>
      <c r="V291" s="702"/>
      <c r="W291" s="702"/>
      <c r="X291" s="702"/>
      <c r="Y291" s="702"/>
    </row>
    <row r="292" spans="16:25">
      <c r="P292" s="615"/>
      <c r="Q292" s="702"/>
      <c r="R292" s="702"/>
      <c r="S292" s="702"/>
      <c r="T292" s="702"/>
      <c r="U292" s="702"/>
      <c r="V292" s="702"/>
      <c r="W292" s="702"/>
      <c r="X292" s="702"/>
      <c r="Y292" s="702"/>
    </row>
    <row r="293" spans="16:25">
      <c r="P293" s="615"/>
      <c r="Q293" s="702"/>
      <c r="R293" s="702"/>
      <c r="S293" s="702"/>
      <c r="T293" s="702"/>
      <c r="U293" s="702"/>
      <c r="V293" s="702"/>
      <c r="W293" s="702"/>
      <c r="X293" s="702"/>
      <c r="Y293" s="702"/>
    </row>
    <row r="294" spans="16:25">
      <c r="P294" s="615"/>
      <c r="Q294" s="702"/>
      <c r="R294" s="702"/>
      <c r="S294" s="702"/>
      <c r="T294" s="702"/>
      <c r="U294" s="702"/>
      <c r="V294" s="702"/>
      <c r="W294" s="702"/>
      <c r="X294" s="702"/>
      <c r="Y294" s="702"/>
    </row>
    <row r="295" spans="16:25">
      <c r="P295" s="615"/>
      <c r="Q295" s="702"/>
      <c r="R295" s="702"/>
      <c r="S295" s="702"/>
      <c r="T295" s="702"/>
      <c r="U295" s="702"/>
      <c r="V295" s="702"/>
      <c r="W295" s="702"/>
      <c r="X295" s="702"/>
      <c r="Y295" s="702"/>
    </row>
    <row r="296" spans="16:25">
      <c r="P296" s="615"/>
      <c r="Q296" s="702"/>
      <c r="R296" s="702"/>
      <c r="S296" s="702"/>
      <c r="T296" s="702"/>
      <c r="U296" s="702"/>
      <c r="V296" s="702"/>
      <c r="W296" s="702"/>
      <c r="X296" s="702"/>
      <c r="Y296" s="702"/>
    </row>
    <row r="297" spans="16:25">
      <c r="P297" s="615"/>
      <c r="Q297" s="702"/>
      <c r="R297" s="702"/>
      <c r="S297" s="702"/>
      <c r="T297" s="702"/>
      <c r="U297" s="702"/>
      <c r="V297" s="702"/>
      <c r="W297" s="702"/>
      <c r="X297" s="702"/>
      <c r="Y297" s="702"/>
    </row>
    <row r="298" spans="16:25">
      <c r="P298" s="615"/>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30" zoomScaleNormal="100" zoomScaleSheetLayoutView="130" zoomScalePageLayoutView="120" workbookViewId="0">
      <selection activeCell="F52" sqref="F52"/>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09" customWidth="1"/>
    <col min="12" max="12" width="9.28515625" style="509"/>
    <col min="13" max="13" width="20.42578125" style="544" customWidth="1"/>
    <col min="14" max="21" width="9.28515625" style="577"/>
  </cols>
  <sheetData>
    <row r="1" spans="1:17" ht="11.25" customHeight="1"/>
    <row r="2" spans="1:17" ht="11.25" customHeight="1">
      <c r="A2" s="876" t="s">
        <v>444</v>
      </c>
      <c r="B2" s="876"/>
      <c r="C2" s="876"/>
      <c r="D2" s="876"/>
      <c r="E2" s="876"/>
      <c r="F2" s="876"/>
      <c r="G2" s="876"/>
      <c r="H2" s="876"/>
      <c r="I2" s="876"/>
      <c r="J2" s="876"/>
      <c r="K2" s="876"/>
    </row>
    <row r="3" spans="1:17" ht="11.25" customHeight="1">
      <c r="A3" s="18"/>
      <c r="B3" s="18"/>
      <c r="C3" s="18"/>
      <c r="D3" s="18"/>
      <c r="E3" s="18"/>
      <c r="F3" s="18"/>
      <c r="G3" s="18"/>
      <c r="H3" s="18"/>
      <c r="I3" s="18"/>
      <c r="J3" s="527"/>
      <c r="K3" s="527"/>
      <c r="L3" s="299"/>
    </row>
    <row r="4" spans="1:17" ht="11.25" customHeight="1">
      <c r="A4" s="862" t="s">
        <v>383</v>
      </c>
      <c r="B4" s="862"/>
      <c r="C4" s="862"/>
      <c r="D4" s="862"/>
      <c r="E4" s="862"/>
      <c r="F4" s="862"/>
      <c r="G4" s="862"/>
      <c r="H4" s="862"/>
      <c r="I4" s="183"/>
      <c r="J4" s="528"/>
      <c r="L4" s="299"/>
    </row>
    <row r="5" spans="1:17" ht="7.5" customHeight="1">
      <c r="A5" s="184"/>
      <c r="B5" s="184"/>
      <c r="C5" s="184"/>
      <c r="D5" s="184"/>
      <c r="E5" s="184"/>
      <c r="F5" s="184"/>
      <c r="G5" s="184"/>
      <c r="H5" s="184"/>
      <c r="I5" s="184"/>
      <c r="J5" s="529"/>
      <c r="L5" s="530"/>
    </row>
    <row r="6" spans="1:17" ht="11.25" customHeight="1">
      <c r="A6" s="184"/>
      <c r="B6" s="188" t="s">
        <v>384</v>
      </c>
      <c r="C6" s="184"/>
      <c r="D6" s="184"/>
      <c r="E6" s="184"/>
      <c r="F6" s="184"/>
      <c r="G6" s="184"/>
      <c r="H6" s="184"/>
      <c r="I6" s="184"/>
      <c r="J6" s="529"/>
      <c r="L6" s="531"/>
    </row>
    <row r="7" spans="1:17" ht="7.5" customHeight="1">
      <c r="A7" s="184"/>
      <c r="B7" s="185"/>
      <c r="C7" s="184"/>
      <c r="D7" s="184"/>
      <c r="E7" s="184"/>
      <c r="F7" s="184"/>
      <c r="G7" s="184"/>
      <c r="H7" s="184"/>
      <c r="I7" s="184"/>
      <c r="J7" s="529"/>
      <c r="L7" s="532"/>
    </row>
    <row r="8" spans="1:17" ht="21" customHeight="1">
      <c r="A8" s="184"/>
      <c r="B8" s="382" t="s">
        <v>164</v>
      </c>
      <c r="C8" s="383" t="s">
        <v>165</v>
      </c>
      <c r="D8" s="383" t="s">
        <v>166</v>
      </c>
      <c r="E8" s="383" t="s">
        <v>168</v>
      </c>
      <c r="F8" s="383" t="s">
        <v>167</v>
      </c>
      <c r="G8" s="384" t="s">
        <v>169</v>
      </c>
      <c r="H8" s="180"/>
      <c r="I8" s="180"/>
      <c r="J8" s="533"/>
      <c r="L8" s="534"/>
      <c r="M8" s="545" t="s">
        <v>165</v>
      </c>
      <c r="N8" s="578" t="str">
        <f>M8&amp;"
 ("&amp;ROUND(HLOOKUP(M8,$C$8:$G$9,2,0),2)&amp;" USD/MWh)"</f>
        <v>PIURA OESTE 220
 (23,38 USD/MWh)</v>
      </c>
      <c r="O8" s="278"/>
      <c r="P8" s="278"/>
      <c r="Q8" s="278"/>
    </row>
    <row r="9" spans="1:17" ht="18" customHeight="1">
      <c r="A9" s="184"/>
      <c r="B9" s="385" t="s">
        <v>170</v>
      </c>
      <c r="C9" s="267">
        <v>23.377030280933557</v>
      </c>
      <c r="D9" s="267">
        <v>22.8774073955659</v>
      </c>
      <c r="E9" s="267">
        <v>22.651817450055709</v>
      </c>
      <c r="F9" s="267">
        <v>22.517992189307009</v>
      </c>
      <c r="G9" s="267">
        <v>22.343179375810212</v>
      </c>
      <c r="H9" s="180"/>
      <c r="I9" s="180"/>
      <c r="J9" s="533"/>
      <c r="K9" s="533"/>
      <c r="L9" s="534"/>
      <c r="M9" s="545" t="s">
        <v>166</v>
      </c>
      <c r="N9" s="578" t="str">
        <f>M9&amp;"
("&amp;ROUND(HLOOKUP(M9,$C$8:$G$9,2,0),2)&amp;" USD/MWh)"</f>
        <v>CHICLAYO 220
(22,88 USD/MWh)</v>
      </c>
      <c r="O9" s="278"/>
      <c r="P9" s="278"/>
      <c r="Q9" s="278"/>
    </row>
    <row r="10" spans="1:17" ht="14.25" customHeight="1">
      <c r="A10" s="184"/>
      <c r="B10" s="900" t="str">
        <f>"Cuadro N°11: Valor de los costos marginales medios registrados en las principales barras del área norte durante el mes de "&amp;'1. Resumen'!Q4</f>
        <v>Cuadro N°11: Valor de los costos marginales medios registrados en las principales barras del área norte durante el mes de diciembre</v>
      </c>
      <c r="C10" s="900"/>
      <c r="D10" s="900"/>
      <c r="E10" s="900"/>
      <c r="F10" s="900"/>
      <c r="G10" s="900"/>
      <c r="H10" s="900"/>
      <c r="I10" s="900"/>
      <c r="J10" s="533"/>
      <c r="K10" s="533"/>
      <c r="L10" s="534"/>
      <c r="M10" s="545" t="s">
        <v>168</v>
      </c>
      <c r="N10" s="578" t="str">
        <f>M10&amp;"
("&amp;ROUND(HLOOKUP(M10,$C$8:$G$9,2,0),2)&amp;" USD/MWh)"</f>
        <v>TRUJILLO 220
(22,65 USD/MWh)</v>
      </c>
      <c r="O10" s="278"/>
      <c r="P10" s="278"/>
      <c r="Q10" s="278"/>
    </row>
    <row r="11" spans="1:17" ht="11.25" customHeight="1">
      <c r="A11" s="184"/>
      <c r="B11" s="191"/>
      <c r="C11" s="180"/>
      <c r="D11" s="180"/>
      <c r="E11" s="180"/>
      <c r="F11" s="180"/>
      <c r="G11" s="180"/>
      <c r="H11" s="180"/>
      <c r="I11" s="180"/>
      <c r="J11" s="533"/>
      <c r="K11" s="533"/>
      <c r="L11" s="534"/>
      <c r="M11" s="545" t="s">
        <v>167</v>
      </c>
      <c r="N11" s="578" t="str">
        <f>M11&amp;"
("&amp;ROUND(HLOOKUP(M11,$C$8:$G$9,2,0),2)&amp;" USD/MWh)"</f>
        <v>CHIMBOTE1 138
(22,52 USD/MWh)</v>
      </c>
      <c r="O11" s="278"/>
      <c r="P11" s="278"/>
      <c r="Q11" s="278"/>
    </row>
    <row r="12" spans="1:17" ht="11.25" customHeight="1">
      <c r="A12" s="184"/>
      <c r="B12" s="180"/>
      <c r="C12" s="180"/>
      <c r="D12" s="180"/>
      <c r="E12" s="180"/>
      <c r="F12" s="180"/>
      <c r="G12" s="180"/>
      <c r="H12" s="180"/>
      <c r="I12" s="180"/>
      <c r="J12" s="533"/>
      <c r="K12" s="533"/>
      <c r="L12" s="535"/>
      <c r="M12" s="545" t="s">
        <v>169</v>
      </c>
      <c r="N12" s="578" t="str">
        <f>M12&amp;"
("&amp;ROUND(HLOOKUP(M12,$C$8:$G$9,2,0),2)&amp;" USD/MWh)"</f>
        <v>CAJAMARCA 220
(22,34 USD/MWh)</v>
      </c>
      <c r="O12" s="278"/>
      <c r="P12" s="278"/>
      <c r="Q12" s="278"/>
    </row>
    <row r="13" spans="1:17" ht="11.25" customHeight="1">
      <c r="A13" s="184"/>
      <c r="B13" s="180"/>
      <c r="C13" s="180"/>
      <c r="D13" s="180"/>
      <c r="E13" s="180"/>
      <c r="F13" s="180"/>
      <c r="G13" s="180"/>
      <c r="H13" s="180"/>
      <c r="I13" s="180"/>
      <c r="J13" s="533"/>
      <c r="K13" s="533"/>
      <c r="L13" s="534"/>
      <c r="M13" s="545"/>
      <c r="N13" s="578"/>
      <c r="O13" s="545"/>
      <c r="P13" s="278"/>
      <c r="Q13" s="278"/>
    </row>
    <row r="14" spans="1:17" ht="11.25" customHeight="1">
      <c r="A14" s="184"/>
      <c r="B14" s="180"/>
      <c r="C14" s="180"/>
      <c r="D14" s="180"/>
      <c r="E14" s="180"/>
      <c r="F14" s="180"/>
      <c r="G14" s="180"/>
      <c r="H14" s="180"/>
      <c r="I14" s="180"/>
      <c r="J14" s="533"/>
      <c r="K14" s="533"/>
      <c r="L14" s="534"/>
      <c r="M14" s="545" t="s">
        <v>438</v>
      </c>
      <c r="N14" s="578" t="str">
        <f>M14&amp;"
("&amp;ROUND(HLOOKUP(M14,$C$26:$I$27,2,0),2)&amp;" USD/MWh)"</f>
        <v>CHAVARRIA 220
(22,09 USD/MWh)</v>
      </c>
      <c r="O14" s="278"/>
      <c r="P14" s="278"/>
      <c r="Q14" s="278"/>
    </row>
    <row r="15" spans="1:17" ht="11.25" customHeight="1">
      <c r="A15" s="184"/>
      <c r="B15" s="180"/>
      <c r="C15" s="180"/>
      <c r="D15" s="180"/>
      <c r="E15" s="180"/>
      <c r="F15" s="180"/>
      <c r="G15" s="180"/>
      <c r="H15" s="180"/>
      <c r="I15" s="180"/>
      <c r="J15" s="533"/>
      <c r="K15" s="533"/>
      <c r="L15" s="534"/>
      <c r="M15" s="545" t="s">
        <v>173</v>
      </c>
      <c r="N15" s="578" t="str">
        <f t="shared" ref="N15:N20" si="0">M15&amp;"
("&amp;ROUND(HLOOKUP(M15,$C$26:$I$27,2,0),2)&amp;" USD/MWh)"</f>
        <v>INDEPENDENCIA 220
(22,08 USD/MWh)</v>
      </c>
      <c r="O15" s="278"/>
      <c r="P15" s="278"/>
      <c r="Q15" s="278"/>
    </row>
    <row r="16" spans="1:17" ht="11.25" customHeight="1">
      <c r="A16" s="184"/>
      <c r="B16" s="180"/>
      <c r="C16" s="180"/>
      <c r="D16" s="180"/>
      <c r="E16" s="180"/>
      <c r="F16" s="180"/>
      <c r="G16" s="180"/>
      <c r="H16" s="180"/>
      <c r="I16" s="180"/>
      <c r="J16" s="533"/>
      <c r="K16" s="533"/>
      <c r="L16" s="534"/>
      <c r="M16" s="545" t="s">
        <v>174</v>
      </c>
      <c r="N16" s="578" t="str">
        <f t="shared" si="0"/>
        <v>CARABAYLLO 220
(22,04 USD/MWh)</v>
      </c>
      <c r="O16" s="278"/>
      <c r="P16" s="278"/>
      <c r="Q16" s="278"/>
    </row>
    <row r="17" spans="1:17" ht="11.25" customHeight="1">
      <c r="A17" s="184"/>
      <c r="B17" s="180"/>
      <c r="C17" s="180"/>
      <c r="D17" s="180"/>
      <c r="E17" s="180"/>
      <c r="F17" s="180"/>
      <c r="G17" s="180"/>
      <c r="H17" s="180"/>
      <c r="I17" s="180"/>
      <c r="J17" s="533"/>
      <c r="K17" s="533"/>
      <c r="L17" s="534"/>
      <c r="M17" s="545" t="s">
        <v>171</v>
      </c>
      <c r="N17" s="578" t="str">
        <f t="shared" si="0"/>
        <v>SANTA ROSA 220
(22,08 USD/MWh)</v>
      </c>
      <c r="O17" s="278"/>
      <c r="P17" s="278"/>
      <c r="Q17" s="278"/>
    </row>
    <row r="18" spans="1:17" ht="11.25" customHeight="1">
      <c r="A18" s="184"/>
      <c r="B18" s="180"/>
      <c r="C18" s="180"/>
      <c r="D18" s="180"/>
      <c r="E18" s="180"/>
      <c r="F18" s="180"/>
      <c r="G18" s="180"/>
      <c r="H18" s="180"/>
      <c r="I18" s="180"/>
      <c r="J18" s="533"/>
      <c r="K18" s="533"/>
      <c r="L18" s="534"/>
      <c r="M18" s="545" t="s">
        <v>172</v>
      </c>
      <c r="N18" s="578" t="str">
        <f t="shared" si="0"/>
        <v>SAN JUAN 220
(21,69 USD/MWh)</v>
      </c>
      <c r="O18" s="278"/>
      <c r="P18" s="278"/>
      <c r="Q18" s="278"/>
    </row>
    <row r="19" spans="1:17" ht="11.25" customHeight="1">
      <c r="A19" s="184"/>
      <c r="B19" s="180"/>
      <c r="C19" s="180"/>
      <c r="D19" s="180"/>
      <c r="E19" s="180"/>
      <c r="F19" s="180"/>
      <c r="G19" s="180"/>
      <c r="H19" s="180"/>
      <c r="I19" s="180"/>
      <c r="J19" s="533"/>
      <c r="K19" s="533"/>
      <c r="L19" s="536"/>
      <c r="M19" s="545" t="s">
        <v>175</v>
      </c>
      <c r="N19" s="578" t="str">
        <f t="shared" si="0"/>
        <v>POMACOCHA 220
(21,31 USD/MWh)</v>
      </c>
      <c r="O19" s="278"/>
      <c r="P19" s="278"/>
      <c r="Q19" s="278"/>
    </row>
    <row r="20" spans="1:17" ht="11.25" customHeight="1">
      <c r="A20" s="184"/>
      <c r="B20" s="190"/>
      <c r="C20" s="190"/>
      <c r="D20" s="190"/>
      <c r="E20" s="190"/>
      <c r="F20" s="190"/>
      <c r="G20" s="180"/>
      <c r="H20" s="180"/>
      <c r="I20" s="180"/>
      <c r="J20" s="533"/>
      <c r="K20" s="533"/>
      <c r="L20" s="534"/>
      <c r="M20" s="545" t="s">
        <v>176</v>
      </c>
      <c r="N20" s="578" t="str">
        <f t="shared" si="0"/>
        <v>OROYA NUEVA 50
(21,05 USD/MWh)</v>
      </c>
      <c r="O20" s="278"/>
      <c r="P20" s="278"/>
      <c r="Q20" s="278"/>
    </row>
    <row r="21" spans="1:17" ht="11.25" customHeight="1">
      <c r="A21" s="184"/>
      <c r="B21" s="901" t="str">
        <f>"Gráfico N°20: Costos marginales medios registrados en las principales barras del área norte durante el mes de "&amp;'1. Resumen'!Q4</f>
        <v>Gráfico N°20: Costos marginales medios registrados en las principales barras del área norte durante el mes de diciembre</v>
      </c>
      <c r="C21" s="901"/>
      <c r="D21" s="901"/>
      <c r="E21" s="901"/>
      <c r="F21" s="901"/>
      <c r="G21" s="901"/>
      <c r="H21" s="901"/>
      <c r="I21" s="901"/>
      <c r="J21" s="533"/>
      <c r="K21" s="533"/>
      <c r="L21" s="534"/>
      <c r="M21" s="545"/>
      <c r="N21" s="578"/>
      <c r="O21" s="278"/>
      <c r="P21" s="278"/>
      <c r="Q21" s="278"/>
    </row>
    <row r="22" spans="1:17" ht="7.5" customHeight="1">
      <c r="A22" s="184"/>
      <c r="B22" s="186"/>
      <c r="C22" s="186"/>
      <c r="D22" s="186"/>
      <c r="E22" s="186"/>
      <c r="F22" s="186"/>
      <c r="G22" s="184"/>
      <c r="H22" s="184"/>
      <c r="I22" s="184"/>
      <c r="J22" s="529"/>
      <c r="K22" s="529"/>
      <c r="L22" s="531"/>
      <c r="M22" s="545"/>
      <c r="N22" s="578"/>
      <c r="O22" s="278"/>
      <c r="P22" s="278"/>
      <c r="Q22" s="278"/>
    </row>
    <row r="23" spans="1:17" ht="11.25" customHeight="1">
      <c r="A23" s="184"/>
      <c r="B23" s="186"/>
      <c r="C23" s="186"/>
      <c r="D23" s="186"/>
      <c r="E23" s="186"/>
      <c r="F23" s="186"/>
      <c r="G23" s="184"/>
      <c r="H23" s="184"/>
      <c r="I23" s="184"/>
      <c r="J23" s="529"/>
      <c r="K23" s="529"/>
      <c r="L23" s="537"/>
      <c r="M23" s="545" t="s">
        <v>177</v>
      </c>
      <c r="N23" s="578" t="str">
        <f t="shared" ref="N23:N29" si="1">M23&amp;"
("&amp;ROUND(HLOOKUP(M23,$C$45:$I$46,2,0),2)&amp;" USD/MWh)"</f>
        <v>TINTAYA NUEVA 220
(24 USD/MWh)</v>
      </c>
      <c r="O23" s="278"/>
      <c r="P23" s="278"/>
      <c r="Q23" s="278"/>
    </row>
    <row r="24" spans="1:17" ht="11.25" customHeight="1">
      <c r="A24" s="184"/>
      <c r="B24" s="189" t="s">
        <v>385</v>
      </c>
      <c r="C24" s="186"/>
      <c r="D24" s="186"/>
      <c r="E24" s="186"/>
      <c r="F24" s="186"/>
      <c r="G24" s="184"/>
      <c r="H24" s="184"/>
      <c r="I24" s="184"/>
      <c r="J24" s="529"/>
      <c r="K24" s="529"/>
      <c r="L24" s="531"/>
      <c r="M24" s="545" t="s">
        <v>178</v>
      </c>
      <c r="N24" s="578" t="str">
        <f t="shared" si="1"/>
        <v>PUNO 138
(23,32 USD/MWh)</v>
      </c>
      <c r="O24" s="278"/>
      <c r="P24" s="278"/>
      <c r="Q24" s="278"/>
    </row>
    <row r="25" spans="1:17" ht="6.75" customHeight="1">
      <c r="A25" s="184"/>
      <c r="B25" s="186"/>
      <c r="C25" s="186"/>
      <c r="D25" s="186"/>
      <c r="E25" s="186"/>
      <c r="F25" s="186"/>
      <c r="G25" s="184"/>
      <c r="H25" s="184"/>
      <c r="I25" s="184"/>
      <c r="J25" s="529"/>
      <c r="K25" s="529"/>
      <c r="L25" s="531"/>
      <c r="M25" s="545" t="s">
        <v>179</v>
      </c>
      <c r="N25" s="578" t="str">
        <f t="shared" si="1"/>
        <v>SOCABAYA 220
(23,2 USD/MWh)</v>
      </c>
      <c r="O25" s="278"/>
      <c r="P25" s="278"/>
      <c r="Q25" s="278"/>
    </row>
    <row r="26" spans="1:17" ht="25.5" customHeight="1">
      <c r="A26" s="184"/>
      <c r="B26" s="386" t="s">
        <v>164</v>
      </c>
      <c r="C26" s="383" t="s">
        <v>438</v>
      </c>
      <c r="D26" s="383" t="s">
        <v>171</v>
      </c>
      <c r="E26" s="383" t="s">
        <v>174</v>
      </c>
      <c r="F26" s="383" t="s">
        <v>172</v>
      </c>
      <c r="G26" s="383" t="s">
        <v>173</v>
      </c>
      <c r="H26" s="383" t="s">
        <v>175</v>
      </c>
      <c r="I26" s="384" t="s">
        <v>176</v>
      </c>
      <c r="J26" s="538"/>
      <c r="K26" s="533"/>
      <c r="L26" s="534"/>
      <c r="M26" s="545" t="s">
        <v>180</v>
      </c>
      <c r="N26" s="578" t="str">
        <f t="shared" si="1"/>
        <v>MOQUEGUA 138
(23,16 USD/MWh)</v>
      </c>
      <c r="O26" s="278"/>
      <c r="P26" s="278"/>
      <c r="Q26" s="278"/>
    </row>
    <row r="27" spans="1:17" ht="18" customHeight="1">
      <c r="A27" s="184"/>
      <c r="B27" s="387" t="s">
        <v>170</v>
      </c>
      <c r="C27" s="267">
        <v>22.089796562091621</v>
      </c>
      <c r="D27" s="267">
        <v>22.081713312469375</v>
      </c>
      <c r="E27" s="267">
        <v>22.035721725782238</v>
      </c>
      <c r="F27" s="267">
        <v>21.687286858651117</v>
      </c>
      <c r="G27" s="267">
        <v>22.084850604401645</v>
      </c>
      <c r="H27" s="267">
        <v>21.311080051954729</v>
      </c>
      <c r="I27" s="267">
        <v>21.045888753348457</v>
      </c>
      <c r="J27" s="539"/>
      <c r="K27" s="533"/>
      <c r="L27" s="534"/>
      <c r="M27" s="545" t="s">
        <v>181</v>
      </c>
      <c r="N27" s="578" t="str">
        <f t="shared" si="1"/>
        <v>DOLORESPATA 138
(22,18 USD/MWh)</v>
      </c>
      <c r="O27" s="278"/>
      <c r="P27" s="278"/>
      <c r="Q27" s="278"/>
    </row>
    <row r="28" spans="1:17" ht="19.5" customHeight="1">
      <c r="A28" s="184"/>
      <c r="B28" s="902" t="str">
        <f>"Cuadro N°12: Valor de los costos marginales medios registrados en las principales barras del área centro durante el mes de "&amp;'1. Resumen'!Q4</f>
        <v>Cuadro N°12: Valor de los costos marginales medios registrados en las principales barras del área centro durante el mes de diciembre</v>
      </c>
      <c r="C28" s="902"/>
      <c r="D28" s="902"/>
      <c r="E28" s="902"/>
      <c r="F28" s="902"/>
      <c r="G28" s="902"/>
      <c r="H28" s="902"/>
      <c r="I28" s="902"/>
      <c r="J28" s="533"/>
      <c r="K28" s="533"/>
      <c r="L28" s="534"/>
      <c r="M28" s="545" t="s">
        <v>182</v>
      </c>
      <c r="N28" s="578" t="str">
        <f t="shared" si="1"/>
        <v>COTARUSE 220
(22,04 USD/MWh)</v>
      </c>
      <c r="O28" s="278"/>
      <c r="P28" s="278"/>
      <c r="Q28" s="278"/>
    </row>
    <row r="29" spans="1:17" ht="11.25" customHeight="1">
      <c r="A29" s="184"/>
      <c r="B29" s="190"/>
      <c r="C29" s="190"/>
      <c r="D29" s="190"/>
      <c r="E29" s="190"/>
      <c r="F29" s="190"/>
      <c r="G29" s="190"/>
      <c r="H29" s="190"/>
      <c r="I29" s="190"/>
      <c r="J29" s="540"/>
      <c r="K29" s="540"/>
      <c r="L29" s="534"/>
      <c r="M29" s="545" t="s">
        <v>183</v>
      </c>
      <c r="N29" s="578" t="str">
        <f t="shared" si="1"/>
        <v>SAN GABAN 138
(21,56 USD/MWh)</v>
      </c>
      <c r="O29" s="278"/>
      <c r="P29" s="278"/>
      <c r="Q29" s="278"/>
    </row>
    <row r="30" spans="1:17" ht="11.25" customHeight="1">
      <c r="A30" s="184"/>
      <c r="B30" s="190"/>
      <c r="C30" s="190"/>
      <c r="D30" s="190"/>
      <c r="E30" s="190"/>
      <c r="F30" s="190"/>
      <c r="G30" s="190"/>
      <c r="H30" s="190"/>
      <c r="I30" s="190"/>
      <c r="J30" s="540"/>
      <c r="K30" s="540"/>
      <c r="L30" s="534"/>
      <c r="M30" s="545"/>
      <c r="N30" s="579"/>
      <c r="O30" s="278"/>
      <c r="P30" s="278"/>
      <c r="Q30" s="278"/>
    </row>
    <row r="31" spans="1:17" ht="11.25" customHeight="1">
      <c r="A31" s="184"/>
      <c r="B31" s="190"/>
      <c r="C31" s="190"/>
      <c r="D31" s="190"/>
      <c r="E31" s="190"/>
      <c r="F31" s="190"/>
      <c r="G31" s="190"/>
      <c r="H31" s="190"/>
      <c r="I31" s="190"/>
      <c r="J31" s="540"/>
      <c r="K31" s="540"/>
      <c r="L31" s="534"/>
      <c r="M31" s="545"/>
      <c r="N31" s="579"/>
      <c r="O31" s="278"/>
      <c r="P31" s="278"/>
      <c r="Q31" s="278"/>
    </row>
    <row r="32" spans="1:17" ht="11.25" customHeight="1">
      <c r="A32" s="184"/>
      <c r="B32" s="190"/>
      <c r="C32" s="190"/>
      <c r="D32" s="190"/>
      <c r="E32" s="190"/>
      <c r="F32" s="190"/>
      <c r="G32" s="190"/>
      <c r="H32" s="190"/>
      <c r="I32" s="190"/>
      <c r="J32" s="540"/>
      <c r="K32" s="540"/>
      <c r="L32" s="534"/>
      <c r="M32" s="545"/>
      <c r="N32" s="278"/>
      <c r="O32" s="278"/>
      <c r="P32" s="278"/>
      <c r="Q32" s="278"/>
    </row>
    <row r="33" spans="1:17" ht="11.25" customHeight="1">
      <c r="A33" s="184"/>
      <c r="B33" s="190"/>
      <c r="C33" s="190"/>
      <c r="D33" s="190"/>
      <c r="E33" s="190"/>
      <c r="F33" s="190"/>
      <c r="G33" s="190"/>
      <c r="H33" s="190"/>
      <c r="I33" s="190"/>
      <c r="J33" s="540"/>
      <c r="K33" s="540"/>
      <c r="L33" s="534"/>
      <c r="N33" s="278"/>
      <c r="O33" s="278"/>
      <c r="P33" s="278"/>
      <c r="Q33" s="278"/>
    </row>
    <row r="34" spans="1:17" ht="11.25" customHeight="1">
      <c r="A34" s="184"/>
      <c r="B34" s="190"/>
      <c r="C34" s="190"/>
      <c r="D34" s="190"/>
      <c r="E34" s="190"/>
      <c r="F34" s="190"/>
      <c r="G34" s="190"/>
      <c r="H34" s="190"/>
      <c r="I34" s="190"/>
      <c r="J34" s="540"/>
      <c r="K34" s="540"/>
      <c r="L34" s="534"/>
      <c r="N34" s="278"/>
      <c r="O34" s="278"/>
      <c r="P34" s="278"/>
      <c r="Q34" s="278"/>
    </row>
    <row r="35" spans="1:17" ht="11.25" customHeight="1">
      <c r="A35" s="184"/>
      <c r="B35" s="190"/>
      <c r="C35" s="190"/>
      <c r="D35" s="190"/>
      <c r="E35" s="190"/>
      <c r="F35" s="190"/>
      <c r="G35" s="190"/>
      <c r="H35" s="190"/>
      <c r="I35" s="190"/>
      <c r="J35" s="540"/>
      <c r="K35" s="540"/>
      <c r="L35" s="541"/>
      <c r="N35" s="278"/>
      <c r="O35" s="278"/>
      <c r="P35" s="278"/>
      <c r="Q35" s="278"/>
    </row>
    <row r="36" spans="1:17" ht="11.25" customHeight="1">
      <c r="A36" s="184"/>
      <c r="B36" s="190"/>
      <c r="C36" s="190"/>
      <c r="D36" s="190"/>
      <c r="E36" s="190"/>
      <c r="F36" s="190"/>
      <c r="G36" s="190"/>
      <c r="H36" s="190"/>
      <c r="I36" s="190"/>
      <c r="J36" s="540"/>
      <c r="K36" s="540"/>
      <c r="L36" s="534"/>
      <c r="N36" s="278"/>
      <c r="O36" s="278"/>
      <c r="P36" s="278"/>
      <c r="Q36" s="278"/>
    </row>
    <row r="37" spans="1:17" ht="11.25" customHeight="1">
      <c r="A37" s="184"/>
      <c r="B37" s="190"/>
      <c r="C37" s="190"/>
      <c r="D37" s="190"/>
      <c r="E37" s="190"/>
      <c r="F37" s="190"/>
      <c r="G37" s="190"/>
      <c r="H37" s="190"/>
      <c r="I37" s="190"/>
      <c r="J37" s="540"/>
      <c r="K37" s="540"/>
      <c r="L37" s="534"/>
      <c r="N37" s="278"/>
      <c r="O37" s="278"/>
      <c r="P37" s="278"/>
      <c r="Q37" s="278"/>
    </row>
    <row r="38" spans="1:17" ht="11.25" customHeight="1">
      <c r="A38" s="184"/>
      <c r="B38" s="190"/>
      <c r="C38" s="190"/>
      <c r="D38" s="190"/>
      <c r="E38" s="190"/>
      <c r="F38" s="190"/>
      <c r="G38" s="190"/>
      <c r="H38" s="190"/>
      <c r="I38" s="190"/>
      <c r="J38" s="540"/>
      <c r="K38" s="540"/>
      <c r="L38" s="534"/>
      <c r="N38" s="278"/>
      <c r="O38" s="278"/>
      <c r="P38" s="278"/>
      <c r="Q38" s="278"/>
    </row>
    <row r="39" spans="1:17" ht="11.25" customHeight="1">
      <c r="A39" s="184"/>
      <c r="B39" s="190"/>
      <c r="C39" s="190"/>
      <c r="D39" s="190"/>
      <c r="E39" s="190"/>
      <c r="F39" s="190"/>
      <c r="G39" s="190"/>
      <c r="H39" s="190"/>
      <c r="I39" s="190"/>
      <c r="J39" s="540"/>
      <c r="K39" s="540"/>
      <c r="L39" s="534"/>
      <c r="N39" s="278"/>
      <c r="O39" s="278"/>
      <c r="P39" s="278"/>
      <c r="Q39" s="278"/>
    </row>
    <row r="40" spans="1:17" ht="13.5" customHeight="1">
      <c r="A40" s="184"/>
      <c r="B40" s="900" t="str">
        <f>"Gráfico N°21: Costos marginales medios registrados en las principales barras del área centro durante el mes de "&amp;'1. Resumen'!Q4</f>
        <v>Gráfico N°21: Costos marginales medios registrados en las principales barras del área centro durante el mes de diciembre</v>
      </c>
      <c r="C40" s="900"/>
      <c r="D40" s="900"/>
      <c r="E40" s="900"/>
      <c r="F40" s="900"/>
      <c r="G40" s="900"/>
      <c r="H40" s="900"/>
      <c r="I40" s="900"/>
      <c r="J40" s="540"/>
      <c r="K40" s="540"/>
      <c r="L40" s="534"/>
      <c r="N40" s="278"/>
      <c r="O40" s="278"/>
      <c r="P40" s="278"/>
      <c r="Q40" s="278"/>
    </row>
    <row r="41" spans="1:17" ht="6.75" customHeight="1">
      <c r="A41" s="184"/>
      <c r="B41" s="190"/>
      <c r="C41" s="190"/>
      <c r="D41" s="190"/>
      <c r="E41" s="190"/>
      <c r="F41" s="190"/>
      <c r="G41" s="190"/>
      <c r="H41" s="190"/>
      <c r="I41" s="190"/>
      <c r="J41" s="540"/>
      <c r="K41" s="540"/>
      <c r="L41" s="534"/>
      <c r="N41" s="278"/>
      <c r="O41" s="278"/>
      <c r="P41" s="278"/>
      <c r="Q41" s="278"/>
    </row>
    <row r="42" spans="1:17" ht="8.25" customHeight="1">
      <c r="A42" s="184"/>
      <c r="B42" s="186"/>
      <c r="C42" s="186"/>
      <c r="D42" s="186"/>
      <c r="E42" s="186"/>
      <c r="F42" s="186"/>
      <c r="G42" s="186"/>
      <c r="H42" s="186"/>
      <c r="I42" s="186"/>
      <c r="J42" s="542"/>
      <c r="K42" s="542"/>
      <c r="L42" s="11"/>
      <c r="N42" s="278"/>
      <c r="O42" s="278"/>
      <c r="P42" s="278"/>
      <c r="Q42" s="278"/>
    </row>
    <row r="43" spans="1:17" ht="11.25" customHeight="1">
      <c r="A43" s="184"/>
      <c r="B43" s="189" t="s">
        <v>386</v>
      </c>
      <c r="C43" s="186"/>
      <c r="D43" s="186"/>
      <c r="E43" s="186"/>
      <c r="F43" s="186"/>
      <c r="G43" s="186"/>
      <c r="H43" s="186"/>
      <c r="I43" s="186"/>
      <c r="J43" s="542"/>
      <c r="K43" s="542"/>
      <c r="L43" s="11"/>
      <c r="N43" s="278"/>
      <c r="O43" s="278"/>
      <c r="P43" s="278"/>
      <c r="Q43" s="278"/>
    </row>
    <row r="44" spans="1:17" ht="6.75" customHeight="1">
      <c r="A44" s="184"/>
      <c r="B44" s="186"/>
      <c r="C44" s="186"/>
      <c r="D44" s="186"/>
      <c r="E44" s="186"/>
      <c r="F44" s="186"/>
      <c r="G44" s="186"/>
      <c r="H44" s="186"/>
      <c r="I44" s="186"/>
      <c r="J44" s="542"/>
      <c r="K44" s="542"/>
      <c r="L44" s="11"/>
      <c r="N44" s="278"/>
      <c r="O44" s="278"/>
      <c r="P44" s="278"/>
      <c r="Q44" s="278"/>
    </row>
    <row r="45" spans="1:17" ht="27" customHeight="1">
      <c r="A45" s="184"/>
      <c r="B45" s="386" t="s">
        <v>164</v>
      </c>
      <c r="C45" s="383" t="s">
        <v>177</v>
      </c>
      <c r="D45" s="383" t="s">
        <v>179</v>
      </c>
      <c r="E45" s="383" t="s">
        <v>180</v>
      </c>
      <c r="F45" s="383" t="s">
        <v>178</v>
      </c>
      <c r="G45" s="383" t="s">
        <v>181</v>
      </c>
      <c r="H45" s="383" t="s">
        <v>182</v>
      </c>
      <c r="I45" s="384" t="s">
        <v>183</v>
      </c>
      <c r="J45" s="538"/>
      <c r="K45" s="540"/>
      <c r="N45" s="278"/>
      <c r="O45" s="278"/>
      <c r="P45" s="278"/>
      <c r="Q45" s="278"/>
    </row>
    <row r="46" spans="1:17" ht="18.75" customHeight="1">
      <c r="A46" s="184"/>
      <c r="B46" s="387" t="s">
        <v>170</v>
      </c>
      <c r="C46" s="267">
        <v>24.002125955955126</v>
      </c>
      <c r="D46" s="267">
        <v>23.199399693462333</v>
      </c>
      <c r="E46" s="267">
        <v>23.159949195699959</v>
      </c>
      <c r="F46" s="267">
        <v>23.317292060680838</v>
      </c>
      <c r="G46" s="267">
        <v>22.177120598101482</v>
      </c>
      <c r="H46" s="267">
        <v>22.037076230991822</v>
      </c>
      <c r="I46" s="267">
        <v>21.563467653517613</v>
      </c>
      <c r="J46" s="539"/>
      <c r="K46" s="540"/>
      <c r="N46" s="278"/>
      <c r="O46" s="278"/>
      <c r="P46" s="278"/>
      <c r="Q46" s="278"/>
    </row>
    <row r="47" spans="1:17" ht="18" customHeight="1">
      <c r="A47" s="184"/>
      <c r="B47" s="902" t="str">
        <f>"Cuadro N°13: Valor de los costos marginales medios registrados en las principales barras del área sur durante el mes de "&amp;'1. Resumen'!Q4</f>
        <v>Cuadro N°13: Valor de los costos marginales medios registrados en las principales barras del área sur durante el mes de diciembre</v>
      </c>
      <c r="C47" s="902"/>
      <c r="D47" s="902"/>
      <c r="E47" s="902"/>
      <c r="F47" s="902"/>
      <c r="G47" s="902"/>
      <c r="H47" s="902"/>
      <c r="I47" s="902"/>
      <c r="J47" s="539"/>
      <c r="K47" s="540"/>
    </row>
    <row r="48" spans="1:17" ht="13.2">
      <c r="A48" s="184"/>
      <c r="B48" s="190"/>
      <c r="C48" s="190"/>
      <c r="D48" s="190"/>
      <c r="E48" s="190"/>
      <c r="F48" s="190"/>
      <c r="G48" s="180"/>
      <c r="H48" s="180"/>
      <c r="I48" s="180"/>
      <c r="J48" s="533"/>
      <c r="K48" s="540"/>
    </row>
    <row r="49" spans="1:11" ht="13.2">
      <c r="A49" s="184"/>
      <c r="B49" s="180"/>
      <c r="C49" s="180"/>
      <c r="D49" s="180"/>
      <c r="E49" s="180"/>
      <c r="F49" s="180"/>
      <c r="G49" s="180"/>
      <c r="H49" s="180"/>
      <c r="I49" s="180"/>
      <c r="J49" s="533"/>
      <c r="K49" s="540"/>
    </row>
    <row r="50" spans="1:11" ht="13.2">
      <c r="A50" s="184"/>
      <c r="B50" s="111"/>
      <c r="C50" s="111"/>
      <c r="D50" s="111"/>
      <c r="E50" s="111"/>
      <c r="F50" s="111"/>
      <c r="G50" s="111"/>
      <c r="H50" s="111"/>
      <c r="I50" s="111"/>
      <c r="J50" s="543"/>
      <c r="K50" s="540"/>
    </row>
    <row r="51" spans="1:11" ht="13.2">
      <c r="A51" s="184"/>
      <c r="B51" s="111"/>
      <c r="C51" s="111"/>
      <c r="D51" s="111"/>
      <c r="E51" s="111"/>
      <c r="F51" s="111"/>
      <c r="G51" s="111"/>
      <c r="H51" s="111"/>
      <c r="I51" s="111"/>
      <c r="J51" s="543"/>
      <c r="K51" s="540"/>
    </row>
    <row r="52" spans="1:11" ht="13.2">
      <c r="A52" s="184"/>
      <c r="B52" s="111"/>
      <c r="C52" s="111"/>
      <c r="D52" s="111"/>
      <c r="E52" s="111"/>
      <c r="F52" s="111"/>
      <c r="G52" s="111"/>
      <c r="H52" s="111"/>
      <c r="I52" s="111"/>
      <c r="J52" s="543"/>
      <c r="K52" s="540"/>
    </row>
    <row r="53" spans="1:11" ht="13.2">
      <c r="A53" s="184"/>
      <c r="B53" s="111"/>
      <c r="C53" s="111"/>
      <c r="D53" s="111"/>
      <c r="E53" s="111"/>
      <c r="F53" s="111"/>
      <c r="G53" s="111"/>
      <c r="H53" s="111"/>
      <c r="I53" s="111"/>
      <c r="J53" s="543"/>
      <c r="K53" s="540"/>
    </row>
    <row r="54" spans="1:11" ht="13.2">
      <c r="A54" s="184"/>
      <c r="B54" s="111"/>
      <c r="C54" s="111"/>
      <c r="D54" s="111"/>
      <c r="E54" s="111"/>
      <c r="F54" s="111"/>
      <c r="G54" s="111"/>
      <c r="H54" s="111"/>
      <c r="I54" s="111"/>
      <c r="J54" s="543"/>
      <c r="K54" s="540"/>
    </row>
    <row r="55" spans="1:11" ht="13.2">
      <c r="A55" s="184"/>
      <c r="B55" s="111"/>
      <c r="C55" s="111"/>
      <c r="D55" s="111"/>
      <c r="E55" s="111"/>
      <c r="F55" s="111"/>
      <c r="G55" s="111"/>
      <c r="H55" s="111"/>
      <c r="I55" s="111"/>
      <c r="J55" s="543"/>
      <c r="K55" s="540"/>
    </row>
    <row r="56" spans="1:11" ht="13.2">
      <c r="A56" s="184"/>
      <c r="B56" s="180"/>
      <c r="C56" s="180"/>
      <c r="D56" s="180"/>
      <c r="E56" s="180"/>
      <c r="F56" s="180"/>
      <c r="G56" s="180"/>
      <c r="H56" s="180"/>
      <c r="I56" s="180"/>
      <c r="J56" s="533"/>
      <c r="K56" s="540"/>
    </row>
    <row r="57" spans="1:11" ht="13.2">
      <c r="A57" s="184"/>
      <c r="B57" s="180"/>
      <c r="C57" s="180"/>
      <c r="D57" s="180"/>
      <c r="E57" s="180"/>
      <c r="F57" s="180"/>
      <c r="G57" s="180"/>
      <c r="H57" s="180"/>
      <c r="I57" s="180"/>
      <c r="J57" s="533"/>
      <c r="K57" s="540"/>
    </row>
    <row r="58" spans="1:11" ht="13.2">
      <c r="A58" s="184"/>
      <c r="B58" s="900" t="str">
        <f>"Gráfico N°22: Costos marginales medios registrados en las principales barras del área sur durante el mes de "&amp;'1. Resumen'!Q4</f>
        <v>Gráfico N°22: Costos marginales medios registrados en las principales barras del área sur durante el mes de diciembre</v>
      </c>
      <c r="C58" s="900"/>
      <c r="D58" s="900"/>
      <c r="E58" s="900"/>
      <c r="F58" s="900"/>
      <c r="G58" s="900"/>
      <c r="H58" s="900"/>
      <c r="I58" s="900"/>
      <c r="J58" s="533"/>
      <c r="K58" s="540"/>
    </row>
    <row r="59" spans="1:11" ht="13.2">
      <c r="A59" s="74"/>
      <c r="B59" s="136"/>
      <c r="C59" s="136"/>
      <c r="D59" s="136"/>
      <c r="E59" s="136"/>
      <c r="F59" s="136"/>
      <c r="G59" s="136"/>
      <c r="H59" s="180"/>
      <c r="I59" s="180"/>
      <c r="J59" s="533"/>
      <c r="K59" s="540"/>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30" workbookViewId="0">
      <selection activeCell="F52" sqref="F52"/>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62" t="s">
        <v>388</v>
      </c>
      <c r="B2" s="862"/>
      <c r="C2" s="862"/>
      <c r="D2" s="862"/>
      <c r="E2" s="862"/>
      <c r="F2" s="862"/>
      <c r="G2" s="862"/>
      <c r="H2" s="862"/>
      <c r="I2" s="862"/>
      <c r="J2" s="862"/>
      <c r="K2" s="862"/>
      <c r="L2" s="86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7"/>
  <sheetViews>
    <sheetView showGridLines="0" view="pageBreakPreview" zoomScale="115" zoomScaleNormal="100" zoomScaleSheetLayoutView="115" workbookViewId="0">
      <selection activeCell="F52" sqref="F52"/>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903" t="s">
        <v>387</v>
      </c>
      <c r="B2" s="903"/>
      <c r="C2" s="903"/>
      <c r="D2" s="903"/>
      <c r="E2" s="903"/>
      <c r="F2" s="903"/>
      <c r="G2" s="903"/>
      <c r="H2" s="903"/>
      <c r="I2" s="203"/>
      <c r="J2" s="203"/>
      <c r="K2" s="203"/>
    </row>
    <row r="3" spans="1:12" ht="3" customHeight="1">
      <c r="A3" s="77"/>
      <c r="B3" s="77"/>
      <c r="C3" s="77"/>
      <c r="D3" s="77"/>
      <c r="E3" s="77"/>
      <c r="F3" s="77"/>
      <c r="G3" s="77"/>
      <c r="H3" s="77"/>
      <c r="I3" s="204"/>
      <c r="J3" s="204"/>
      <c r="K3" s="204"/>
      <c r="L3" s="36"/>
    </row>
    <row r="4" spans="1:12" ht="15" customHeight="1">
      <c r="A4" s="894" t="s">
        <v>435</v>
      </c>
      <c r="B4" s="894"/>
      <c r="C4" s="894"/>
      <c r="D4" s="894"/>
      <c r="E4" s="894"/>
      <c r="F4" s="894"/>
      <c r="G4" s="894"/>
      <c r="H4" s="894"/>
      <c r="I4" s="195"/>
      <c r="J4" s="195"/>
      <c r="K4" s="195"/>
      <c r="L4" s="36"/>
    </row>
    <row r="5" spans="1:12" ht="11.25" customHeight="1">
      <c r="A5" s="77"/>
      <c r="B5" s="164"/>
      <c r="C5" s="78"/>
      <c r="D5" s="79"/>
      <c r="E5" s="79"/>
      <c r="F5" s="80"/>
      <c r="G5" s="76"/>
      <c r="H5" s="76"/>
      <c r="I5" s="196"/>
      <c r="J5" s="196"/>
      <c r="K5" s="196"/>
      <c r="L5" s="205"/>
    </row>
    <row r="6" spans="1:12" ht="30.75" customHeight="1">
      <c r="A6" s="409" t="s">
        <v>184</v>
      </c>
      <c r="B6" s="407" t="s">
        <v>185</v>
      </c>
      <c r="C6" s="407" t="s">
        <v>186</v>
      </c>
      <c r="D6" s="406" t="str">
        <f>UPPER('1. Resumen'!Q4)&amp;"
 "&amp;'1. Resumen'!Q5</f>
        <v>DICIEMBRE
 2021</v>
      </c>
      <c r="E6" s="406" t="str">
        <f>UPPER('1. Resumen'!Q4)&amp;"
 "&amp;'1. Resumen'!Q5-1</f>
        <v>DICIEMBRE
 2020</v>
      </c>
      <c r="F6" s="406" t="str">
        <f>UPPER('1. Resumen'!Q4)&amp;"
 "&amp;'1. Resumen'!Q5-2</f>
        <v>DICIEMBRE
 2019</v>
      </c>
      <c r="G6" s="407" t="s">
        <v>491</v>
      </c>
      <c r="H6" s="408" t="s">
        <v>456</v>
      </c>
      <c r="I6" s="196"/>
      <c r="J6" s="196"/>
      <c r="K6" s="196"/>
      <c r="L6" s="166"/>
    </row>
    <row r="7" spans="1:12" ht="19.5" customHeight="1">
      <c r="A7" s="799" t="s">
        <v>649</v>
      </c>
      <c r="B7" s="609" t="s">
        <v>669</v>
      </c>
      <c r="C7" s="610" t="s">
        <v>670</v>
      </c>
      <c r="D7" s="611">
        <v>5.1999999999999993</v>
      </c>
      <c r="E7" s="611"/>
      <c r="F7" s="611"/>
      <c r="G7" s="612"/>
      <c r="H7" s="612"/>
      <c r="I7" s="196"/>
      <c r="J7" s="196"/>
      <c r="K7" s="196"/>
      <c r="L7" s="58"/>
    </row>
    <row r="8" spans="1:12" ht="19.5" customHeight="1">
      <c r="A8" s="904" t="s">
        <v>187</v>
      </c>
      <c r="B8" s="609" t="s">
        <v>645</v>
      </c>
      <c r="C8" s="610" t="s">
        <v>646</v>
      </c>
      <c r="D8" s="611">
        <v>19.716666666666669</v>
      </c>
      <c r="E8" s="611"/>
      <c r="F8" s="611"/>
      <c r="G8" s="612"/>
      <c r="H8" s="612"/>
      <c r="I8" s="196"/>
      <c r="J8" s="196"/>
      <c r="K8" s="196"/>
      <c r="L8" s="58"/>
    </row>
    <row r="9" spans="1:12" ht="19.5" customHeight="1">
      <c r="A9" s="904"/>
      <c r="B9" s="609" t="s">
        <v>671</v>
      </c>
      <c r="C9" s="610" t="s">
        <v>672</v>
      </c>
      <c r="D9" s="611">
        <v>2.9333333333333336</v>
      </c>
      <c r="E9" s="611"/>
      <c r="F9" s="611"/>
      <c r="G9" s="612"/>
      <c r="H9" s="612"/>
      <c r="I9" s="196"/>
      <c r="J9" s="196"/>
      <c r="K9" s="196"/>
      <c r="L9" s="58"/>
    </row>
    <row r="10" spans="1:12" ht="19.5" customHeight="1">
      <c r="A10" s="904"/>
      <c r="B10" s="609" t="s">
        <v>673</v>
      </c>
      <c r="C10" s="610" t="s">
        <v>674</v>
      </c>
      <c r="D10" s="611">
        <v>8.1333333333333329</v>
      </c>
      <c r="E10" s="611"/>
      <c r="F10" s="611"/>
      <c r="G10" s="612"/>
      <c r="H10" s="612"/>
      <c r="I10" s="196"/>
      <c r="J10" s="196"/>
      <c r="K10" s="196"/>
      <c r="L10" s="58"/>
    </row>
    <row r="11" spans="1:12" ht="19.5" customHeight="1">
      <c r="A11" s="904"/>
      <c r="B11" s="609" t="s">
        <v>675</v>
      </c>
      <c r="C11" s="610" t="s">
        <v>676</v>
      </c>
      <c r="D11" s="611"/>
      <c r="E11" s="611"/>
      <c r="F11" s="611">
        <v>5.6333333333333329</v>
      </c>
      <c r="G11" s="612"/>
      <c r="H11" s="612"/>
      <c r="I11" s="196"/>
      <c r="J11" s="196"/>
      <c r="K11" s="196"/>
      <c r="L11" s="58"/>
    </row>
    <row r="12" spans="1:12" ht="19.5" customHeight="1">
      <c r="A12" s="904"/>
      <c r="B12" s="609" t="s">
        <v>677</v>
      </c>
      <c r="C12" s="610" t="s">
        <v>678</v>
      </c>
      <c r="D12" s="611"/>
      <c r="E12" s="611"/>
      <c r="F12" s="611">
        <v>1.8666666666666654</v>
      </c>
      <c r="G12" s="612"/>
      <c r="H12" s="612"/>
      <c r="I12" s="196"/>
      <c r="J12" s="196"/>
      <c r="K12" s="196"/>
      <c r="L12" s="58"/>
    </row>
    <row r="13" spans="1:12" ht="19.5" customHeight="1">
      <c r="A13" s="904"/>
      <c r="B13" s="609" t="s">
        <v>634</v>
      </c>
      <c r="C13" s="610" t="s">
        <v>635</v>
      </c>
      <c r="D13" s="611"/>
      <c r="E13" s="611">
        <v>28.216666666666669</v>
      </c>
      <c r="F13" s="611">
        <v>62.733333333333334</v>
      </c>
      <c r="G13" s="612"/>
      <c r="H13" s="612"/>
      <c r="I13" s="196"/>
      <c r="J13" s="196"/>
      <c r="K13" s="196"/>
      <c r="L13" s="58"/>
    </row>
    <row r="14" spans="1:12" ht="19.5" customHeight="1">
      <c r="A14" s="904"/>
      <c r="B14" s="609" t="s">
        <v>621</v>
      </c>
      <c r="C14" s="610" t="s">
        <v>636</v>
      </c>
      <c r="D14" s="611">
        <v>135.63333333333335</v>
      </c>
      <c r="E14" s="611">
        <v>121.31666666666668</v>
      </c>
      <c r="F14" s="611">
        <v>247.36666666666662</v>
      </c>
      <c r="G14" s="612">
        <f>+D14/E14</f>
        <v>1.1180107157576591</v>
      </c>
      <c r="H14" s="612">
        <f>+E14/F14</f>
        <v>0.49043255625926441</v>
      </c>
      <c r="I14" s="196"/>
      <c r="J14" s="196"/>
      <c r="K14" s="196"/>
      <c r="L14" s="58"/>
    </row>
    <row r="15" spans="1:12" ht="19.5" customHeight="1">
      <c r="A15" s="904"/>
      <c r="B15" s="609" t="s">
        <v>637</v>
      </c>
      <c r="C15" s="610" t="s">
        <v>605</v>
      </c>
      <c r="D15" s="611"/>
      <c r="E15" s="611">
        <v>9.6666666666666661</v>
      </c>
      <c r="F15" s="611"/>
      <c r="G15" s="612"/>
      <c r="H15" s="612"/>
      <c r="I15" s="196"/>
      <c r="J15" s="196"/>
      <c r="K15" s="196"/>
      <c r="L15" s="58"/>
    </row>
    <row r="16" spans="1:12" ht="19.5" customHeight="1">
      <c r="A16" s="904"/>
      <c r="B16" s="609" t="s">
        <v>647</v>
      </c>
      <c r="C16" s="610" t="s">
        <v>648</v>
      </c>
      <c r="D16" s="611">
        <v>1.1666666666666665</v>
      </c>
      <c r="E16" s="611"/>
      <c r="F16" s="611"/>
      <c r="G16" s="612"/>
      <c r="H16" s="612"/>
      <c r="I16" s="196"/>
      <c r="J16" s="196"/>
      <c r="K16" s="196"/>
      <c r="L16" s="58"/>
    </row>
    <row r="17" spans="1:12" ht="18.75" customHeight="1">
      <c r="A17" s="400" t="s">
        <v>188</v>
      </c>
      <c r="B17" s="401"/>
      <c r="C17" s="402"/>
      <c r="D17" s="403">
        <f>SUM(D7:D7)</f>
        <v>5.1999999999999993</v>
      </c>
      <c r="E17" s="403">
        <f>SUM(E7:E7)</f>
        <v>0</v>
      </c>
      <c r="F17" s="403">
        <f>SUM(F7:F7)</f>
        <v>0</v>
      </c>
      <c r="G17" s="573"/>
      <c r="H17" s="573"/>
      <c r="I17" s="196"/>
      <c r="J17" s="196"/>
      <c r="K17" s="197"/>
      <c r="L17" s="206"/>
    </row>
    <row r="18" spans="1:12" ht="11.25" customHeight="1">
      <c r="A18" s="265" t="str">
        <f>"Cuadro N° 14: Horas de operación de los principales equipos de congestión en "&amp;'1. Resumen'!Q4</f>
        <v>Cuadro N° 14: Horas de operación de los principales equipos de congestión en diciembre</v>
      </c>
      <c r="B18" s="209"/>
      <c r="C18" s="210"/>
      <c r="D18" s="211"/>
      <c r="E18" s="211"/>
      <c r="F18" s="212"/>
      <c r="G18" s="76"/>
      <c r="H18" s="82"/>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137"/>
      <c r="B20" s="209"/>
      <c r="C20" s="210"/>
      <c r="D20" s="211"/>
      <c r="E20" s="211"/>
      <c r="F20" s="212"/>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7"/>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6"/>
      <c r="L26" s="58"/>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8.25" customHeight="1">
      <c r="A47" s="77"/>
      <c r="B47" s="77"/>
      <c r="C47" s="77"/>
      <c r="D47" s="77"/>
      <c r="E47" s="77"/>
      <c r="F47" s="77"/>
      <c r="G47" s="77"/>
      <c r="H47" s="77"/>
      <c r="I47" s="196"/>
      <c r="J47" s="196"/>
      <c r="K47" s="199"/>
      <c r="L47" s="59"/>
    </row>
    <row r="48" spans="1:12" ht="24.7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3.2">
      <c r="B52" s="77"/>
      <c r="C52" s="77"/>
      <c r="D52" s="77"/>
      <c r="E52" s="77"/>
      <c r="F52" s="77"/>
      <c r="G52" s="77"/>
      <c r="H52" s="77"/>
      <c r="I52" s="111"/>
      <c r="J52" s="111"/>
      <c r="K52" s="198"/>
    </row>
    <row r="53" spans="1:12" ht="13.2">
      <c r="A53" s="77"/>
      <c r="B53" s="77"/>
      <c r="C53" s="77"/>
      <c r="D53" s="77"/>
      <c r="E53" s="77"/>
      <c r="F53" s="77"/>
      <c r="G53" s="77"/>
      <c r="H53" s="77"/>
      <c r="I53" s="197"/>
      <c r="J53" s="197"/>
      <c r="K53" s="198"/>
    </row>
    <row r="54" spans="1:12" ht="13.2">
      <c r="A54" s="196"/>
      <c r="B54" s="197"/>
      <c r="C54" s="197"/>
      <c r="D54" s="197"/>
      <c r="E54" s="197"/>
      <c r="F54" s="197"/>
      <c r="G54" s="197"/>
      <c r="H54" s="197"/>
      <c r="I54" s="197"/>
      <c r="J54" s="197"/>
      <c r="K54" s="198"/>
    </row>
    <row r="55" spans="1:12" ht="13.2">
      <c r="A55" s="196"/>
      <c r="B55" s="208"/>
      <c r="C55" s="198"/>
      <c r="D55" s="198"/>
      <c r="E55" s="198"/>
      <c r="F55" s="198"/>
      <c r="G55" s="197"/>
      <c r="H55" s="197"/>
      <c r="I55" s="197"/>
      <c r="J55" s="197"/>
      <c r="K55" s="198"/>
    </row>
    <row r="56" spans="1:12" ht="13.2">
      <c r="A56" s="1"/>
      <c r="B56" s="31"/>
      <c r="C56" s="31"/>
      <c r="D56" s="31"/>
      <c r="E56" s="31"/>
      <c r="F56" s="31"/>
      <c r="G56" s="31"/>
      <c r="H56" s="197"/>
      <c r="I56" s="197"/>
      <c r="J56" s="197"/>
      <c r="K56" s="198"/>
    </row>
    <row r="57" spans="1:12">
      <c r="A57" s="265" t="str">
        <f>"Gráfico N° 23: Comparación de las horas de operación de los principales equipos de congestión en "&amp;'1. Resumen'!Q4&amp;"."</f>
        <v>Gráfico N° 23: Comparación de las horas de operación de los principales equipos de congestión en diciembre.</v>
      </c>
      <c r="B57" s="31"/>
      <c r="C57" s="31"/>
      <c r="D57" s="31"/>
      <c r="E57" s="31"/>
      <c r="F57" s="31"/>
      <c r="G57" s="31"/>
      <c r="H57" s="197"/>
      <c r="I57" s="197"/>
      <c r="J57" s="197"/>
      <c r="K57" s="197"/>
    </row>
  </sheetData>
  <mergeCells count="3">
    <mergeCell ref="A4:H4"/>
    <mergeCell ref="A2:H2"/>
    <mergeCell ref="A8:A1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30" zoomScaleNormal="160" zoomScaleSheetLayoutView="130" zoomScalePageLayoutView="145" workbookViewId="0">
      <selection activeCell="F52" sqref="F52"/>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07" t="s">
        <v>415</v>
      </c>
      <c r="B2" s="907"/>
      <c r="C2" s="907"/>
      <c r="D2" s="907"/>
      <c r="E2" s="907"/>
      <c r="F2" s="907"/>
      <c r="G2" s="907"/>
      <c r="H2" s="907"/>
      <c r="I2" s="907"/>
      <c r="J2" s="907"/>
      <c r="K2" s="163"/>
    </row>
    <row r="3" spans="1:12" ht="6.75" customHeight="1">
      <c r="A3" s="17"/>
      <c r="B3" s="159"/>
      <c r="C3" s="213"/>
      <c r="D3" s="18"/>
      <c r="E3" s="18"/>
      <c r="F3" s="192"/>
      <c r="G3" s="66"/>
      <c r="H3" s="66"/>
      <c r="I3" s="71"/>
      <c r="J3" s="163"/>
      <c r="K3" s="163"/>
      <c r="L3" s="36"/>
    </row>
    <row r="4" spans="1:12" ht="15" customHeight="1">
      <c r="A4" s="908" t="s">
        <v>434</v>
      </c>
      <c r="B4" s="908"/>
      <c r="C4" s="908"/>
      <c r="D4" s="908"/>
      <c r="E4" s="908"/>
      <c r="F4" s="908"/>
      <c r="G4" s="908"/>
      <c r="H4" s="908"/>
      <c r="I4" s="908"/>
      <c r="J4" s="908"/>
      <c r="K4" s="163"/>
      <c r="L4" s="36"/>
    </row>
    <row r="5" spans="1:12" ht="38.25" customHeight="1">
      <c r="A5" s="905" t="s">
        <v>189</v>
      </c>
      <c r="B5" s="410" t="s">
        <v>190</v>
      </c>
      <c r="C5" s="411" t="s">
        <v>191</v>
      </c>
      <c r="D5" s="411" t="s">
        <v>192</v>
      </c>
      <c r="E5" s="411" t="s">
        <v>193</v>
      </c>
      <c r="F5" s="411" t="s">
        <v>194</v>
      </c>
      <c r="G5" s="411" t="s">
        <v>195</v>
      </c>
      <c r="H5" s="411" t="s">
        <v>196</v>
      </c>
      <c r="I5" s="412" t="s">
        <v>197</v>
      </c>
      <c r="J5" s="413" t="s">
        <v>198</v>
      </c>
      <c r="K5" s="131"/>
    </row>
    <row r="6" spans="1:12" ht="11.25" customHeight="1">
      <c r="A6" s="906"/>
      <c r="B6" s="556" t="s">
        <v>199</v>
      </c>
      <c r="C6" s="412" t="s">
        <v>200</v>
      </c>
      <c r="D6" s="412" t="s">
        <v>201</v>
      </c>
      <c r="E6" s="412" t="s">
        <v>202</v>
      </c>
      <c r="F6" s="412" t="s">
        <v>203</v>
      </c>
      <c r="G6" s="412" t="s">
        <v>204</v>
      </c>
      <c r="H6" s="412" t="s">
        <v>205</v>
      </c>
      <c r="I6" s="557"/>
      <c r="J6" s="558" t="s">
        <v>206</v>
      </c>
      <c r="K6" s="19"/>
    </row>
    <row r="7" spans="1:12" ht="12.75" customHeight="1">
      <c r="A7" s="563" t="s">
        <v>578</v>
      </c>
      <c r="B7" s="564">
        <v>20</v>
      </c>
      <c r="C7" s="564">
        <v>5</v>
      </c>
      <c r="D7" s="564">
        <v>2</v>
      </c>
      <c r="E7" s="564">
        <v>2</v>
      </c>
      <c r="F7" s="564">
        <v>4</v>
      </c>
      <c r="G7" s="564"/>
      <c r="H7" s="564">
        <v>1</v>
      </c>
      <c r="I7" s="565">
        <f>+SUM(B7:H7)</f>
        <v>34</v>
      </c>
      <c r="J7" s="566">
        <v>3910.0000000000005</v>
      </c>
      <c r="K7" s="22"/>
    </row>
    <row r="8" spans="1:12" s="568" customFormat="1" ht="18.600000000000001" customHeight="1">
      <c r="A8" s="618" t="s">
        <v>786</v>
      </c>
      <c r="B8" s="619"/>
      <c r="C8" s="619"/>
      <c r="D8" s="619"/>
      <c r="E8" s="619">
        <v>1</v>
      </c>
      <c r="F8" s="619">
        <v>1</v>
      </c>
      <c r="G8" s="619"/>
      <c r="H8" s="619"/>
      <c r="I8" s="565">
        <f t="shared" ref="I8:I10" si="0">+SUM(B8:H8)</f>
        <v>2</v>
      </c>
      <c r="J8" s="620">
        <v>17.96</v>
      </c>
      <c r="K8" s="22"/>
    </row>
    <row r="9" spans="1:12" s="568" customFormat="1" ht="18.600000000000001" customHeight="1">
      <c r="A9" s="618" t="s">
        <v>787</v>
      </c>
      <c r="B9" s="619">
        <v>1</v>
      </c>
      <c r="C9" s="619"/>
      <c r="D9" s="619"/>
      <c r="E9" s="619"/>
      <c r="F9" s="619">
        <v>1</v>
      </c>
      <c r="G9" s="619"/>
      <c r="H9" s="619"/>
      <c r="I9" s="565">
        <f t="shared" si="0"/>
        <v>2</v>
      </c>
      <c r="J9" s="620">
        <v>6.73</v>
      </c>
      <c r="K9" s="22"/>
    </row>
    <row r="10" spans="1:12" s="568" customFormat="1" ht="18.600000000000001" customHeight="1">
      <c r="A10" s="618" t="s">
        <v>596</v>
      </c>
      <c r="B10" s="619"/>
      <c r="C10" s="619"/>
      <c r="D10" s="619"/>
      <c r="E10" s="619"/>
      <c r="F10" s="619">
        <v>1</v>
      </c>
      <c r="G10" s="619"/>
      <c r="H10" s="619"/>
      <c r="I10" s="565">
        <f t="shared" si="0"/>
        <v>1</v>
      </c>
      <c r="J10" s="620">
        <v>0.48</v>
      </c>
      <c r="K10" s="22"/>
    </row>
    <row r="11" spans="1:12" ht="14.25" customHeight="1">
      <c r="A11" s="562" t="s">
        <v>197</v>
      </c>
      <c r="B11" s="559">
        <f t="shared" ref="B11:H11" si="1">+SUM(B7:B10)</f>
        <v>21</v>
      </c>
      <c r="C11" s="559">
        <f t="shared" si="1"/>
        <v>5</v>
      </c>
      <c r="D11" s="559">
        <f t="shared" si="1"/>
        <v>2</v>
      </c>
      <c r="E11" s="559">
        <f t="shared" si="1"/>
        <v>3</v>
      </c>
      <c r="F11" s="559">
        <f t="shared" si="1"/>
        <v>7</v>
      </c>
      <c r="G11" s="559">
        <f t="shared" si="1"/>
        <v>0</v>
      </c>
      <c r="H11" s="559">
        <f t="shared" si="1"/>
        <v>1</v>
      </c>
      <c r="I11" s="559">
        <f>SUM(I7:I10)</f>
        <v>39</v>
      </c>
      <c r="J11" s="560">
        <f>SUM(J7:J10)</f>
        <v>3935.1700000000005</v>
      </c>
      <c r="K11" s="22"/>
    </row>
    <row r="12" spans="1:12" ht="11.25" customHeight="1">
      <c r="A12" s="90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diciembre 2021</v>
      </c>
      <c r="B12" s="909"/>
      <c r="C12" s="909"/>
      <c r="D12" s="909"/>
      <c r="E12" s="909"/>
      <c r="F12" s="909"/>
      <c r="G12" s="909"/>
      <c r="H12" s="909"/>
      <c r="I12" s="909"/>
      <c r="J12" s="909"/>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913" t="str">
        <f>"FALLAS  POR TIPO DE CAUSA  -  "&amp;UPPER('1. Resumen'!Q4)&amp;" "&amp;'1. Resumen'!Q5</f>
        <v>FALLAS  POR TIPO DE CAUSA  -  DICIEMBRE 2021</v>
      </c>
      <c r="B15" s="913"/>
      <c r="C15" s="913"/>
      <c r="D15" s="913"/>
      <c r="E15" s="913" t="str">
        <f>"FALLAS  POR TIPO DE EQUIPO  -  "&amp;UPPER('1. Resumen'!Q4)&amp;" "&amp;'1. Resumen'!Q5</f>
        <v>FALLAS  POR TIPO DE EQUIPO  -  DICIEMBRE 2021</v>
      </c>
      <c r="F15" s="913"/>
      <c r="G15" s="913"/>
      <c r="H15" s="913"/>
      <c r="I15" s="913"/>
      <c r="J15" s="913"/>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912" t="s">
        <v>403</v>
      </c>
      <c r="B33" s="912"/>
      <c r="C33" s="912"/>
      <c r="D33" s="268"/>
      <c r="E33" s="915" t="s">
        <v>404</v>
      </c>
      <c r="F33" s="915"/>
      <c r="G33" s="915"/>
      <c r="H33" s="915"/>
      <c r="I33" s="915"/>
      <c r="J33" s="915"/>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914" t="str">
        <f>"ENERGÍA INTERRUMPIDA APROXIMADA POR TIPO DE EQUIPO (MWh)  -  "&amp;UPPER('1. Resumen'!Q4)&amp;" "&amp;'1. Resumen'!Q5</f>
        <v>ENERGÍA INTERRUMPIDA APROXIMADA POR TIPO DE EQUIPO (MWh)  -  DICIEMBRE 2021</v>
      </c>
      <c r="B36" s="914"/>
      <c r="C36" s="914"/>
      <c r="D36" s="914"/>
      <c r="E36" s="914"/>
      <c r="F36" s="914"/>
      <c r="G36" s="914"/>
      <c r="H36" s="914"/>
      <c r="I36" s="914"/>
      <c r="J36" s="914"/>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ht="22.2" customHeight="1">
      <c r="A52" s="268" t="str">
        <f>"Gráfico N°26: Comparación de la energía interrumpida aproximada por tipo de equipo en "&amp;'1. Resumen'!Q4&amp;" "&amp;'1. Resumen'!Q5</f>
        <v>Gráfico N°26: Comparación de la energía interrumpida aproximada por tipo de equipo en diciembre 2021</v>
      </c>
      <c r="B52" s="25"/>
      <c r="C52" s="25"/>
      <c r="D52" s="25"/>
      <c r="E52" s="25"/>
      <c r="F52" s="25"/>
      <c r="G52" s="25"/>
      <c r="H52" s="25"/>
      <c r="I52" s="25"/>
      <c r="J52" s="25"/>
      <c r="K52" s="25"/>
      <c r="L52" s="216"/>
    </row>
    <row r="53" spans="1:12" ht="22.8" customHeight="1">
      <c r="B53" s="25"/>
      <c r="C53" s="25"/>
      <c r="D53" s="25"/>
      <c r="E53" s="25"/>
      <c r="F53" s="25"/>
      <c r="G53" s="25"/>
      <c r="H53" s="25"/>
      <c r="I53" s="25"/>
      <c r="J53" s="25"/>
      <c r="K53" s="25"/>
      <c r="L53" s="216"/>
    </row>
    <row r="54" spans="1:12" ht="24" customHeight="1">
      <c r="A54" s="910" t="s">
        <v>207</v>
      </c>
      <c r="B54" s="910"/>
      <c r="C54" s="910"/>
      <c r="D54" s="910"/>
      <c r="E54" s="910"/>
      <c r="F54" s="910"/>
      <c r="G54" s="910"/>
      <c r="H54" s="910"/>
      <c r="I54" s="910"/>
      <c r="J54" s="910"/>
      <c r="K54" s="25"/>
      <c r="L54" s="216"/>
    </row>
    <row r="55" spans="1:12" ht="11.25" customHeight="1">
      <c r="A55" s="911" t="s">
        <v>208</v>
      </c>
      <c r="B55" s="911"/>
      <c r="C55" s="911"/>
      <c r="D55" s="911"/>
      <c r="E55" s="911"/>
      <c r="F55" s="911"/>
      <c r="G55" s="911"/>
      <c r="H55" s="911"/>
      <c r="I55" s="911"/>
      <c r="J55" s="911"/>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5:J55"/>
    <mergeCell ref="A33:C33"/>
    <mergeCell ref="A15:D15"/>
    <mergeCell ref="E15:J15"/>
    <mergeCell ref="A36:J36"/>
    <mergeCell ref="E33:J33"/>
    <mergeCell ref="A5:A6"/>
    <mergeCell ref="A2:J2"/>
    <mergeCell ref="A4:J4"/>
    <mergeCell ref="A12:J12"/>
    <mergeCell ref="A54:J5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F52" sqref="F5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2" t="s">
        <v>0</v>
      </c>
      <c r="B3" s="822"/>
      <c r="C3" s="822"/>
      <c r="D3" s="822"/>
      <c r="E3" s="822"/>
      <c r="F3" s="822"/>
      <c r="G3" s="822"/>
      <c r="H3" s="822"/>
      <c r="I3" s="822"/>
      <c r="J3" s="822"/>
      <c r="K3" s="822"/>
      <c r="L3" s="822"/>
    </row>
    <row r="4" spans="1:12">
      <c r="A4" s="822"/>
      <c r="B4" s="822"/>
      <c r="C4" s="822"/>
      <c r="D4" s="822"/>
      <c r="E4" s="822"/>
      <c r="F4" s="822"/>
      <c r="G4" s="822"/>
      <c r="H4" s="822"/>
      <c r="I4" s="822"/>
      <c r="J4" s="822"/>
      <c r="K4" s="822"/>
      <c r="L4" s="822"/>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397</v>
      </c>
      <c r="B7" s="218"/>
      <c r="C7" s="25"/>
      <c r="D7" s="25"/>
      <c r="E7" s="25"/>
      <c r="F7" s="25"/>
      <c r="G7" s="25"/>
      <c r="H7" s="25"/>
      <c r="I7" s="25"/>
      <c r="J7" s="25"/>
      <c r="K7" s="25"/>
      <c r="L7" s="25"/>
    </row>
    <row r="8" spans="1:12" ht="17.25" customHeight="1">
      <c r="A8" s="25"/>
      <c r="B8" s="25" t="s">
        <v>788</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486</v>
      </c>
      <c r="B10" s="218"/>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Diciembre 2021
INFSGI-MES-12-2021
21/02/2022
Versión: 02</oddHeader>
    <oddFooter>&amp;LCOES, 2021&amp;RDirección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10" workbookViewId="0">
      <selection activeCell="F52" sqref="F52"/>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16" t="s">
        <v>248</v>
      </c>
      <c r="B2" s="919" t="s">
        <v>54</v>
      </c>
      <c r="C2" s="922" t="str">
        <f>"ENERGÍA PRODUCIDA "&amp;UPPER('1. Resumen'!Q4)&amp;" "&amp;'1. Resumen'!Q5</f>
        <v>ENERGÍA PRODUCIDA DICIEMBRE 2021</v>
      </c>
      <c r="D2" s="922"/>
      <c r="E2" s="922"/>
      <c r="F2" s="922"/>
      <c r="G2" s="510" t="s">
        <v>274</v>
      </c>
      <c r="H2" s="203"/>
    </row>
    <row r="3" spans="1:8" ht="11.25" customHeight="1">
      <c r="A3" s="917"/>
      <c r="B3" s="920"/>
      <c r="C3" s="923" t="s">
        <v>275</v>
      </c>
      <c r="D3" s="923"/>
      <c r="E3" s="923"/>
      <c r="F3" s="924" t="str">
        <f>"TOTAL 
"&amp;UPPER('1. Resumen'!Q4)</f>
        <v>TOTAL 
DICIEMBRE</v>
      </c>
      <c r="G3" s="511" t="s">
        <v>276</v>
      </c>
      <c r="H3" s="194"/>
    </row>
    <row r="4" spans="1:8" ht="12.75" customHeight="1">
      <c r="A4" s="917"/>
      <c r="B4" s="920"/>
      <c r="C4" s="503" t="s">
        <v>213</v>
      </c>
      <c r="D4" s="503" t="s">
        <v>214</v>
      </c>
      <c r="E4" s="503" t="s">
        <v>277</v>
      </c>
      <c r="F4" s="925"/>
      <c r="G4" s="511">
        <v>2021</v>
      </c>
      <c r="H4" s="196"/>
    </row>
    <row r="5" spans="1:8" ht="11.25" customHeight="1">
      <c r="A5" s="918"/>
      <c r="B5" s="921"/>
      <c r="C5" s="504" t="s">
        <v>278</v>
      </c>
      <c r="D5" s="504" t="s">
        <v>278</v>
      </c>
      <c r="E5" s="504" t="s">
        <v>278</v>
      </c>
      <c r="F5" s="504" t="s">
        <v>278</v>
      </c>
      <c r="G5" s="512" t="s">
        <v>206</v>
      </c>
      <c r="H5" s="196"/>
    </row>
    <row r="6" spans="1:8" ht="9.75" customHeight="1">
      <c r="A6" s="551" t="s">
        <v>119</v>
      </c>
      <c r="B6" s="337" t="s">
        <v>86</v>
      </c>
      <c r="C6" s="338"/>
      <c r="D6" s="338"/>
      <c r="E6" s="338">
        <v>4643.0189375</v>
      </c>
      <c r="F6" s="338">
        <v>4643.0189375</v>
      </c>
      <c r="G6" s="550">
        <v>54887.069507500004</v>
      </c>
      <c r="H6" s="196"/>
    </row>
    <row r="7" spans="1:8" ht="9.75" customHeight="1">
      <c r="A7" s="547" t="s">
        <v>516</v>
      </c>
      <c r="B7" s="404"/>
      <c r="C7" s="405"/>
      <c r="D7" s="405"/>
      <c r="E7" s="405">
        <v>4643.0189375</v>
      </c>
      <c r="F7" s="405">
        <v>4643.0189375</v>
      </c>
      <c r="G7" s="549">
        <v>54887.069507500004</v>
      </c>
      <c r="H7" s="196"/>
    </row>
    <row r="8" spans="1:8" ht="9.75" customHeight="1">
      <c r="A8" s="551" t="s">
        <v>118</v>
      </c>
      <c r="B8" s="337" t="s">
        <v>63</v>
      </c>
      <c r="C8" s="338"/>
      <c r="D8" s="338"/>
      <c r="E8" s="338">
        <v>14453.81546</v>
      </c>
      <c r="F8" s="338">
        <v>14453.81546</v>
      </c>
      <c r="G8" s="550">
        <v>125051.25661</v>
      </c>
      <c r="H8" s="196"/>
    </row>
    <row r="9" spans="1:8" ht="9.75" customHeight="1">
      <c r="A9" s="547" t="s">
        <v>517</v>
      </c>
      <c r="B9" s="404"/>
      <c r="C9" s="405"/>
      <c r="D9" s="405"/>
      <c r="E9" s="405">
        <v>14453.81546</v>
      </c>
      <c r="F9" s="405">
        <v>14453.81546</v>
      </c>
      <c r="G9" s="549">
        <v>125051.25661</v>
      </c>
      <c r="H9" s="196"/>
    </row>
    <row r="10" spans="1:8" ht="9.75" customHeight="1">
      <c r="A10" s="546" t="s">
        <v>106</v>
      </c>
      <c r="B10" s="506" t="s">
        <v>83</v>
      </c>
      <c r="C10" s="507"/>
      <c r="D10" s="507"/>
      <c r="E10" s="507">
        <v>7914.0445250000002</v>
      </c>
      <c r="F10" s="507">
        <v>7914.0445250000002</v>
      </c>
      <c r="G10" s="548">
        <v>98070.085055000003</v>
      </c>
      <c r="H10" s="196"/>
    </row>
    <row r="11" spans="1:8" ht="9.75" customHeight="1">
      <c r="A11" s="547" t="s">
        <v>518</v>
      </c>
      <c r="B11" s="404"/>
      <c r="C11" s="405"/>
      <c r="D11" s="405"/>
      <c r="E11" s="405">
        <v>7914.0445250000002</v>
      </c>
      <c r="F11" s="405">
        <v>7914.0445250000002</v>
      </c>
      <c r="G11" s="549">
        <v>98070.085055000003</v>
      </c>
      <c r="H11" s="196"/>
    </row>
    <row r="12" spans="1:8" ht="9" customHeight="1">
      <c r="A12" s="546" t="s">
        <v>414</v>
      </c>
      <c r="B12" s="506" t="s">
        <v>416</v>
      </c>
      <c r="C12" s="507"/>
      <c r="D12" s="507"/>
      <c r="E12" s="507">
        <v>9079.2737850000012</v>
      </c>
      <c r="F12" s="507">
        <v>9079.2737850000012</v>
      </c>
      <c r="G12" s="548">
        <v>120991.99764999998</v>
      </c>
      <c r="H12" s="196"/>
    </row>
    <row r="13" spans="1:8" ht="9" customHeight="1">
      <c r="A13" s="547" t="s">
        <v>519</v>
      </c>
      <c r="B13" s="404"/>
      <c r="C13" s="405"/>
      <c r="D13" s="405"/>
      <c r="E13" s="405">
        <v>9079.2737850000012</v>
      </c>
      <c r="F13" s="405">
        <v>9079.2737850000012</v>
      </c>
      <c r="G13" s="549">
        <v>120991.99764999998</v>
      </c>
      <c r="H13" s="196"/>
    </row>
    <row r="14" spans="1:8" s="568" customFormat="1" ht="9" customHeight="1">
      <c r="A14" s="546" t="s">
        <v>477</v>
      </c>
      <c r="B14" s="506" t="s">
        <v>75</v>
      </c>
      <c r="C14" s="507"/>
      <c r="D14" s="507"/>
      <c r="E14" s="507">
        <v>285.34678000000002</v>
      </c>
      <c r="F14" s="507">
        <v>285.34678000000002</v>
      </c>
      <c r="G14" s="548">
        <v>2779.9706124999998</v>
      </c>
      <c r="H14" s="196"/>
    </row>
    <row r="15" spans="1:8" s="568" customFormat="1" ht="9" customHeight="1">
      <c r="A15" s="547" t="s">
        <v>520</v>
      </c>
      <c r="B15" s="404"/>
      <c r="C15" s="405"/>
      <c r="D15" s="405"/>
      <c r="E15" s="405">
        <v>285.34678000000002</v>
      </c>
      <c r="F15" s="405">
        <v>285.34678000000002</v>
      </c>
      <c r="G15" s="549">
        <v>2779.9706124999998</v>
      </c>
      <c r="H15" s="196"/>
    </row>
    <row r="16" spans="1:8" ht="9" customHeight="1">
      <c r="A16" s="546" t="s">
        <v>445</v>
      </c>
      <c r="B16" s="506" t="s">
        <v>451</v>
      </c>
      <c r="C16" s="507"/>
      <c r="D16" s="507"/>
      <c r="E16" s="507">
        <v>6337.9690124999997</v>
      </c>
      <c r="F16" s="507">
        <v>6337.9690124999997</v>
      </c>
      <c r="G16" s="548">
        <v>74138.058705000003</v>
      </c>
      <c r="H16" s="196"/>
    </row>
    <row r="17" spans="1:8" ht="9" customHeight="1">
      <c r="A17" s="547" t="s">
        <v>521</v>
      </c>
      <c r="B17" s="404"/>
      <c r="C17" s="405"/>
      <c r="D17" s="405"/>
      <c r="E17" s="405">
        <v>6337.9690124999997</v>
      </c>
      <c r="F17" s="405">
        <v>6337.9690124999997</v>
      </c>
      <c r="G17" s="549">
        <v>74138.058705000003</v>
      </c>
      <c r="H17" s="196"/>
    </row>
    <row r="18" spans="1:8" ht="9" customHeight="1">
      <c r="A18" s="546" t="s">
        <v>94</v>
      </c>
      <c r="B18" s="506" t="s">
        <v>279</v>
      </c>
      <c r="C18" s="507">
        <v>125868.3045</v>
      </c>
      <c r="D18" s="507"/>
      <c r="E18" s="507"/>
      <c r="F18" s="507">
        <v>125868.3045</v>
      </c>
      <c r="G18" s="548">
        <v>1134234.8023025</v>
      </c>
      <c r="H18" s="196"/>
    </row>
    <row r="19" spans="1:8" ht="9" customHeight="1">
      <c r="A19" s="547" t="s">
        <v>522</v>
      </c>
      <c r="B19" s="404"/>
      <c r="C19" s="405">
        <v>125868.3045</v>
      </c>
      <c r="D19" s="405"/>
      <c r="E19" s="405"/>
      <c r="F19" s="405">
        <v>125868.3045</v>
      </c>
      <c r="G19" s="549">
        <v>1134234.8023025</v>
      </c>
      <c r="H19" s="196"/>
    </row>
    <row r="20" spans="1:8" ht="9" customHeight="1">
      <c r="A20" s="546" t="s">
        <v>479</v>
      </c>
      <c r="B20" s="506" t="s">
        <v>320</v>
      </c>
      <c r="C20" s="507">
        <v>14627.545285</v>
      </c>
      <c r="D20" s="507"/>
      <c r="E20" s="507"/>
      <c r="F20" s="507">
        <v>14627.545285</v>
      </c>
      <c r="G20" s="548">
        <v>144576.6636875</v>
      </c>
      <c r="H20" s="196"/>
    </row>
    <row r="21" spans="1:8" ht="9" customHeight="1">
      <c r="A21" s="547" t="s">
        <v>523</v>
      </c>
      <c r="B21" s="404"/>
      <c r="C21" s="405">
        <v>14627.545285</v>
      </c>
      <c r="D21" s="405"/>
      <c r="E21" s="405"/>
      <c r="F21" s="405">
        <v>14627.545285</v>
      </c>
      <c r="G21" s="549">
        <v>144576.6636875</v>
      </c>
      <c r="H21" s="196"/>
    </row>
    <row r="22" spans="1:8" ht="9" customHeight="1">
      <c r="A22" s="546" t="s">
        <v>603</v>
      </c>
      <c r="B22" s="506" t="s">
        <v>650</v>
      </c>
      <c r="C22" s="507">
        <v>597.68695000000002</v>
      </c>
      <c r="D22" s="507"/>
      <c r="E22" s="507"/>
      <c r="F22" s="507">
        <v>597.68695000000002</v>
      </c>
      <c r="G22" s="548">
        <v>1964.7961475</v>
      </c>
      <c r="H22" s="196"/>
    </row>
    <row r="23" spans="1:8" ht="9" customHeight="1">
      <c r="A23" s="546"/>
      <c r="B23" s="506" t="s">
        <v>627</v>
      </c>
      <c r="C23" s="507">
        <v>980.59584749999999</v>
      </c>
      <c r="D23" s="507"/>
      <c r="E23" s="507"/>
      <c r="F23" s="507">
        <v>980.59584749999999</v>
      </c>
      <c r="G23" s="548">
        <v>3526.8936999999996</v>
      </c>
      <c r="H23" s="196"/>
    </row>
    <row r="24" spans="1:8" ht="9" customHeight="1">
      <c r="A24" s="547" t="s">
        <v>606</v>
      </c>
      <c r="B24" s="404"/>
      <c r="C24" s="405">
        <v>1578.2827975</v>
      </c>
      <c r="D24" s="405"/>
      <c r="E24" s="405"/>
      <c r="F24" s="405">
        <v>1578.2827975</v>
      </c>
      <c r="G24" s="549">
        <v>5491.6898474999998</v>
      </c>
      <c r="H24" s="196"/>
    </row>
    <row r="25" spans="1:8" ht="9" customHeight="1">
      <c r="A25" s="546" t="s">
        <v>234</v>
      </c>
      <c r="B25" s="506" t="s">
        <v>280</v>
      </c>
      <c r="C25" s="507"/>
      <c r="D25" s="507">
        <v>0</v>
      </c>
      <c r="E25" s="507"/>
      <c r="F25" s="507">
        <v>0</v>
      </c>
      <c r="G25" s="548">
        <v>2080.3437274999997</v>
      </c>
      <c r="H25" s="196"/>
    </row>
    <row r="26" spans="1:8" ht="9" customHeight="1">
      <c r="A26" s="547" t="s">
        <v>524</v>
      </c>
      <c r="B26" s="404"/>
      <c r="C26" s="405"/>
      <c r="D26" s="405">
        <v>0</v>
      </c>
      <c r="E26" s="405"/>
      <c r="F26" s="405">
        <v>0</v>
      </c>
      <c r="G26" s="549">
        <v>2080.3437274999997</v>
      </c>
      <c r="H26" s="196"/>
    </row>
    <row r="27" spans="1:8" ht="9" customHeight="1">
      <c r="A27" s="546" t="s">
        <v>93</v>
      </c>
      <c r="B27" s="506" t="s">
        <v>281</v>
      </c>
      <c r="C27" s="507">
        <v>89785.075500000006</v>
      </c>
      <c r="D27" s="507"/>
      <c r="E27" s="507"/>
      <c r="F27" s="507">
        <v>89785.075500000006</v>
      </c>
      <c r="G27" s="548">
        <v>819088.81476750004</v>
      </c>
      <c r="H27" s="196"/>
    </row>
    <row r="28" spans="1:8" ht="9" customHeight="1">
      <c r="A28" s="546"/>
      <c r="B28" s="506" t="s">
        <v>282</v>
      </c>
      <c r="C28" s="507">
        <v>23572.7225</v>
      </c>
      <c r="D28" s="507"/>
      <c r="E28" s="507"/>
      <c r="F28" s="507">
        <v>23572.7225</v>
      </c>
      <c r="G28" s="548">
        <v>213616.52545000004</v>
      </c>
      <c r="H28" s="196"/>
    </row>
    <row r="29" spans="1:8" ht="9" customHeight="1">
      <c r="A29" s="547" t="s">
        <v>525</v>
      </c>
      <c r="B29" s="404"/>
      <c r="C29" s="405">
        <v>113357.79800000001</v>
      </c>
      <c r="D29" s="405"/>
      <c r="E29" s="405"/>
      <c r="F29" s="405">
        <v>113357.79800000001</v>
      </c>
      <c r="G29" s="549">
        <v>1032705.3402175001</v>
      </c>
      <c r="H29" s="196"/>
    </row>
    <row r="30" spans="1:8" ht="9" customHeight="1">
      <c r="A30" s="546" t="s">
        <v>604</v>
      </c>
      <c r="B30" s="506" t="s">
        <v>651</v>
      </c>
      <c r="C30" s="507"/>
      <c r="D30" s="507"/>
      <c r="E30" s="507">
        <v>237.54214250000001</v>
      </c>
      <c r="F30" s="507">
        <v>237.54214250000001</v>
      </c>
      <c r="G30" s="548">
        <v>977.44881250000003</v>
      </c>
      <c r="H30" s="196"/>
    </row>
    <row r="31" spans="1:8" ht="9" customHeight="1">
      <c r="A31" s="547" t="s">
        <v>607</v>
      </c>
      <c r="B31" s="404"/>
      <c r="C31" s="405"/>
      <c r="D31" s="405"/>
      <c r="E31" s="405">
        <v>237.54214250000001</v>
      </c>
      <c r="F31" s="405">
        <v>237.54214250000001</v>
      </c>
      <c r="G31" s="549">
        <v>977.44881250000003</v>
      </c>
      <c r="H31" s="196"/>
    </row>
    <row r="32" spans="1:8" ht="9" customHeight="1">
      <c r="A32" s="546" t="s">
        <v>91</v>
      </c>
      <c r="B32" s="506" t="s">
        <v>283</v>
      </c>
      <c r="C32" s="507">
        <v>1186.9236675</v>
      </c>
      <c r="D32" s="507"/>
      <c r="E32" s="507"/>
      <c r="F32" s="507">
        <v>1186.9236675</v>
      </c>
      <c r="G32" s="548">
        <v>14170.366774999999</v>
      </c>
      <c r="H32" s="196"/>
    </row>
    <row r="33" spans="1:8" ht="9" customHeight="1">
      <c r="A33" s="546"/>
      <c r="B33" s="506" t="s">
        <v>284</v>
      </c>
      <c r="C33" s="507">
        <v>426.68924249999998</v>
      </c>
      <c r="D33" s="507"/>
      <c r="E33" s="507"/>
      <c r="F33" s="507">
        <v>426.68924249999998</v>
      </c>
      <c r="G33" s="548">
        <v>5002.1087274999991</v>
      </c>
      <c r="H33" s="196"/>
    </row>
    <row r="34" spans="1:8" ht="9" customHeight="1">
      <c r="A34" s="546"/>
      <c r="B34" s="506" t="s">
        <v>285</v>
      </c>
      <c r="C34" s="507">
        <v>3436.2716600000003</v>
      </c>
      <c r="D34" s="507"/>
      <c r="E34" s="507"/>
      <c r="F34" s="507">
        <v>3436.2716600000003</v>
      </c>
      <c r="G34" s="548">
        <v>40405.759710000006</v>
      </c>
      <c r="H34" s="196"/>
    </row>
    <row r="35" spans="1:8" ht="9" customHeight="1">
      <c r="A35" s="546"/>
      <c r="B35" s="506" t="s">
        <v>286</v>
      </c>
      <c r="C35" s="507">
        <v>8460.9802225000003</v>
      </c>
      <c r="D35" s="507"/>
      <c r="E35" s="507"/>
      <c r="F35" s="507">
        <v>8460.9802225000003</v>
      </c>
      <c r="G35" s="548">
        <v>112358.50641</v>
      </c>
      <c r="H35" s="196"/>
    </row>
    <row r="36" spans="1:8" ht="9" customHeight="1">
      <c r="A36" s="546"/>
      <c r="B36" s="506" t="s">
        <v>287</v>
      </c>
      <c r="C36" s="507">
        <v>62667.343002499998</v>
      </c>
      <c r="D36" s="507"/>
      <c r="E36" s="507"/>
      <c r="F36" s="507">
        <v>62667.343002499998</v>
      </c>
      <c r="G36" s="548">
        <v>752208.44404249999</v>
      </c>
      <c r="H36" s="196"/>
    </row>
    <row r="37" spans="1:8" ht="9" customHeight="1">
      <c r="A37" s="546"/>
      <c r="B37" s="506" t="s">
        <v>288</v>
      </c>
      <c r="C37" s="507">
        <v>6008.4979974999997</v>
      </c>
      <c r="D37" s="507"/>
      <c r="E37" s="507"/>
      <c r="F37" s="507">
        <v>6008.4979974999997</v>
      </c>
      <c r="G37" s="548">
        <v>63576.766895000008</v>
      </c>
      <c r="H37" s="196"/>
    </row>
    <row r="38" spans="1:8" ht="9" customHeight="1">
      <c r="A38" s="546"/>
      <c r="B38" s="506" t="s">
        <v>289</v>
      </c>
      <c r="C38" s="507"/>
      <c r="D38" s="507">
        <v>33.751877499999999</v>
      </c>
      <c r="E38" s="507"/>
      <c r="F38" s="507">
        <v>33.751877499999999</v>
      </c>
      <c r="G38" s="548">
        <v>173.42754500000001</v>
      </c>
      <c r="H38" s="196"/>
    </row>
    <row r="39" spans="1:8" ht="9.75" customHeight="1">
      <c r="A39" s="546"/>
      <c r="B39" s="506" t="s">
        <v>290</v>
      </c>
      <c r="C39" s="507"/>
      <c r="D39" s="507">
        <v>20.000377499999999</v>
      </c>
      <c r="E39" s="507"/>
      <c r="F39" s="507">
        <v>20.000377499999999</v>
      </c>
      <c r="G39" s="548">
        <v>181.85235499999999</v>
      </c>
      <c r="H39" s="196"/>
    </row>
    <row r="40" spans="1:8" ht="9.75" customHeight="1">
      <c r="A40" s="546"/>
      <c r="B40" s="506" t="s">
        <v>291</v>
      </c>
      <c r="C40" s="507"/>
      <c r="D40" s="507"/>
      <c r="E40" s="507"/>
      <c r="F40" s="507"/>
      <c r="G40" s="548">
        <v>0</v>
      </c>
      <c r="H40" s="196"/>
    </row>
    <row r="41" spans="1:8" ht="10.95" customHeight="1">
      <c r="A41" s="547" t="s">
        <v>526</v>
      </c>
      <c r="B41" s="404"/>
      <c r="C41" s="405">
        <v>82186.705792499997</v>
      </c>
      <c r="D41" s="405">
        <v>53.752254999999998</v>
      </c>
      <c r="E41" s="405"/>
      <c r="F41" s="405">
        <v>82240.458047499997</v>
      </c>
      <c r="G41" s="549">
        <v>988077.23245999997</v>
      </c>
      <c r="H41" s="196"/>
    </row>
    <row r="42" spans="1:8" ht="12" customHeight="1">
      <c r="A42" s="546" t="s">
        <v>112</v>
      </c>
      <c r="B42" s="506" t="s">
        <v>70</v>
      </c>
      <c r="C42" s="507"/>
      <c r="D42" s="507"/>
      <c r="E42" s="507">
        <v>1637.359015</v>
      </c>
      <c r="F42" s="507">
        <v>1637.359015</v>
      </c>
      <c r="G42" s="548">
        <v>27956.323944999996</v>
      </c>
      <c r="H42" s="196"/>
    </row>
    <row r="43" spans="1:8" ht="9.75" customHeight="1">
      <c r="A43" s="547" t="s">
        <v>527</v>
      </c>
      <c r="B43" s="404"/>
      <c r="C43" s="405"/>
      <c r="D43" s="405"/>
      <c r="E43" s="405">
        <v>1637.359015</v>
      </c>
      <c r="F43" s="405">
        <v>1637.359015</v>
      </c>
      <c r="G43" s="549">
        <v>27956.323944999996</v>
      </c>
      <c r="H43" s="196"/>
    </row>
    <row r="44" spans="1:8" ht="9.75" customHeight="1">
      <c r="A44" s="546" t="s">
        <v>92</v>
      </c>
      <c r="B44" s="506" t="s">
        <v>292</v>
      </c>
      <c r="C44" s="507">
        <v>119988.59775</v>
      </c>
      <c r="D44" s="507"/>
      <c r="E44" s="507"/>
      <c r="F44" s="507">
        <v>119988.59775</v>
      </c>
      <c r="G44" s="548">
        <v>1244565.055465</v>
      </c>
      <c r="H44" s="196"/>
    </row>
    <row r="45" spans="1:8" ht="9.75" customHeight="1">
      <c r="A45" s="547" t="s">
        <v>528</v>
      </c>
      <c r="B45" s="404"/>
      <c r="C45" s="405">
        <v>119988.59775</v>
      </c>
      <c r="D45" s="405"/>
      <c r="E45" s="405"/>
      <c r="F45" s="405">
        <v>119988.59775</v>
      </c>
      <c r="G45" s="549">
        <v>1244565.055465</v>
      </c>
      <c r="H45" s="196"/>
    </row>
    <row r="46" spans="1:8" ht="9.75" customHeight="1">
      <c r="A46" s="546" t="s">
        <v>101</v>
      </c>
      <c r="B46" s="506" t="s">
        <v>293</v>
      </c>
      <c r="C46" s="507">
        <v>5648.7238824999995</v>
      </c>
      <c r="D46" s="507"/>
      <c r="E46" s="507"/>
      <c r="F46" s="507">
        <v>5648.7238824999995</v>
      </c>
      <c r="G46" s="548">
        <v>60805.882382500007</v>
      </c>
      <c r="H46" s="196"/>
    </row>
    <row r="47" spans="1:8" ht="9.75" customHeight="1">
      <c r="A47" s="546"/>
      <c r="B47" s="506" t="s">
        <v>294</v>
      </c>
      <c r="C47" s="507">
        <v>3844.5034799999999</v>
      </c>
      <c r="D47" s="507"/>
      <c r="E47" s="507"/>
      <c r="F47" s="507">
        <v>3844.5034799999999</v>
      </c>
      <c r="G47" s="548">
        <v>43203.940979999999</v>
      </c>
      <c r="H47" s="196"/>
    </row>
    <row r="48" spans="1:8" ht="9.75" customHeight="1">
      <c r="A48" s="546"/>
      <c r="B48" s="506" t="s">
        <v>295</v>
      </c>
      <c r="C48" s="507"/>
      <c r="D48" s="507">
        <v>11359.6177725</v>
      </c>
      <c r="E48" s="507"/>
      <c r="F48" s="507">
        <v>11359.6177725</v>
      </c>
      <c r="G48" s="548">
        <v>89071.294020000001</v>
      </c>
      <c r="H48" s="196"/>
    </row>
    <row r="49" spans="1:8" ht="9.75" customHeight="1">
      <c r="A49" s="547" t="s">
        <v>529</v>
      </c>
      <c r="B49" s="404"/>
      <c r="C49" s="405">
        <v>9493.2273624999998</v>
      </c>
      <c r="D49" s="405">
        <v>11359.6177725</v>
      </c>
      <c r="E49" s="405"/>
      <c r="F49" s="405">
        <v>20852.845135</v>
      </c>
      <c r="G49" s="549">
        <v>193081.1173825</v>
      </c>
      <c r="H49" s="196"/>
    </row>
    <row r="50" spans="1:8" ht="9.75" customHeight="1">
      <c r="A50" s="546" t="s">
        <v>113</v>
      </c>
      <c r="B50" s="506" t="s">
        <v>73</v>
      </c>
      <c r="C50" s="507"/>
      <c r="D50" s="507"/>
      <c r="E50" s="507">
        <v>2574.7786999999998</v>
      </c>
      <c r="F50" s="507">
        <v>2574.7786999999998</v>
      </c>
      <c r="G50" s="548">
        <v>27226.718209999999</v>
      </c>
      <c r="H50" s="196"/>
    </row>
    <row r="51" spans="1:8" ht="9.75" customHeight="1">
      <c r="A51" s="547" t="s">
        <v>530</v>
      </c>
      <c r="B51" s="404"/>
      <c r="C51" s="405"/>
      <c r="D51" s="405"/>
      <c r="E51" s="405">
        <v>2574.7786999999998</v>
      </c>
      <c r="F51" s="405">
        <v>2574.7786999999998</v>
      </c>
      <c r="G51" s="549">
        <v>27226.718209999999</v>
      </c>
      <c r="H51" s="196"/>
    </row>
    <row r="52" spans="1:8" ht="9.75" customHeight="1">
      <c r="A52" s="546" t="s">
        <v>417</v>
      </c>
      <c r="B52" s="506" t="s">
        <v>632</v>
      </c>
      <c r="C52" s="507"/>
      <c r="D52" s="507"/>
      <c r="E52" s="507"/>
      <c r="F52" s="507"/>
      <c r="G52" s="548">
        <v>61403.677913994972</v>
      </c>
      <c r="H52" s="196"/>
    </row>
    <row r="53" spans="1:8" ht="9.75" customHeight="1">
      <c r="A53" s="547" t="s">
        <v>531</v>
      </c>
      <c r="B53" s="404"/>
      <c r="C53" s="405"/>
      <c r="D53" s="405"/>
      <c r="E53" s="405"/>
      <c r="F53" s="405"/>
      <c r="G53" s="549">
        <v>61403.677913994972</v>
      </c>
      <c r="H53" s="196"/>
    </row>
    <row r="54" spans="1:8" ht="9.75" customHeight="1">
      <c r="A54" s="546" t="s">
        <v>89</v>
      </c>
      <c r="B54" s="506" t="s">
        <v>296</v>
      </c>
      <c r="C54" s="507">
        <v>426664.42560000002</v>
      </c>
      <c r="D54" s="507"/>
      <c r="E54" s="507"/>
      <c r="F54" s="507">
        <v>426664.42560000002</v>
      </c>
      <c r="G54" s="548">
        <v>5318380.1232000003</v>
      </c>
      <c r="H54" s="196"/>
    </row>
    <row r="55" spans="1:8" ht="9.75" customHeight="1">
      <c r="A55" s="546"/>
      <c r="B55" s="506" t="s">
        <v>297</v>
      </c>
      <c r="C55" s="507">
        <v>140200.16159999999</v>
      </c>
      <c r="D55" s="507"/>
      <c r="E55" s="507"/>
      <c r="F55" s="507">
        <v>140200.16159999999</v>
      </c>
      <c r="G55" s="548">
        <v>1732049.5809600002</v>
      </c>
      <c r="H55" s="111"/>
    </row>
    <row r="56" spans="1:8">
      <c r="A56" s="546"/>
      <c r="B56" s="506" t="s">
        <v>652</v>
      </c>
      <c r="C56" s="507"/>
      <c r="D56" s="507"/>
      <c r="E56" s="507"/>
      <c r="F56" s="507"/>
      <c r="G56" s="548">
        <v>0</v>
      </c>
      <c r="H56" s="111"/>
    </row>
    <row r="57" spans="1:8" ht="9.75" customHeight="1">
      <c r="A57" s="547" t="s">
        <v>532</v>
      </c>
      <c r="B57" s="404"/>
      <c r="C57" s="405">
        <v>566864.58719999995</v>
      </c>
      <c r="D57" s="405"/>
      <c r="E57" s="405"/>
      <c r="F57" s="405">
        <v>566864.58719999995</v>
      </c>
      <c r="G57" s="549">
        <v>7050429.7041600002</v>
      </c>
      <c r="H57" s="111"/>
    </row>
    <row r="58" spans="1:8" s="568" customFormat="1" ht="9.75" customHeight="1">
      <c r="A58" s="546" t="s">
        <v>235</v>
      </c>
      <c r="B58" s="506" t="s">
        <v>298</v>
      </c>
      <c r="C58" s="507">
        <v>258082.95290500001</v>
      </c>
      <c r="D58" s="507"/>
      <c r="E58" s="507"/>
      <c r="F58" s="507">
        <v>258082.95290500001</v>
      </c>
      <c r="G58" s="548">
        <v>2050699.9315799999</v>
      </c>
      <c r="H58" s="111"/>
    </row>
    <row r="59" spans="1:8" s="568" customFormat="1" ht="9.75" customHeight="1">
      <c r="A59" s="546"/>
      <c r="B59" s="506" t="s">
        <v>299</v>
      </c>
      <c r="C59" s="507">
        <v>4409.8699324999998</v>
      </c>
      <c r="D59" s="507"/>
      <c r="E59" s="507"/>
      <c r="F59" s="507">
        <v>4409.8699324999998</v>
      </c>
      <c r="G59" s="548">
        <v>52582.800190000002</v>
      </c>
      <c r="H59" s="111"/>
    </row>
    <row r="60" spans="1:8" s="568" customFormat="1" ht="9.75" customHeight="1">
      <c r="A60" s="547" t="s">
        <v>533</v>
      </c>
      <c r="B60" s="404"/>
      <c r="C60" s="405">
        <v>262492.82283750002</v>
      </c>
      <c r="D60" s="405"/>
      <c r="E60" s="405"/>
      <c r="F60" s="405">
        <v>262492.82283750002</v>
      </c>
      <c r="G60" s="549">
        <v>2103282.73177</v>
      </c>
      <c r="H60" s="111"/>
    </row>
    <row r="61" spans="1:8" s="568" customFormat="1" ht="9.75" customHeight="1">
      <c r="A61" s="546" t="s">
        <v>236</v>
      </c>
      <c r="B61" s="506" t="s">
        <v>300</v>
      </c>
      <c r="C61" s="507">
        <v>32627.23</v>
      </c>
      <c r="D61" s="507"/>
      <c r="E61" s="507"/>
      <c r="F61" s="507">
        <v>32627.23</v>
      </c>
      <c r="G61" s="548">
        <v>424538.85729750001</v>
      </c>
      <c r="H61" s="111"/>
    </row>
    <row r="62" spans="1:8">
      <c r="A62" s="547" t="s">
        <v>534</v>
      </c>
      <c r="B62" s="404"/>
      <c r="C62" s="405">
        <v>32627.23</v>
      </c>
      <c r="D62" s="405"/>
      <c r="E62" s="405"/>
      <c r="F62" s="405">
        <v>32627.23</v>
      </c>
      <c r="G62" s="549">
        <v>424538.85729750001</v>
      </c>
      <c r="H62" s="111"/>
    </row>
    <row r="63" spans="1:8" ht="9.75" customHeight="1">
      <c r="A63" s="546" t="s">
        <v>478</v>
      </c>
      <c r="B63" s="506" t="s">
        <v>65</v>
      </c>
      <c r="C63" s="507"/>
      <c r="D63" s="507"/>
      <c r="E63" s="507">
        <v>5270.8028949999998</v>
      </c>
      <c r="F63" s="507">
        <v>5270.8028949999998</v>
      </c>
      <c r="G63" s="548">
        <v>50392.460622500003</v>
      </c>
      <c r="H63" s="111"/>
    </row>
    <row r="64" spans="1:8" ht="9.75" customHeight="1">
      <c r="A64" s="546"/>
      <c r="B64" s="506" t="s">
        <v>64</v>
      </c>
      <c r="C64" s="507"/>
      <c r="D64" s="507"/>
      <c r="E64" s="507">
        <v>5449.3628150000004</v>
      </c>
      <c r="F64" s="507">
        <v>5449.3628150000004</v>
      </c>
      <c r="G64" s="548">
        <v>52911.886524999994</v>
      </c>
      <c r="H64" s="197"/>
    </row>
    <row r="65" spans="1:8" ht="9.75" customHeight="1">
      <c r="A65" s="546"/>
      <c r="B65" s="506" t="s">
        <v>60</v>
      </c>
      <c r="C65" s="507"/>
      <c r="D65" s="507"/>
      <c r="E65" s="507">
        <v>12758.116297500001</v>
      </c>
      <c r="F65" s="507">
        <v>12758.116297500001</v>
      </c>
      <c r="G65" s="548">
        <v>95409.109945000004</v>
      </c>
      <c r="H65" s="197"/>
    </row>
    <row r="66" spans="1:8" ht="9.75" customHeight="1">
      <c r="A66" s="546"/>
      <c r="B66" s="506" t="s">
        <v>57</v>
      </c>
      <c r="C66" s="507"/>
      <c r="D66" s="507"/>
      <c r="E66" s="507">
        <v>14393.931119999999</v>
      </c>
      <c r="F66" s="507">
        <v>14393.931119999999</v>
      </c>
      <c r="G66" s="548">
        <v>115699.7624525</v>
      </c>
      <c r="H66" s="197"/>
    </row>
    <row r="67" spans="1:8" ht="9.75" customHeight="1">
      <c r="A67" s="546"/>
      <c r="B67" s="506" t="s">
        <v>68</v>
      </c>
      <c r="C67" s="507"/>
      <c r="D67" s="507"/>
      <c r="E67" s="507">
        <v>4100.499315</v>
      </c>
      <c r="F67" s="507">
        <v>4100.499315</v>
      </c>
      <c r="G67" s="548">
        <v>32328.950197500002</v>
      </c>
      <c r="H67" s="197"/>
    </row>
    <row r="68" spans="1:8" ht="9.75" customHeight="1">
      <c r="A68" s="546"/>
      <c r="B68" s="506" t="s">
        <v>67</v>
      </c>
      <c r="C68" s="507"/>
      <c r="D68" s="507"/>
      <c r="E68" s="507">
        <v>4526.6114125000004</v>
      </c>
      <c r="F68" s="507">
        <v>4526.6114125000004</v>
      </c>
      <c r="G68" s="548">
        <v>35793.747520000004</v>
      </c>
      <c r="H68" s="197"/>
    </row>
    <row r="69" spans="1:8" ht="9.75" customHeight="1">
      <c r="A69" s="547" t="s">
        <v>535</v>
      </c>
      <c r="B69" s="404"/>
      <c r="C69" s="405"/>
      <c r="D69" s="405"/>
      <c r="E69" s="405">
        <v>46499.323855000002</v>
      </c>
      <c r="F69" s="405">
        <v>46499.323855000002</v>
      </c>
      <c r="G69" s="549">
        <v>382535.91726250004</v>
      </c>
      <c r="H69" s="197"/>
    </row>
    <row r="70" spans="1:8" ht="9.75" customHeight="1">
      <c r="A70" s="546" t="s">
        <v>88</v>
      </c>
      <c r="B70" s="506" t="s">
        <v>452</v>
      </c>
      <c r="C70" s="507">
        <v>50525.122249999993</v>
      </c>
      <c r="D70" s="507"/>
      <c r="E70" s="507"/>
      <c r="F70" s="507">
        <v>50525.122249999993</v>
      </c>
      <c r="G70" s="548">
        <v>602879.71642999991</v>
      </c>
    </row>
    <row r="71" spans="1:8" ht="9.75" customHeight="1">
      <c r="A71" s="546"/>
      <c r="B71" s="506" t="s">
        <v>301</v>
      </c>
      <c r="C71" s="507">
        <v>21499.88175</v>
      </c>
      <c r="D71" s="507"/>
      <c r="E71" s="507"/>
      <c r="F71" s="507">
        <v>21499.88175</v>
      </c>
      <c r="G71" s="548">
        <v>209736.81538499999</v>
      </c>
    </row>
    <row r="72" spans="1:8" ht="9.75" customHeight="1">
      <c r="A72" s="546"/>
      <c r="B72" s="506" t="s">
        <v>302</v>
      </c>
      <c r="C72" s="507">
        <v>93846.4715</v>
      </c>
      <c r="D72" s="507"/>
      <c r="E72" s="507"/>
      <c r="F72" s="507">
        <v>93846.4715</v>
      </c>
      <c r="G72" s="548">
        <v>1267653.9372324997</v>
      </c>
    </row>
    <row r="73" spans="1:8" ht="9.75" customHeight="1">
      <c r="A73" s="546"/>
      <c r="B73" s="506" t="s">
        <v>303</v>
      </c>
      <c r="C73" s="507">
        <v>56983.087499999994</v>
      </c>
      <c r="D73" s="507"/>
      <c r="E73" s="507"/>
      <c r="F73" s="507">
        <v>56983.087499999994</v>
      </c>
      <c r="G73" s="548">
        <v>851985.79257249995</v>
      </c>
    </row>
    <row r="74" spans="1:8" ht="9.75" customHeight="1">
      <c r="A74" s="546"/>
      <c r="B74" s="506" t="s">
        <v>304</v>
      </c>
      <c r="C74" s="507">
        <v>44461.951249999998</v>
      </c>
      <c r="D74" s="507"/>
      <c r="E74" s="507"/>
      <c r="F74" s="507">
        <v>44461.951249999998</v>
      </c>
      <c r="G74" s="548">
        <v>517210.9990849999</v>
      </c>
    </row>
    <row r="75" spans="1:8" ht="9.75" customHeight="1">
      <c r="A75" s="546"/>
      <c r="B75" s="506" t="s">
        <v>305</v>
      </c>
      <c r="C75" s="507"/>
      <c r="D75" s="507">
        <v>3768.8995</v>
      </c>
      <c r="E75" s="507"/>
      <c r="F75" s="507">
        <v>3768.8995</v>
      </c>
      <c r="G75" s="548">
        <v>164020.31302499998</v>
      </c>
    </row>
    <row r="76" spans="1:8">
      <c r="A76" s="546"/>
      <c r="B76" s="506" t="s">
        <v>306</v>
      </c>
      <c r="C76" s="507"/>
      <c r="D76" s="507">
        <v>22865.181250000001</v>
      </c>
      <c r="E76" s="507"/>
      <c r="F76" s="507">
        <v>22865.181250000001</v>
      </c>
      <c r="G76" s="548">
        <v>313272.58165250003</v>
      </c>
    </row>
    <row r="77" spans="1:8" ht="9.75" customHeight="1">
      <c r="A77" s="546"/>
      <c r="B77" s="506" t="s">
        <v>307</v>
      </c>
      <c r="C77" s="507"/>
      <c r="D77" s="507">
        <v>249920.58724999998</v>
      </c>
      <c r="E77" s="507"/>
      <c r="F77" s="507">
        <v>249920.58724999998</v>
      </c>
      <c r="G77" s="548">
        <v>2979739.6540925</v>
      </c>
    </row>
    <row r="78" spans="1:8" ht="9.75" customHeight="1">
      <c r="A78" s="546"/>
      <c r="B78" s="506" t="s">
        <v>412</v>
      </c>
      <c r="C78" s="507"/>
      <c r="D78" s="507"/>
      <c r="E78" s="507">
        <v>241.31375</v>
      </c>
      <c r="F78" s="507">
        <v>241.31375</v>
      </c>
      <c r="G78" s="548">
        <v>2731.331725</v>
      </c>
    </row>
    <row r="79" spans="1:8">
      <c r="A79" s="547" t="s">
        <v>536</v>
      </c>
      <c r="B79" s="404"/>
      <c r="C79" s="405">
        <v>267316.51425000001</v>
      </c>
      <c r="D79" s="405">
        <v>276554.66800000001</v>
      </c>
      <c r="E79" s="405">
        <v>241.31375</v>
      </c>
      <c r="F79" s="405">
        <v>544112.49600000004</v>
      </c>
      <c r="G79" s="549">
        <v>6909231.1411999995</v>
      </c>
    </row>
    <row r="80" spans="1:8" ht="9.75" customHeight="1">
      <c r="A80" s="546" t="s">
        <v>96</v>
      </c>
      <c r="B80" s="506" t="s">
        <v>308</v>
      </c>
      <c r="C80" s="507"/>
      <c r="D80" s="507">
        <v>1497.4179999999999</v>
      </c>
      <c r="E80" s="507"/>
      <c r="F80" s="507">
        <v>1497.4179999999999</v>
      </c>
      <c r="G80" s="548">
        <v>9993.5123049999984</v>
      </c>
    </row>
    <row r="81" spans="1:7" ht="9.75" customHeight="1">
      <c r="A81" s="546"/>
      <c r="B81" s="506" t="s">
        <v>309</v>
      </c>
      <c r="C81" s="507"/>
      <c r="D81" s="507">
        <v>1459.7974999999999</v>
      </c>
      <c r="E81" s="507"/>
      <c r="F81" s="507">
        <v>1459.7974999999999</v>
      </c>
      <c r="G81" s="548">
        <v>638498.98727000004</v>
      </c>
    </row>
    <row r="82" spans="1:7" ht="9.75" customHeight="1">
      <c r="A82" s="546"/>
      <c r="B82" s="506" t="s">
        <v>310</v>
      </c>
      <c r="C82" s="507"/>
      <c r="D82" s="507">
        <v>57737.837749999999</v>
      </c>
      <c r="E82" s="507"/>
      <c r="F82" s="507">
        <v>57737.837749999999</v>
      </c>
      <c r="G82" s="548">
        <v>76875.98933750001</v>
      </c>
    </row>
    <row r="83" spans="1:7" ht="9.75" customHeight="1">
      <c r="A83" s="547" t="s">
        <v>537</v>
      </c>
      <c r="B83" s="404"/>
      <c r="C83" s="405"/>
      <c r="D83" s="405">
        <v>60695.053249999997</v>
      </c>
      <c r="E83" s="405"/>
      <c r="F83" s="405">
        <v>60695.053249999997</v>
      </c>
      <c r="G83" s="549">
        <v>725368.48891249998</v>
      </c>
    </row>
    <row r="84" spans="1:7" ht="9.75" customHeight="1">
      <c r="A84" s="546"/>
      <c r="B84" s="506"/>
      <c r="C84" s="507"/>
      <c r="D84" s="507"/>
      <c r="E84" s="507"/>
      <c r="F84" s="507"/>
      <c r="G84" s="548"/>
    </row>
    <row r="85" spans="1:7">
      <c r="A85" s="546"/>
      <c r="B85" s="506"/>
      <c r="C85" s="507"/>
      <c r="D85" s="507"/>
      <c r="E85" s="507"/>
      <c r="F85" s="507"/>
      <c r="G85" s="548"/>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Diciembre 2021
INFSGI-MES-12-2021
21/02/2022
Versión: 02</oddHeader>
    <oddFooter>&amp;L&amp;7COES, 2021&amp;C18&amp;R&amp;7Dirección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3"/>
  <sheetViews>
    <sheetView showGridLines="0" view="pageBreakPreview" zoomScale="130" zoomScaleNormal="100" zoomScaleSheetLayoutView="130" zoomScalePageLayoutView="130" workbookViewId="0">
      <selection activeCell="F52" sqref="F52"/>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16" t="s">
        <v>248</v>
      </c>
      <c r="B1" s="919" t="s">
        <v>54</v>
      </c>
      <c r="C1" s="922" t="str">
        <f>+'18. ANEXOI-1'!C2:F2</f>
        <v>ENERGÍA PRODUCIDA DICIEMBRE 2021</v>
      </c>
      <c r="D1" s="922"/>
      <c r="E1" s="922"/>
      <c r="F1" s="922"/>
      <c r="G1" s="510" t="s">
        <v>274</v>
      </c>
      <c r="H1" s="203"/>
    </row>
    <row r="2" spans="1:8" ht="11.25" customHeight="1">
      <c r="A2" s="917"/>
      <c r="B2" s="920"/>
      <c r="C2" s="923" t="s">
        <v>275</v>
      </c>
      <c r="D2" s="923"/>
      <c r="E2" s="923"/>
      <c r="F2" s="924" t="str">
        <f>"TOTAL 
"&amp;UPPER('1. Resumen'!Q4)</f>
        <v>TOTAL 
DICIEMBRE</v>
      </c>
      <c r="G2" s="511" t="s">
        <v>276</v>
      </c>
      <c r="H2" s="194"/>
    </row>
    <row r="3" spans="1:8" ht="11.25" customHeight="1">
      <c r="A3" s="917"/>
      <c r="B3" s="920"/>
      <c r="C3" s="503" t="s">
        <v>213</v>
      </c>
      <c r="D3" s="503" t="s">
        <v>214</v>
      </c>
      <c r="E3" s="503" t="s">
        <v>277</v>
      </c>
      <c r="F3" s="925"/>
      <c r="G3" s="511">
        <v>2021</v>
      </c>
      <c r="H3" s="196"/>
    </row>
    <row r="4" spans="1:8" ht="11.25" customHeight="1">
      <c r="A4" s="926"/>
      <c r="B4" s="927"/>
      <c r="C4" s="504" t="s">
        <v>278</v>
      </c>
      <c r="D4" s="504" t="s">
        <v>278</v>
      </c>
      <c r="E4" s="504" t="s">
        <v>278</v>
      </c>
      <c r="F4" s="504" t="s">
        <v>278</v>
      </c>
      <c r="G4" s="512" t="s">
        <v>206</v>
      </c>
      <c r="H4" s="196"/>
    </row>
    <row r="5" spans="1:8" ht="10.5" customHeight="1">
      <c r="A5" s="546" t="s">
        <v>98</v>
      </c>
      <c r="B5" s="506" t="s">
        <v>420</v>
      </c>
      <c r="C5" s="507"/>
      <c r="D5" s="507"/>
      <c r="E5" s="507">
        <v>41169.368750000001</v>
      </c>
      <c r="F5" s="507">
        <v>41169.368750000001</v>
      </c>
      <c r="G5" s="548">
        <v>443631.30584250006</v>
      </c>
    </row>
    <row r="6" spans="1:8" ht="10.5" customHeight="1">
      <c r="A6" s="546"/>
      <c r="B6" s="506" t="s">
        <v>419</v>
      </c>
      <c r="C6" s="507"/>
      <c r="D6" s="507"/>
      <c r="E6" s="507">
        <v>45526.5075</v>
      </c>
      <c r="F6" s="507">
        <v>45526.5075</v>
      </c>
      <c r="G6" s="548">
        <v>618828.55578749999</v>
      </c>
    </row>
    <row r="7" spans="1:8" ht="10.5" customHeight="1">
      <c r="A7" s="547" t="s">
        <v>538</v>
      </c>
      <c r="B7" s="404"/>
      <c r="C7" s="405"/>
      <c r="D7" s="405"/>
      <c r="E7" s="405">
        <v>86695.876250000001</v>
      </c>
      <c r="F7" s="405">
        <v>86695.876250000001</v>
      </c>
      <c r="G7" s="549">
        <v>1062459.8616300002</v>
      </c>
    </row>
    <row r="8" spans="1:8" ht="10.5" customHeight="1">
      <c r="A8" s="546" t="s">
        <v>97</v>
      </c>
      <c r="B8" s="506" t="s">
        <v>77</v>
      </c>
      <c r="C8" s="507"/>
      <c r="D8" s="507"/>
      <c r="E8" s="507">
        <v>33620.208879999998</v>
      </c>
      <c r="F8" s="507">
        <v>33620.208879999998</v>
      </c>
      <c r="G8" s="548">
        <v>317822.85235250002</v>
      </c>
    </row>
    <row r="9" spans="1:8" ht="10.5" customHeight="1">
      <c r="A9" s="546"/>
      <c r="B9" s="506" t="s">
        <v>79</v>
      </c>
      <c r="C9" s="507"/>
      <c r="D9" s="507"/>
      <c r="E9" s="507">
        <v>14035.4384625</v>
      </c>
      <c r="F9" s="507">
        <v>14035.4384625</v>
      </c>
      <c r="G9" s="548">
        <v>134734.8942975</v>
      </c>
    </row>
    <row r="10" spans="1:8" ht="10.5" customHeight="1">
      <c r="A10" s="547" t="s">
        <v>539</v>
      </c>
      <c r="B10" s="404"/>
      <c r="C10" s="405"/>
      <c r="D10" s="405"/>
      <c r="E10" s="405">
        <v>47655.6473425</v>
      </c>
      <c r="F10" s="405">
        <v>47655.6473425</v>
      </c>
      <c r="G10" s="549">
        <v>452557.74664999999</v>
      </c>
    </row>
    <row r="11" spans="1:8" ht="10.5" customHeight="1">
      <c r="A11" s="546" t="s">
        <v>87</v>
      </c>
      <c r="B11" s="506" t="s">
        <v>311</v>
      </c>
      <c r="C11" s="507">
        <v>51742.1503725</v>
      </c>
      <c r="D11" s="507"/>
      <c r="E11" s="507"/>
      <c r="F11" s="507">
        <v>51742.1503725</v>
      </c>
      <c r="G11" s="548">
        <v>542905.564625</v>
      </c>
    </row>
    <row r="12" spans="1:8" ht="10.5" customHeight="1">
      <c r="A12" s="546"/>
      <c r="B12" s="506" t="s">
        <v>312</v>
      </c>
      <c r="C12" s="507">
        <v>84226.366114999997</v>
      </c>
      <c r="D12" s="507"/>
      <c r="E12" s="507"/>
      <c r="F12" s="507">
        <v>84226.366114999997</v>
      </c>
      <c r="G12" s="548">
        <v>820521.05514000007</v>
      </c>
    </row>
    <row r="13" spans="1:8" ht="10.5" customHeight="1">
      <c r="A13" s="546"/>
      <c r="B13" s="506" t="s">
        <v>313</v>
      </c>
      <c r="C13" s="507"/>
      <c r="D13" s="507">
        <v>436253.77196499996</v>
      </c>
      <c r="E13" s="507"/>
      <c r="F13" s="507">
        <v>436253.77196499996</v>
      </c>
      <c r="G13" s="548">
        <v>4655048.9942899998</v>
      </c>
    </row>
    <row r="14" spans="1:8" ht="10.5" customHeight="1">
      <c r="A14" s="546"/>
      <c r="B14" s="506" t="s">
        <v>314</v>
      </c>
      <c r="C14" s="507"/>
      <c r="D14" s="507">
        <v>9523.7132375000001</v>
      </c>
      <c r="E14" s="507"/>
      <c r="F14" s="507">
        <v>9523.7132375000001</v>
      </c>
      <c r="G14" s="548">
        <v>545494.37459250004</v>
      </c>
    </row>
    <row r="15" spans="1:8" ht="10.5" customHeight="1">
      <c r="A15" s="546"/>
      <c r="B15" s="506" t="s">
        <v>315</v>
      </c>
      <c r="C15" s="507"/>
      <c r="D15" s="507">
        <v>5899.2881600000001</v>
      </c>
      <c r="E15" s="507"/>
      <c r="F15" s="507">
        <v>5899.2881600000001</v>
      </c>
      <c r="G15" s="548">
        <v>28354.864077499999</v>
      </c>
    </row>
    <row r="16" spans="1:8" s="568" customFormat="1" ht="10.5" customHeight="1">
      <c r="A16" s="546"/>
      <c r="B16" s="506" t="s">
        <v>316</v>
      </c>
      <c r="C16" s="507"/>
      <c r="D16" s="507">
        <v>456.46281249999998</v>
      </c>
      <c r="E16" s="507"/>
      <c r="F16" s="507">
        <v>456.46281249999998</v>
      </c>
      <c r="G16" s="548">
        <v>6410.6662075000013</v>
      </c>
    </row>
    <row r="17" spans="1:7" s="568" customFormat="1" ht="10.5" customHeight="1">
      <c r="A17" s="546"/>
      <c r="B17" s="506" t="s">
        <v>317</v>
      </c>
      <c r="C17" s="507"/>
      <c r="D17" s="507">
        <v>0</v>
      </c>
      <c r="E17" s="507"/>
      <c r="F17" s="507">
        <v>0</v>
      </c>
      <c r="G17" s="548">
        <v>2947.8365700000004</v>
      </c>
    </row>
    <row r="18" spans="1:7" s="568" customFormat="1" ht="10.5" customHeight="1">
      <c r="A18" s="546"/>
      <c r="B18" s="506" t="s">
        <v>421</v>
      </c>
      <c r="C18" s="507"/>
      <c r="D18" s="507"/>
      <c r="E18" s="507">
        <v>10063.329072500001</v>
      </c>
      <c r="F18" s="507">
        <v>10063.329072500001</v>
      </c>
      <c r="G18" s="548">
        <v>108633.4082225</v>
      </c>
    </row>
    <row r="19" spans="1:7" ht="10.5" customHeight="1">
      <c r="A19" s="547" t="s">
        <v>540</v>
      </c>
      <c r="B19" s="404"/>
      <c r="C19" s="405">
        <v>135968.51648749999</v>
      </c>
      <c r="D19" s="405">
        <v>452133.23617499997</v>
      </c>
      <c r="E19" s="405">
        <v>10063.329072500001</v>
      </c>
      <c r="F19" s="405">
        <v>598165.08173500001</v>
      </c>
      <c r="G19" s="549">
        <v>6710316.7637250004</v>
      </c>
    </row>
    <row r="20" spans="1:7" ht="10.5" customHeight="1">
      <c r="A20" s="546" t="s">
        <v>237</v>
      </c>
      <c r="B20" s="506" t="s">
        <v>318</v>
      </c>
      <c r="C20" s="507"/>
      <c r="D20" s="507">
        <v>236514.07881749998</v>
      </c>
      <c r="E20" s="507"/>
      <c r="F20" s="507">
        <v>236514.07881749998</v>
      </c>
      <c r="G20" s="548">
        <v>3425777.4227324999</v>
      </c>
    </row>
    <row r="21" spans="1:7" ht="10.5" customHeight="1">
      <c r="A21" s="547" t="s">
        <v>541</v>
      </c>
      <c r="B21" s="404"/>
      <c r="C21" s="405"/>
      <c r="D21" s="405">
        <v>236514.07881749998</v>
      </c>
      <c r="E21" s="405"/>
      <c r="F21" s="405">
        <v>236514.07881749998</v>
      </c>
      <c r="G21" s="549">
        <v>3425777.4227324999</v>
      </c>
    </row>
    <row r="22" spans="1:7" ht="10.5" customHeight="1">
      <c r="A22" s="546" t="s">
        <v>446</v>
      </c>
      <c r="B22" s="506" t="s">
        <v>450</v>
      </c>
      <c r="C22" s="507"/>
      <c r="D22" s="507"/>
      <c r="E22" s="507">
        <v>13417.839355</v>
      </c>
      <c r="F22" s="507">
        <v>13417.839355</v>
      </c>
      <c r="G22" s="548">
        <v>104516.35416000002</v>
      </c>
    </row>
    <row r="23" spans="1:7" ht="10.5" customHeight="1">
      <c r="A23" s="546"/>
      <c r="B23" s="506" t="s">
        <v>447</v>
      </c>
      <c r="C23" s="507"/>
      <c r="D23" s="507"/>
      <c r="E23" s="507">
        <v>5698.7517549999993</v>
      </c>
      <c r="F23" s="507">
        <v>5698.7517549999993</v>
      </c>
      <c r="G23" s="548">
        <v>46811.458715000001</v>
      </c>
    </row>
    <row r="24" spans="1:7" ht="10.5" customHeight="1">
      <c r="A24" s="547" t="s">
        <v>542</v>
      </c>
      <c r="B24" s="404"/>
      <c r="C24" s="405"/>
      <c r="D24" s="405"/>
      <c r="E24" s="405">
        <v>19116.591110000001</v>
      </c>
      <c r="F24" s="405">
        <v>19116.591110000001</v>
      </c>
      <c r="G24" s="549">
        <v>151327.812875</v>
      </c>
    </row>
    <row r="25" spans="1:7" ht="10.5" customHeight="1">
      <c r="A25" s="546" t="s">
        <v>108</v>
      </c>
      <c r="B25" s="506" t="s">
        <v>66</v>
      </c>
      <c r="C25" s="507"/>
      <c r="D25" s="507"/>
      <c r="E25" s="507">
        <v>4917.8862274999992</v>
      </c>
      <c r="F25" s="507">
        <v>4917.8862274999992</v>
      </c>
      <c r="G25" s="548">
        <v>59869.7225225</v>
      </c>
    </row>
    <row r="26" spans="1:7" ht="10.5" customHeight="1">
      <c r="A26" s="546"/>
      <c r="B26" s="506" t="s">
        <v>411</v>
      </c>
      <c r="C26" s="507"/>
      <c r="D26" s="507"/>
      <c r="E26" s="507">
        <v>15041.534520000001</v>
      </c>
      <c r="F26" s="507">
        <v>15041.534520000001</v>
      </c>
      <c r="G26" s="548">
        <v>103639.79221000001</v>
      </c>
    </row>
    <row r="27" spans="1:7" ht="10.5" customHeight="1">
      <c r="A27" s="546"/>
      <c r="B27" s="506" t="s">
        <v>409</v>
      </c>
      <c r="C27" s="507"/>
      <c r="D27" s="507"/>
      <c r="E27" s="507">
        <v>14940.1934975</v>
      </c>
      <c r="F27" s="507">
        <v>14940.1934975</v>
      </c>
      <c r="G27" s="548">
        <v>113181.26576000001</v>
      </c>
    </row>
    <row r="28" spans="1:7" ht="10.5" customHeight="1">
      <c r="A28" s="546"/>
      <c r="B28" s="506" t="s">
        <v>410</v>
      </c>
      <c r="C28" s="507"/>
      <c r="D28" s="507"/>
      <c r="E28" s="507">
        <v>14244.11541</v>
      </c>
      <c r="F28" s="507">
        <v>14244.11541</v>
      </c>
      <c r="G28" s="548">
        <v>110475.47976</v>
      </c>
    </row>
    <row r="29" spans="1:7" ht="10.5" customHeight="1">
      <c r="A29" s="547" t="s">
        <v>543</v>
      </c>
      <c r="B29" s="404"/>
      <c r="C29" s="405"/>
      <c r="D29" s="405"/>
      <c r="E29" s="405">
        <v>49143.729655000003</v>
      </c>
      <c r="F29" s="405">
        <v>49143.729655000003</v>
      </c>
      <c r="G29" s="549">
        <v>387166.26025250007</v>
      </c>
    </row>
    <row r="30" spans="1:7" ht="10.199999999999999" customHeight="1">
      <c r="A30" s="546" t="s">
        <v>475</v>
      </c>
      <c r="B30" s="506" t="s">
        <v>653</v>
      </c>
      <c r="C30" s="507"/>
      <c r="D30" s="507"/>
      <c r="E30" s="507">
        <v>3438.7586500000002</v>
      </c>
      <c r="F30" s="507">
        <v>3438.7586500000002</v>
      </c>
      <c r="G30" s="548">
        <v>43140.621857500009</v>
      </c>
    </row>
    <row r="31" spans="1:7" ht="10.5" customHeight="1">
      <c r="A31" s="547" t="s">
        <v>544</v>
      </c>
      <c r="B31" s="404"/>
      <c r="C31" s="405"/>
      <c r="D31" s="405"/>
      <c r="E31" s="405">
        <v>3438.7586500000002</v>
      </c>
      <c r="F31" s="405">
        <v>3438.7586500000002</v>
      </c>
      <c r="G31" s="549">
        <v>43140.621857500009</v>
      </c>
    </row>
    <row r="32" spans="1:7">
      <c r="A32" s="546" t="s">
        <v>476</v>
      </c>
      <c r="B32" s="506" t="s">
        <v>629</v>
      </c>
      <c r="C32" s="507"/>
      <c r="D32" s="507"/>
      <c r="E32" s="507">
        <v>3911.5265300000001</v>
      </c>
      <c r="F32" s="507">
        <v>3911.5265300000001</v>
      </c>
      <c r="G32" s="548">
        <v>56009.805800000002</v>
      </c>
    </row>
    <row r="33" spans="1:7" ht="10.199999999999999" customHeight="1">
      <c r="A33" s="547" t="s">
        <v>545</v>
      </c>
      <c r="B33" s="404"/>
      <c r="C33" s="405"/>
      <c r="D33" s="405"/>
      <c r="E33" s="405">
        <v>3911.5265300000001</v>
      </c>
      <c r="F33" s="405">
        <v>3911.5265300000001</v>
      </c>
      <c r="G33" s="549">
        <v>56009.805800000002</v>
      </c>
    </row>
    <row r="34" spans="1:7" ht="10.5" customHeight="1">
      <c r="A34" s="546" t="s">
        <v>114</v>
      </c>
      <c r="B34" s="506" t="s">
        <v>74</v>
      </c>
      <c r="C34" s="507"/>
      <c r="D34" s="507"/>
      <c r="E34" s="507">
        <v>2563.6999999999998</v>
      </c>
      <c r="F34" s="507">
        <v>2563.6999999999998</v>
      </c>
      <c r="G34" s="548">
        <v>27205.100000000002</v>
      </c>
    </row>
    <row r="35" spans="1:7" ht="10.5" customHeight="1">
      <c r="A35" s="547" t="s">
        <v>546</v>
      </c>
      <c r="B35" s="404"/>
      <c r="C35" s="405"/>
      <c r="D35" s="405"/>
      <c r="E35" s="405">
        <v>2563.6999999999998</v>
      </c>
      <c r="F35" s="405">
        <v>2563.6999999999998</v>
      </c>
      <c r="G35" s="549">
        <v>27205.100000000002</v>
      </c>
    </row>
    <row r="36" spans="1:7" ht="10.5" customHeight="1">
      <c r="A36" s="546" t="s">
        <v>103</v>
      </c>
      <c r="B36" s="506" t="s">
        <v>319</v>
      </c>
      <c r="C36" s="507">
        <v>13109.982830000001</v>
      </c>
      <c r="D36" s="507"/>
      <c r="E36" s="507"/>
      <c r="F36" s="507">
        <v>13109.982830000001</v>
      </c>
      <c r="G36" s="548">
        <v>145282.16230999999</v>
      </c>
    </row>
    <row r="37" spans="1:7" ht="10.5" customHeight="1">
      <c r="A37" s="547" t="s">
        <v>547</v>
      </c>
      <c r="B37" s="404"/>
      <c r="C37" s="405">
        <v>13109.982830000001</v>
      </c>
      <c r="D37" s="405"/>
      <c r="E37" s="405"/>
      <c r="F37" s="405">
        <v>13109.982830000001</v>
      </c>
      <c r="G37" s="549">
        <v>145282.16230999999</v>
      </c>
    </row>
    <row r="38" spans="1:7" ht="21" customHeight="1">
      <c r="A38" s="546" t="s">
        <v>238</v>
      </c>
      <c r="B38" s="506" t="s">
        <v>59</v>
      </c>
      <c r="C38" s="507"/>
      <c r="D38" s="507"/>
      <c r="E38" s="507">
        <v>13414.983522500001</v>
      </c>
      <c r="F38" s="507">
        <v>13414.983522500001</v>
      </c>
      <c r="G38" s="548">
        <v>138749.01033999998</v>
      </c>
    </row>
    <row r="39" spans="1:7" ht="10.5" customHeight="1">
      <c r="A39" s="547" t="s">
        <v>548</v>
      </c>
      <c r="B39" s="404"/>
      <c r="C39" s="405"/>
      <c r="D39" s="405"/>
      <c r="E39" s="405">
        <v>13414.983522500001</v>
      </c>
      <c r="F39" s="405">
        <v>13414.983522500001</v>
      </c>
      <c r="G39" s="549">
        <v>138749.01033999998</v>
      </c>
    </row>
    <row r="40" spans="1:7" s="46" customFormat="1" ht="10.199999999999999" customHeight="1">
      <c r="A40" s="546" t="s">
        <v>408</v>
      </c>
      <c r="B40" s="506" t="s">
        <v>453</v>
      </c>
      <c r="C40" s="507">
        <v>448.42275000000001</v>
      </c>
      <c r="D40" s="507"/>
      <c r="E40" s="507"/>
      <c r="F40" s="507">
        <v>448.42275000000001</v>
      </c>
      <c r="G40" s="548">
        <v>3090.6580000000004</v>
      </c>
    </row>
    <row r="41" spans="1:7" ht="12" customHeight="1">
      <c r="A41" s="547" t="s">
        <v>549</v>
      </c>
      <c r="B41" s="404"/>
      <c r="C41" s="405">
        <v>448.42275000000001</v>
      </c>
      <c r="D41" s="405"/>
      <c r="E41" s="405"/>
      <c r="F41" s="405">
        <v>448.42275000000001</v>
      </c>
      <c r="G41" s="549">
        <v>3090.6580000000004</v>
      </c>
    </row>
    <row r="42" spans="1:7" ht="11.25" customHeight="1">
      <c r="A42" s="546" t="s">
        <v>423</v>
      </c>
      <c r="B42" s="506" t="s">
        <v>427</v>
      </c>
      <c r="C42" s="507">
        <v>65904.089449999999</v>
      </c>
      <c r="D42" s="507"/>
      <c r="E42" s="507"/>
      <c r="F42" s="507">
        <v>65904.089449999999</v>
      </c>
      <c r="G42" s="548">
        <v>647887.52543249994</v>
      </c>
    </row>
    <row r="43" spans="1:7" ht="10.5" customHeight="1">
      <c r="A43" s="547" t="s">
        <v>550</v>
      </c>
      <c r="B43" s="404"/>
      <c r="C43" s="405">
        <v>65904.089449999999</v>
      </c>
      <c r="D43" s="405"/>
      <c r="E43" s="405"/>
      <c r="F43" s="405">
        <v>65904.089449999999</v>
      </c>
      <c r="G43" s="549">
        <v>647887.52543249994</v>
      </c>
    </row>
    <row r="44" spans="1:7" ht="16.8" customHeight="1">
      <c r="A44" s="740" t="s">
        <v>457</v>
      </c>
      <c r="B44" s="741" t="s">
        <v>471</v>
      </c>
      <c r="C44" s="742"/>
      <c r="D44" s="742"/>
      <c r="E44" s="742">
        <v>12693.727214999999</v>
      </c>
      <c r="F44" s="742">
        <v>12693.727214999999</v>
      </c>
      <c r="G44" s="756">
        <v>86818.988887499989</v>
      </c>
    </row>
    <row r="45" spans="1:7" ht="10.5" customHeight="1">
      <c r="A45" s="547" t="s">
        <v>551</v>
      </c>
      <c r="B45" s="404"/>
      <c r="C45" s="405"/>
      <c r="D45" s="405"/>
      <c r="E45" s="405">
        <v>12693.727214999999</v>
      </c>
      <c r="F45" s="405">
        <v>12693.727214999999</v>
      </c>
      <c r="G45" s="549">
        <v>86818.988887499989</v>
      </c>
    </row>
    <row r="46" spans="1:7" ht="10.5" customHeight="1">
      <c r="A46" s="546" t="s">
        <v>116</v>
      </c>
      <c r="B46" s="506" t="s">
        <v>321</v>
      </c>
      <c r="C46" s="507"/>
      <c r="D46" s="507">
        <v>0</v>
      </c>
      <c r="E46" s="507"/>
      <c r="F46" s="507">
        <v>0</v>
      </c>
      <c r="G46" s="548">
        <v>729.18418250000002</v>
      </c>
    </row>
    <row r="47" spans="1:7" ht="10.5" customHeight="1">
      <c r="A47" s="546"/>
      <c r="B47" s="506" t="s">
        <v>322</v>
      </c>
      <c r="C47" s="507"/>
      <c r="D47" s="507">
        <v>25.685097500000001</v>
      </c>
      <c r="E47" s="507"/>
      <c r="F47" s="507">
        <v>25.685097500000001</v>
      </c>
      <c r="G47" s="548">
        <v>1428.7411625000002</v>
      </c>
    </row>
    <row r="48" spans="1:7" ht="10.5" customHeight="1">
      <c r="A48" s="547" t="s">
        <v>552</v>
      </c>
      <c r="B48" s="404"/>
      <c r="C48" s="405"/>
      <c r="D48" s="405">
        <v>25.685097500000001</v>
      </c>
      <c r="E48" s="405"/>
      <c r="F48" s="405">
        <v>25.685097500000001</v>
      </c>
      <c r="G48" s="549">
        <v>2157.9253450000001</v>
      </c>
    </row>
    <row r="49" spans="1:8" ht="10.5" customHeight="1">
      <c r="A49" s="546" t="s">
        <v>406</v>
      </c>
      <c r="B49" s="506" t="s">
        <v>323</v>
      </c>
      <c r="C49" s="507"/>
      <c r="D49" s="507">
        <v>375648.9325</v>
      </c>
      <c r="E49" s="507"/>
      <c r="F49" s="507">
        <v>375648.9325</v>
      </c>
      <c r="G49" s="548">
        <v>5627679.3019749997</v>
      </c>
    </row>
    <row r="50" spans="1:8" ht="10.5" customHeight="1">
      <c r="A50" s="546"/>
      <c r="B50" s="506" t="s">
        <v>324</v>
      </c>
      <c r="C50" s="507"/>
      <c r="D50" s="507">
        <v>34049.224999999999</v>
      </c>
      <c r="E50" s="507"/>
      <c r="F50" s="507">
        <v>34049.224999999999</v>
      </c>
      <c r="G50" s="548">
        <v>472899.73364499991</v>
      </c>
    </row>
    <row r="51" spans="1:8" ht="10.5" customHeight="1">
      <c r="A51" s="546"/>
      <c r="B51" s="506" t="s">
        <v>425</v>
      </c>
      <c r="C51" s="507">
        <v>334289.22250000003</v>
      </c>
      <c r="D51" s="507"/>
      <c r="E51" s="507"/>
      <c r="F51" s="507">
        <v>334289.22250000003</v>
      </c>
      <c r="G51" s="548">
        <v>3085170.3039224995</v>
      </c>
      <c r="H51" s="320"/>
    </row>
    <row r="52" spans="1:8" ht="10.5" customHeight="1">
      <c r="A52" s="546"/>
      <c r="B52" s="506" t="s">
        <v>325</v>
      </c>
      <c r="C52" s="507">
        <v>7231.6450000000004</v>
      </c>
      <c r="D52" s="507"/>
      <c r="E52" s="507"/>
      <c r="F52" s="507">
        <v>7231.6450000000004</v>
      </c>
      <c r="G52" s="548">
        <v>53193.815934999991</v>
      </c>
    </row>
    <row r="53" spans="1:8" ht="10.5" customHeight="1">
      <c r="A53" s="547" t="s">
        <v>553</v>
      </c>
      <c r="B53" s="404"/>
      <c r="C53" s="405">
        <v>341520.86750000005</v>
      </c>
      <c r="D53" s="405">
        <v>409698.15749999997</v>
      </c>
      <c r="E53" s="405"/>
      <c r="F53" s="405">
        <v>751219.02500000002</v>
      </c>
      <c r="G53" s="549">
        <v>9238943.1554774996</v>
      </c>
    </row>
    <row r="54" spans="1:8" ht="10.5" customHeight="1">
      <c r="A54" s="546" t="s">
        <v>504</v>
      </c>
      <c r="B54" s="506" t="s">
        <v>654</v>
      </c>
      <c r="C54" s="507">
        <v>40217.35125</v>
      </c>
      <c r="D54" s="507"/>
      <c r="E54" s="507"/>
      <c r="F54" s="507">
        <v>40217.35125</v>
      </c>
      <c r="G54" s="548">
        <v>201448.76535249999</v>
      </c>
    </row>
    <row r="55" spans="1:8" ht="10.5" customHeight="1">
      <c r="A55" s="547" t="s">
        <v>554</v>
      </c>
      <c r="B55" s="404"/>
      <c r="C55" s="405">
        <v>40217.35125</v>
      </c>
      <c r="D55" s="405"/>
      <c r="E55" s="405"/>
      <c r="F55" s="405">
        <v>40217.35125</v>
      </c>
      <c r="G55" s="549">
        <v>201448.76535249999</v>
      </c>
    </row>
    <row r="56" spans="1:8" ht="10.5" customHeight="1">
      <c r="A56" s="546" t="s">
        <v>115</v>
      </c>
      <c r="B56" s="506" t="s">
        <v>72</v>
      </c>
      <c r="C56" s="507"/>
      <c r="D56" s="507"/>
      <c r="E56" s="507">
        <v>2196.0478750000002</v>
      </c>
      <c r="F56" s="507">
        <v>2196.0478750000002</v>
      </c>
      <c r="G56" s="548">
        <v>17628.330082500001</v>
      </c>
    </row>
    <row r="57" spans="1:8" ht="10.5" customHeight="1">
      <c r="A57" s="547" t="s">
        <v>555</v>
      </c>
      <c r="B57" s="404"/>
      <c r="C57" s="405"/>
      <c r="D57" s="405"/>
      <c r="E57" s="405">
        <v>2196.0478750000002</v>
      </c>
      <c r="F57" s="405">
        <v>2196.0478750000002</v>
      </c>
      <c r="G57" s="549">
        <v>17628.330082500001</v>
      </c>
    </row>
    <row r="58" spans="1:8" ht="10.5" customHeight="1">
      <c r="A58" s="546" t="s">
        <v>473</v>
      </c>
      <c r="B58" s="506" t="s">
        <v>231</v>
      </c>
      <c r="C58" s="507"/>
      <c r="D58" s="507"/>
      <c r="E58" s="507">
        <v>4044.6451000000002</v>
      </c>
      <c r="F58" s="507">
        <v>4044.6451000000002</v>
      </c>
      <c r="G58" s="548">
        <v>44220.059699999998</v>
      </c>
    </row>
    <row r="59" spans="1:8" ht="10.5" customHeight="1">
      <c r="A59" s="547" t="s">
        <v>556</v>
      </c>
      <c r="B59" s="404"/>
      <c r="C59" s="405"/>
      <c r="D59" s="405"/>
      <c r="E59" s="405">
        <v>4044.6451000000002</v>
      </c>
      <c r="F59" s="405">
        <v>4044.6451000000002</v>
      </c>
      <c r="G59" s="549">
        <v>44220.059699999998</v>
      </c>
    </row>
    <row r="60" spans="1:8" ht="10.5" customHeight="1">
      <c r="A60" s="546" t="s">
        <v>110</v>
      </c>
      <c r="B60" s="506" t="s">
        <v>81</v>
      </c>
      <c r="C60" s="507"/>
      <c r="D60" s="507"/>
      <c r="E60" s="507">
        <v>4303.9525050000002</v>
      </c>
      <c r="F60" s="507">
        <v>4303.9525050000002</v>
      </c>
      <c r="G60" s="548">
        <v>48611.662437500003</v>
      </c>
    </row>
    <row r="61" spans="1:8" ht="10.5" customHeight="1">
      <c r="A61" s="547" t="s">
        <v>557</v>
      </c>
      <c r="B61" s="404"/>
      <c r="C61" s="405"/>
      <c r="D61" s="405"/>
      <c r="E61" s="405">
        <v>4303.9525050000002</v>
      </c>
      <c r="F61" s="405">
        <v>4303.9525050000002</v>
      </c>
      <c r="G61" s="549">
        <v>48611.662437500003</v>
      </c>
    </row>
    <row r="62" spans="1:8" ht="10.5" customHeight="1">
      <c r="A62" s="546" t="s">
        <v>239</v>
      </c>
      <c r="B62" s="506" t="s">
        <v>71</v>
      </c>
      <c r="C62" s="507"/>
      <c r="D62" s="507"/>
      <c r="E62" s="507">
        <v>3888.489</v>
      </c>
      <c r="F62" s="507">
        <v>3888.489</v>
      </c>
      <c r="G62" s="548">
        <v>40003.919877499997</v>
      </c>
    </row>
    <row r="63" spans="1:8" ht="10.5" customHeight="1">
      <c r="A63" s="546"/>
      <c r="B63" s="506" t="s">
        <v>326</v>
      </c>
      <c r="C63" s="507">
        <v>154405.9785</v>
      </c>
      <c r="D63" s="507"/>
      <c r="E63" s="507"/>
      <c r="F63" s="507">
        <v>154405.9785</v>
      </c>
      <c r="G63" s="548">
        <v>1434657.2116425</v>
      </c>
    </row>
    <row r="64" spans="1:8" ht="10.5" customHeight="1">
      <c r="A64" s="546"/>
      <c r="B64" s="506" t="s">
        <v>327</v>
      </c>
      <c r="C64" s="507">
        <v>64040.733</v>
      </c>
      <c r="D64" s="507"/>
      <c r="E64" s="507"/>
      <c r="F64" s="507">
        <v>64040.733</v>
      </c>
      <c r="G64" s="548">
        <v>651357.0989325</v>
      </c>
    </row>
    <row r="65" spans="1:7" ht="10.5" customHeight="1">
      <c r="A65" s="546"/>
      <c r="B65" s="506" t="s">
        <v>62</v>
      </c>
      <c r="C65" s="507"/>
      <c r="D65" s="507"/>
      <c r="E65" s="507">
        <v>7144.7479999999996</v>
      </c>
      <c r="F65" s="507">
        <v>7144.7479999999996</v>
      </c>
      <c r="G65" s="548">
        <v>77122.213729999989</v>
      </c>
    </row>
    <row r="66" spans="1:7" ht="10.5" customHeight="1">
      <c r="A66" s="547" t="s">
        <v>558</v>
      </c>
      <c r="B66" s="404"/>
      <c r="C66" s="405">
        <v>218446.7115</v>
      </c>
      <c r="D66" s="405"/>
      <c r="E66" s="405">
        <v>11033.236999999999</v>
      </c>
      <c r="F66" s="405">
        <v>229479.9485</v>
      </c>
      <c r="G66" s="549">
        <v>2203140.4441825002</v>
      </c>
    </row>
    <row r="67" spans="1:7" ht="10.5" customHeight="1">
      <c r="A67" s="546" t="s">
        <v>240</v>
      </c>
      <c r="B67" s="506" t="s">
        <v>78</v>
      </c>
      <c r="C67" s="507"/>
      <c r="D67" s="507"/>
      <c r="E67" s="507">
        <v>10640.418127499999</v>
      </c>
      <c r="F67" s="507">
        <v>10640.418127499999</v>
      </c>
      <c r="G67" s="548">
        <v>169607.86646749996</v>
      </c>
    </row>
    <row r="68" spans="1:7" ht="10.5" customHeight="1">
      <c r="A68" s="547" t="s">
        <v>559</v>
      </c>
      <c r="B68" s="404"/>
      <c r="C68" s="405"/>
      <c r="D68" s="405"/>
      <c r="E68" s="405">
        <v>10640.418127499999</v>
      </c>
      <c r="F68" s="405">
        <v>10640.418127499999</v>
      </c>
      <c r="G68" s="549">
        <v>169607.86646749996</v>
      </c>
    </row>
    <row r="69" spans="1:7" ht="10.5" customHeight="1">
      <c r="A69" s="546" t="s">
        <v>99</v>
      </c>
      <c r="B69" s="506" t="s">
        <v>76</v>
      </c>
      <c r="C69" s="507"/>
      <c r="D69" s="507"/>
      <c r="E69" s="507">
        <v>33152.7938125</v>
      </c>
      <c r="F69" s="507">
        <v>33152.7938125</v>
      </c>
      <c r="G69" s="548">
        <v>460491.30483750004</v>
      </c>
    </row>
    <row r="70" spans="1:7" ht="10.5" customHeight="1">
      <c r="A70" s="547" t="s">
        <v>560</v>
      </c>
      <c r="B70" s="404"/>
      <c r="C70" s="405"/>
      <c r="D70" s="405"/>
      <c r="E70" s="405">
        <v>33152.7938125</v>
      </c>
      <c r="F70" s="405">
        <v>33152.7938125</v>
      </c>
      <c r="G70" s="549">
        <v>460491.30483750004</v>
      </c>
    </row>
    <row r="71" spans="1:7" ht="10.5" customHeight="1">
      <c r="A71" s="546" t="s">
        <v>107</v>
      </c>
      <c r="B71" s="506" t="s">
        <v>230</v>
      </c>
      <c r="C71" s="507"/>
      <c r="D71" s="507"/>
      <c r="E71" s="507">
        <v>5229.2854175000002</v>
      </c>
      <c r="F71" s="507">
        <v>5229.2854175000002</v>
      </c>
      <c r="G71" s="548">
        <v>58773.847569999998</v>
      </c>
    </row>
    <row r="72" spans="1:7" ht="10.5" customHeight="1">
      <c r="A72" s="547" t="s">
        <v>561</v>
      </c>
      <c r="B72" s="404"/>
      <c r="C72" s="405"/>
      <c r="D72" s="405"/>
      <c r="E72" s="405">
        <v>5229.2854175000002</v>
      </c>
      <c r="F72" s="405">
        <v>5229.2854175000002</v>
      </c>
      <c r="G72" s="549">
        <v>58773.847569999998</v>
      </c>
    </row>
    <row r="73" spans="1:7" ht="10.5" customHeight="1">
      <c r="A73" s="546"/>
      <c r="B73" s="506"/>
      <c r="C73" s="507"/>
      <c r="D73" s="507"/>
      <c r="E73" s="507"/>
      <c r="F73" s="507"/>
      <c r="G73" s="548"/>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Diciembre 2021
INFSGI-MES-12-2021
21/02/2022
Versión: 02</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76"/>
  <sheetViews>
    <sheetView showGridLines="0" view="pageBreakPreview" zoomScale="130" zoomScaleNormal="100" zoomScaleSheetLayoutView="130" zoomScalePageLayoutView="130" workbookViewId="0">
      <selection activeCell="F52" sqref="F52"/>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16" t="s">
        <v>248</v>
      </c>
      <c r="B1" s="919" t="s">
        <v>54</v>
      </c>
      <c r="C1" s="922" t="str">
        <f>+'19. ANEXOI-2'!C1:F1</f>
        <v>ENERGÍA PRODUCIDA DICIEMBRE 2021</v>
      </c>
      <c r="D1" s="922"/>
      <c r="E1" s="922"/>
      <c r="F1" s="922"/>
      <c r="G1" s="510" t="s">
        <v>274</v>
      </c>
      <c r="H1" s="203"/>
    </row>
    <row r="2" spans="1:8" ht="11.25" customHeight="1">
      <c r="A2" s="917"/>
      <c r="B2" s="920"/>
      <c r="C2" s="923" t="s">
        <v>275</v>
      </c>
      <c r="D2" s="923"/>
      <c r="E2" s="923"/>
      <c r="F2" s="924" t="str">
        <f>"TOTAL 
"&amp;UPPER('1. Resumen'!Q4)</f>
        <v>TOTAL 
DICIEMBRE</v>
      </c>
      <c r="G2" s="511" t="s">
        <v>276</v>
      </c>
      <c r="H2" s="194"/>
    </row>
    <row r="3" spans="1:8" ht="11.25" customHeight="1">
      <c r="A3" s="917"/>
      <c r="B3" s="920"/>
      <c r="C3" s="503" t="s">
        <v>213</v>
      </c>
      <c r="D3" s="503" t="s">
        <v>214</v>
      </c>
      <c r="E3" s="503" t="s">
        <v>277</v>
      </c>
      <c r="F3" s="925"/>
      <c r="G3" s="511">
        <v>2021</v>
      </c>
      <c r="H3" s="196"/>
    </row>
    <row r="4" spans="1:8" ht="11.25" customHeight="1">
      <c r="A4" s="926"/>
      <c r="B4" s="927"/>
      <c r="C4" s="504" t="s">
        <v>278</v>
      </c>
      <c r="D4" s="504" t="s">
        <v>278</v>
      </c>
      <c r="E4" s="504" t="s">
        <v>278</v>
      </c>
      <c r="F4" s="504" t="s">
        <v>278</v>
      </c>
      <c r="G4" s="512" t="s">
        <v>206</v>
      </c>
      <c r="H4" s="196"/>
    </row>
    <row r="5" spans="1:8" s="300" customFormat="1" ht="9" customHeight="1">
      <c r="A5" s="546" t="s">
        <v>407</v>
      </c>
      <c r="B5" s="506" t="s">
        <v>85</v>
      </c>
      <c r="C5" s="507"/>
      <c r="D5" s="507"/>
      <c r="E5" s="507">
        <v>556.89762500000006</v>
      </c>
      <c r="F5" s="507">
        <v>556.89762500000006</v>
      </c>
      <c r="G5" s="548">
        <v>16637.670265000001</v>
      </c>
    </row>
    <row r="6" spans="1:8" s="300" customFormat="1" ht="9" customHeight="1">
      <c r="A6" s="546"/>
      <c r="B6" s="506" t="s">
        <v>84</v>
      </c>
      <c r="C6" s="507"/>
      <c r="D6" s="507"/>
      <c r="E6" s="507">
        <v>2965.1850750000003</v>
      </c>
      <c r="F6" s="507">
        <v>2965.1850750000003</v>
      </c>
      <c r="G6" s="548">
        <v>32582.868022500003</v>
      </c>
    </row>
    <row r="7" spans="1:8" s="300" customFormat="1" ht="9" customHeight="1">
      <c r="A7" s="546"/>
      <c r="B7" s="506" t="s">
        <v>422</v>
      </c>
      <c r="C7" s="507"/>
      <c r="D7" s="507"/>
      <c r="E7" s="507">
        <v>1163.1754000000001</v>
      </c>
      <c r="F7" s="507">
        <v>1163.1754000000001</v>
      </c>
      <c r="G7" s="548">
        <v>15666.236907500001</v>
      </c>
    </row>
    <row r="8" spans="1:8" s="300" customFormat="1" ht="9" customHeight="1">
      <c r="A8" s="546"/>
      <c r="B8" s="506" t="s">
        <v>470</v>
      </c>
      <c r="C8" s="507"/>
      <c r="D8" s="507"/>
      <c r="E8" s="507">
        <v>637.04117499999995</v>
      </c>
      <c r="F8" s="507">
        <v>637.04117499999995</v>
      </c>
      <c r="G8" s="548">
        <v>13984.962687499999</v>
      </c>
    </row>
    <row r="9" spans="1:8" s="300" customFormat="1" ht="9" customHeight="1">
      <c r="A9" s="547" t="s">
        <v>562</v>
      </c>
      <c r="B9" s="404"/>
      <c r="C9" s="405"/>
      <c r="D9" s="405"/>
      <c r="E9" s="405">
        <v>5322.2992750000012</v>
      </c>
      <c r="F9" s="405">
        <v>5322.2992750000012</v>
      </c>
      <c r="G9" s="549">
        <v>78871.737882500005</v>
      </c>
    </row>
    <row r="10" spans="1:8" s="300" customFormat="1" ht="9" customHeight="1">
      <c r="A10" s="546" t="s">
        <v>241</v>
      </c>
      <c r="B10" s="506" t="s">
        <v>328</v>
      </c>
      <c r="C10" s="507"/>
      <c r="D10" s="507">
        <v>17.090525</v>
      </c>
      <c r="E10" s="507"/>
      <c r="F10" s="507">
        <v>17.090525</v>
      </c>
      <c r="G10" s="548">
        <v>1133.1029750000002</v>
      </c>
    </row>
    <row r="11" spans="1:8" s="300" customFormat="1" ht="9" customHeight="1">
      <c r="A11" s="547" t="s">
        <v>563</v>
      </c>
      <c r="B11" s="404"/>
      <c r="C11" s="405"/>
      <c r="D11" s="405">
        <v>17.090525</v>
      </c>
      <c r="E11" s="405"/>
      <c r="F11" s="405">
        <v>17.090525</v>
      </c>
      <c r="G11" s="549">
        <v>1133.1029750000002</v>
      </c>
    </row>
    <row r="12" spans="1:8" s="300" customFormat="1" ht="9" customHeight="1">
      <c r="A12" s="546" t="s">
        <v>474</v>
      </c>
      <c r="B12" s="506" t="s">
        <v>82</v>
      </c>
      <c r="C12" s="507"/>
      <c r="D12" s="507"/>
      <c r="E12" s="507">
        <v>3816.3535849999998</v>
      </c>
      <c r="F12" s="507">
        <v>3816.3535849999998</v>
      </c>
      <c r="G12" s="548">
        <v>43502.190932499994</v>
      </c>
    </row>
    <row r="13" spans="1:8" s="300" customFormat="1" ht="9" customHeight="1">
      <c r="A13" s="547" t="s">
        <v>564</v>
      </c>
      <c r="B13" s="404"/>
      <c r="C13" s="405"/>
      <c r="D13" s="405"/>
      <c r="E13" s="405">
        <v>3816.3535849999998</v>
      </c>
      <c r="F13" s="405">
        <v>3816.3535849999998</v>
      </c>
      <c r="G13" s="549">
        <v>43502.190932499994</v>
      </c>
    </row>
    <row r="14" spans="1:8" s="300" customFormat="1" ht="9" customHeight="1">
      <c r="A14" s="546" t="s">
        <v>437</v>
      </c>
      <c r="B14" s="506" t="s">
        <v>448</v>
      </c>
      <c r="C14" s="507"/>
      <c r="D14" s="507"/>
      <c r="E14" s="507">
        <v>12304.577705</v>
      </c>
      <c r="F14" s="507">
        <v>12304.577705</v>
      </c>
      <c r="G14" s="548">
        <v>136728.5179225</v>
      </c>
    </row>
    <row r="15" spans="1:8" s="300" customFormat="1" ht="9" customHeight="1">
      <c r="A15" s="547" t="s">
        <v>565</v>
      </c>
      <c r="B15" s="404"/>
      <c r="C15" s="405"/>
      <c r="D15" s="405"/>
      <c r="E15" s="405">
        <v>12304.577705</v>
      </c>
      <c r="F15" s="405">
        <v>12304.577705</v>
      </c>
      <c r="G15" s="549">
        <v>136728.5179225</v>
      </c>
    </row>
    <row r="16" spans="1:8" s="300" customFormat="1" ht="9" customHeight="1">
      <c r="A16" s="546" t="s">
        <v>104</v>
      </c>
      <c r="B16" s="506" t="s">
        <v>61</v>
      </c>
      <c r="C16" s="507"/>
      <c r="D16" s="507"/>
      <c r="E16" s="507">
        <v>13668.373329999999</v>
      </c>
      <c r="F16" s="507">
        <v>13668.373329999999</v>
      </c>
      <c r="G16" s="548">
        <v>129689.38984250001</v>
      </c>
    </row>
    <row r="17" spans="1:7" s="300" customFormat="1" ht="9" customHeight="1">
      <c r="A17" s="547" t="s">
        <v>566</v>
      </c>
      <c r="B17" s="404"/>
      <c r="C17" s="405"/>
      <c r="D17" s="405"/>
      <c r="E17" s="405">
        <v>13668.373329999999</v>
      </c>
      <c r="F17" s="405">
        <v>13668.373329999999</v>
      </c>
      <c r="G17" s="549">
        <v>129689.38984250001</v>
      </c>
    </row>
    <row r="18" spans="1:7" s="300" customFormat="1" ht="9" customHeight="1">
      <c r="A18" s="546" t="s">
        <v>242</v>
      </c>
      <c r="B18" s="506" t="s">
        <v>329</v>
      </c>
      <c r="C18" s="507"/>
      <c r="D18" s="507">
        <v>385.9975</v>
      </c>
      <c r="E18" s="507"/>
      <c r="F18" s="507">
        <v>385.9975</v>
      </c>
      <c r="G18" s="548">
        <v>3340.4628225000001</v>
      </c>
    </row>
    <row r="19" spans="1:7" s="300" customFormat="1" ht="9" customHeight="1">
      <c r="A19" s="547" t="s">
        <v>567</v>
      </c>
      <c r="B19" s="404"/>
      <c r="C19" s="405"/>
      <c r="D19" s="405">
        <v>385.9975</v>
      </c>
      <c r="E19" s="405"/>
      <c r="F19" s="405">
        <v>385.9975</v>
      </c>
      <c r="G19" s="549">
        <v>3340.4628225000001</v>
      </c>
    </row>
    <row r="20" spans="1:7" s="300" customFormat="1" ht="9" customHeight="1">
      <c r="A20" s="546" t="s">
        <v>95</v>
      </c>
      <c r="B20" s="506" t="s">
        <v>330</v>
      </c>
      <c r="C20" s="507">
        <v>45082.415704999999</v>
      </c>
      <c r="D20" s="507"/>
      <c r="E20" s="507"/>
      <c r="F20" s="507">
        <v>45082.415704999999</v>
      </c>
      <c r="G20" s="548">
        <v>626963.6032700002</v>
      </c>
    </row>
    <row r="21" spans="1:7" s="300" customFormat="1" ht="9" customHeight="1">
      <c r="A21" s="546"/>
      <c r="B21" s="506" t="s">
        <v>656</v>
      </c>
      <c r="C21" s="507">
        <v>0</v>
      </c>
      <c r="D21" s="507"/>
      <c r="E21" s="507"/>
      <c r="F21" s="507">
        <v>0</v>
      </c>
      <c r="G21" s="548">
        <v>7.8432700000000004</v>
      </c>
    </row>
    <row r="22" spans="1:7" s="300" customFormat="1" ht="9" customHeight="1">
      <c r="A22" s="547" t="s">
        <v>568</v>
      </c>
      <c r="B22" s="404"/>
      <c r="C22" s="405">
        <v>45082.415704999999</v>
      </c>
      <c r="D22" s="405"/>
      <c r="E22" s="405"/>
      <c r="F22" s="405">
        <v>45082.415704999999</v>
      </c>
      <c r="G22" s="549">
        <v>626971.44654000015</v>
      </c>
    </row>
    <row r="23" spans="1:7" s="300" customFormat="1" ht="9" customHeight="1">
      <c r="A23" s="546" t="s">
        <v>424</v>
      </c>
      <c r="B23" s="506" t="s">
        <v>454</v>
      </c>
      <c r="C23" s="507"/>
      <c r="D23" s="507"/>
      <c r="E23" s="507">
        <v>4357.6411225000002</v>
      </c>
      <c r="F23" s="507">
        <v>4357.6411225000002</v>
      </c>
      <c r="G23" s="548">
        <v>49725.173524999991</v>
      </c>
    </row>
    <row r="24" spans="1:7" s="300" customFormat="1" ht="9" customHeight="1">
      <c r="A24" s="547" t="s">
        <v>569</v>
      </c>
      <c r="B24" s="404"/>
      <c r="C24" s="405"/>
      <c r="D24" s="405"/>
      <c r="E24" s="405">
        <v>4357.6411225000002</v>
      </c>
      <c r="F24" s="405">
        <v>4357.6411225000002</v>
      </c>
      <c r="G24" s="549">
        <v>49725.173524999991</v>
      </c>
    </row>
    <row r="25" spans="1:7" s="300" customFormat="1" ht="9" customHeight="1">
      <c r="A25" s="546" t="s">
        <v>398</v>
      </c>
      <c r="B25" s="506" t="s">
        <v>402</v>
      </c>
      <c r="C25" s="507"/>
      <c r="D25" s="507"/>
      <c r="E25" s="507">
        <v>14564.628515</v>
      </c>
      <c r="F25" s="507">
        <v>14564.628515</v>
      </c>
      <c r="G25" s="548">
        <v>163533.99854499998</v>
      </c>
    </row>
    <row r="26" spans="1:7" s="300" customFormat="1" ht="9" customHeight="1">
      <c r="A26" s="547" t="s">
        <v>570</v>
      </c>
      <c r="B26" s="404"/>
      <c r="C26" s="405"/>
      <c r="D26" s="405"/>
      <c r="E26" s="405">
        <v>14564.628515</v>
      </c>
      <c r="F26" s="405">
        <v>14564.628515</v>
      </c>
      <c r="G26" s="549">
        <v>163533.99854499998</v>
      </c>
    </row>
    <row r="27" spans="1:7" s="300" customFormat="1" ht="9" customHeight="1">
      <c r="A27" s="546" t="s">
        <v>102</v>
      </c>
      <c r="B27" s="506" t="s">
        <v>331</v>
      </c>
      <c r="C27" s="507"/>
      <c r="D27" s="507">
        <v>18861.1318875</v>
      </c>
      <c r="E27" s="507"/>
      <c r="F27" s="507">
        <v>18861.1318875</v>
      </c>
      <c r="G27" s="548">
        <v>126445.01753</v>
      </c>
    </row>
    <row r="28" spans="1:7" s="300" customFormat="1" ht="9" customHeight="1">
      <c r="A28" s="547" t="s">
        <v>571</v>
      </c>
      <c r="B28" s="404"/>
      <c r="C28" s="405"/>
      <c r="D28" s="405">
        <v>18861.1318875</v>
      </c>
      <c r="E28" s="405"/>
      <c r="F28" s="405">
        <v>18861.1318875</v>
      </c>
      <c r="G28" s="549">
        <v>126445.01753</v>
      </c>
    </row>
    <row r="29" spans="1:7" s="300" customFormat="1" ht="9" customHeight="1">
      <c r="A29" s="546" t="s">
        <v>117</v>
      </c>
      <c r="B29" s="506" t="s">
        <v>332</v>
      </c>
      <c r="C29" s="507"/>
      <c r="D29" s="507">
        <v>529.59690000000001</v>
      </c>
      <c r="E29" s="507"/>
      <c r="F29" s="507">
        <v>529.59690000000001</v>
      </c>
      <c r="G29" s="548">
        <v>7920.3514300000006</v>
      </c>
    </row>
    <row r="30" spans="1:7" s="300" customFormat="1" ht="9" customHeight="1">
      <c r="A30" s="547" t="s">
        <v>572</v>
      </c>
      <c r="B30" s="404"/>
      <c r="C30" s="405"/>
      <c r="D30" s="405">
        <v>529.59690000000001</v>
      </c>
      <c r="E30" s="405"/>
      <c r="F30" s="405">
        <v>529.59690000000001</v>
      </c>
      <c r="G30" s="549">
        <v>7920.3514300000006</v>
      </c>
    </row>
    <row r="31" spans="1:7" s="300" customFormat="1" ht="9" customHeight="1">
      <c r="A31" s="546" t="s">
        <v>111</v>
      </c>
      <c r="B31" s="506" t="s">
        <v>449</v>
      </c>
      <c r="C31" s="507"/>
      <c r="D31" s="507"/>
      <c r="E31" s="507">
        <v>14143.801299999999</v>
      </c>
      <c r="F31" s="507">
        <v>14143.801299999999</v>
      </c>
      <c r="G31" s="548">
        <v>162221.89885999999</v>
      </c>
    </row>
    <row r="32" spans="1:7" s="300" customFormat="1" ht="9" customHeight="1">
      <c r="A32" s="546"/>
      <c r="B32" s="506" t="s">
        <v>69</v>
      </c>
      <c r="C32" s="507"/>
      <c r="D32" s="507"/>
      <c r="E32" s="507">
        <v>2130.7089575</v>
      </c>
      <c r="F32" s="507">
        <v>2130.7089575</v>
      </c>
      <c r="G32" s="548">
        <v>50329.493032500002</v>
      </c>
    </row>
    <row r="33" spans="1:7" s="300" customFormat="1" ht="9" customHeight="1">
      <c r="A33" s="547" t="s">
        <v>573</v>
      </c>
      <c r="B33" s="404"/>
      <c r="C33" s="405"/>
      <c r="D33" s="405"/>
      <c r="E33" s="405">
        <v>16274.510257499998</v>
      </c>
      <c r="F33" s="405">
        <v>16274.510257499998</v>
      </c>
      <c r="G33" s="549">
        <v>212551.39189249999</v>
      </c>
    </row>
    <row r="34" spans="1:7" s="300" customFormat="1" ht="9" customHeight="1">
      <c r="A34" s="546" t="s">
        <v>90</v>
      </c>
      <c r="B34" s="506" t="s">
        <v>333</v>
      </c>
      <c r="C34" s="507">
        <v>30891.294379999999</v>
      </c>
      <c r="D34" s="507"/>
      <c r="E34" s="507"/>
      <c r="F34" s="507">
        <v>30891.294379999999</v>
      </c>
      <c r="G34" s="548">
        <v>288902.96045249997</v>
      </c>
    </row>
    <row r="35" spans="1:7" s="300" customFormat="1" ht="9" customHeight="1">
      <c r="A35" s="546"/>
      <c r="B35" s="506" t="s">
        <v>334</v>
      </c>
      <c r="C35" s="507">
        <v>77183.42147500001</v>
      </c>
      <c r="D35" s="507"/>
      <c r="E35" s="507"/>
      <c r="F35" s="507">
        <v>77183.42147500001</v>
      </c>
      <c r="G35" s="548">
        <v>844470.37292999984</v>
      </c>
    </row>
    <row r="36" spans="1:7" s="300" customFormat="1" ht="9" customHeight="1">
      <c r="A36" s="546"/>
      <c r="B36" s="506" t="s">
        <v>335</v>
      </c>
      <c r="C36" s="507">
        <v>25932.446672500002</v>
      </c>
      <c r="D36" s="507"/>
      <c r="E36" s="507"/>
      <c r="F36" s="507">
        <v>25932.446672500002</v>
      </c>
      <c r="G36" s="548">
        <v>170305.98123500001</v>
      </c>
    </row>
    <row r="37" spans="1:7" s="300" customFormat="1" ht="9" customHeight="1">
      <c r="A37" s="546"/>
      <c r="B37" s="506" t="s">
        <v>336</v>
      </c>
      <c r="C37" s="507">
        <v>145.25697500000001</v>
      </c>
      <c r="D37" s="507"/>
      <c r="E37" s="507"/>
      <c r="F37" s="507">
        <v>145.25697500000001</v>
      </c>
      <c r="G37" s="548">
        <v>1748.8812124999999</v>
      </c>
    </row>
    <row r="38" spans="1:7" s="300" customFormat="1" ht="9" customHeight="1">
      <c r="A38" s="546"/>
      <c r="B38" s="506" t="s">
        <v>337</v>
      </c>
      <c r="C38" s="507">
        <v>27569.213837499999</v>
      </c>
      <c r="D38" s="507"/>
      <c r="E38" s="507"/>
      <c r="F38" s="507">
        <v>27569.213837499999</v>
      </c>
      <c r="G38" s="548">
        <v>239645.27811500002</v>
      </c>
    </row>
    <row r="39" spans="1:7" s="300" customFormat="1" ht="9" customHeight="1">
      <c r="A39" s="546"/>
      <c r="B39" s="506" t="s">
        <v>338</v>
      </c>
      <c r="C39" s="507">
        <v>1694.8047925000001</v>
      </c>
      <c r="D39" s="507"/>
      <c r="E39" s="507"/>
      <c r="F39" s="507">
        <v>1694.8047925000001</v>
      </c>
      <c r="G39" s="548">
        <v>25248.877537499997</v>
      </c>
    </row>
    <row r="40" spans="1:7" s="300" customFormat="1" ht="9" customHeight="1">
      <c r="A40" s="546"/>
      <c r="B40" s="506" t="s">
        <v>339</v>
      </c>
      <c r="C40" s="507">
        <v>5291.7522300000001</v>
      </c>
      <c r="D40" s="507"/>
      <c r="E40" s="507"/>
      <c r="F40" s="507">
        <v>5291.7522300000001</v>
      </c>
      <c r="G40" s="548">
        <v>56704.041720000001</v>
      </c>
    </row>
    <row r="41" spans="1:7" s="300" customFormat="1" ht="9" customHeight="1">
      <c r="A41" s="546"/>
      <c r="B41" s="506" t="s">
        <v>340</v>
      </c>
      <c r="C41" s="507">
        <v>2044.5157425000002</v>
      </c>
      <c r="D41" s="507"/>
      <c r="E41" s="507"/>
      <c r="F41" s="507">
        <v>2044.5157425000002</v>
      </c>
      <c r="G41" s="548">
        <v>37186.94155000001</v>
      </c>
    </row>
    <row r="42" spans="1:7" s="300" customFormat="1" ht="8.25" customHeight="1">
      <c r="A42" s="546"/>
      <c r="B42" s="506" t="s">
        <v>341</v>
      </c>
      <c r="C42" s="507">
        <v>2334.1644175000001</v>
      </c>
      <c r="D42" s="507"/>
      <c r="E42" s="507"/>
      <c r="F42" s="507">
        <v>2334.1644175000001</v>
      </c>
      <c r="G42" s="548">
        <v>22515.528525000002</v>
      </c>
    </row>
    <row r="43" spans="1:7" s="300" customFormat="1" ht="9" customHeight="1">
      <c r="A43" s="546"/>
      <c r="B43" s="506" t="s">
        <v>342</v>
      </c>
      <c r="C43" s="507">
        <v>20.084217500000001</v>
      </c>
      <c r="D43" s="507"/>
      <c r="E43" s="507"/>
      <c r="F43" s="507">
        <v>20.084217500000001</v>
      </c>
      <c r="G43" s="548">
        <v>2294.1553950000002</v>
      </c>
    </row>
    <row r="44" spans="1:7" s="300" customFormat="1" ht="9" customHeight="1">
      <c r="A44" s="546"/>
      <c r="B44" s="506" t="s">
        <v>343</v>
      </c>
      <c r="C44" s="507">
        <v>16.3922025</v>
      </c>
      <c r="D44" s="507"/>
      <c r="E44" s="507"/>
      <c r="F44" s="507">
        <v>16.3922025</v>
      </c>
      <c r="G44" s="548">
        <v>1849.9666024999999</v>
      </c>
    </row>
    <row r="45" spans="1:7" s="300" customFormat="1" ht="9" customHeight="1">
      <c r="A45" s="546"/>
      <c r="B45" s="506" t="s">
        <v>344</v>
      </c>
      <c r="C45" s="507">
        <v>70319.5150325</v>
      </c>
      <c r="D45" s="507"/>
      <c r="E45" s="507"/>
      <c r="F45" s="507">
        <v>70319.5150325</v>
      </c>
      <c r="G45" s="548">
        <v>760828.02775999997</v>
      </c>
    </row>
    <row r="46" spans="1:7" s="300" customFormat="1" ht="9" customHeight="1">
      <c r="A46" s="547" t="s">
        <v>574</v>
      </c>
      <c r="B46" s="404"/>
      <c r="C46" s="405">
        <v>243442.86197500001</v>
      </c>
      <c r="D46" s="405"/>
      <c r="E46" s="405"/>
      <c r="F46" s="405">
        <v>243442.86197500001</v>
      </c>
      <c r="G46" s="549">
        <v>2451701.0130350003</v>
      </c>
    </row>
    <row r="47" spans="1:7" s="300" customFormat="1" ht="9" customHeight="1">
      <c r="A47" s="546" t="s">
        <v>109</v>
      </c>
      <c r="B47" s="506" t="s">
        <v>229</v>
      </c>
      <c r="C47" s="507"/>
      <c r="D47" s="507"/>
      <c r="E47" s="507">
        <v>4695.1015150000003</v>
      </c>
      <c r="F47" s="507">
        <v>4695.1015150000003</v>
      </c>
      <c r="G47" s="548">
        <v>53568.595990000009</v>
      </c>
    </row>
    <row r="48" spans="1:7" s="300" customFormat="1" ht="9" customHeight="1">
      <c r="A48" s="547" t="s">
        <v>575</v>
      </c>
      <c r="B48" s="404"/>
      <c r="C48" s="405"/>
      <c r="D48" s="405"/>
      <c r="E48" s="405">
        <v>4695.1015150000003</v>
      </c>
      <c r="F48" s="405">
        <v>4695.1015150000003</v>
      </c>
      <c r="G48" s="549">
        <v>53568.595990000009</v>
      </c>
    </row>
    <row r="49" spans="1:8" s="300" customFormat="1" ht="9" customHeight="1">
      <c r="A49" s="546" t="s">
        <v>100</v>
      </c>
      <c r="B49" s="506" t="s">
        <v>426</v>
      </c>
      <c r="C49" s="507"/>
      <c r="D49" s="507">
        <v>30075.787512499999</v>
      </c>
      <c r="E49" s="507"/>
      <c r="F49" s="507">
        <v>30075.787512499999</v>
      </c>
      <c r="G49" s="548">
        <v>969234.94704250002</v>
      </c>
    </row>
    <row r="50" spans="1:8" s="300" customFormat="1" ht="9" customHeight="1">
      <c r="A50" s="547" t="s">
        <v>576</v>
      </c>
      <c r="B50" s="404"/>
      <c r="C50" s="405"/>
      <c r="D50" s="405">
        <v>30075.787512499999</v>
      </c>
      <c r="E50" s="405"/>
      <c r="F50" s="405">
        <v>30075.787512499999</v>
      </c>
      <c r="G50" s="549">
        <v>969234.94704250002</v>
      </c>
    </row>
    <row r="51" spans="1:8" s="300" customFormat="1" ht="9" customHeight="1">
      <c r="A51" s="546" t="s">
        <v>105</v>
      </c>
      <c r="B51" s="506" t="s">
        <v>345</v>
      </c>
      <c r="C51" s="507"/>
      <c r="D51" s="507">
        <v>1609.7044149999999</v>
      </c>
      <c r="E51" s="507"/>
      <c r="F51" s="507">
        <v>1609.7044149999999</v>
      </c>
      <c r="G51" s="548">
        <v>218935.50600750002</v>
      </c>
    </row>
    <row r="52" spans="1:8" s="300" customFormat="1" ht="9" customHeight="1">
      <c r="A52" s="547" t="s">
        <v>577</v>
      </c>
      <c r="B52" s="404"/>
      <c r="C52" s="405"/>
      <c r="D52" s="405">
        <v>1609.7044149999999</v>
      </c>
      <c r="E52" s="405"/>
      <c r="F52" s="405">
        <v>1609.7044149999999</v>
      </c>
      <c r="G52" s="549">
        <v>218935.50600750002</v>
      </c>
    </row>
    <row r="53" spans="1:8">
      <c r="A53" s="389" t="s">
        <v>418</v>
      </c>
      <c r="B53" s="389"/>
      <c r="C53" s="388">
        <v>2700542.8352225004</v>
      </c>
      <c r="D53" s="388">
        <v>1498513.5576075001</v>
      </c>
      <c r="E53" s="388">
        <v>488205.52045249997</v>
      </c>
      <c r="F53" s="388">
        <v>4687261.9132825006</v>
      </c>
      <c r="G53" s="513">
        <v>53990347.638573959</v>
      </c>
    </row>
    <row r="54" spans="1:8">
      <c r="A54" s="389" t="s">
        <v>346</v>
      </c>
      <c r="B54" s="389"/>
      <c r="C54" s="390"/>
      <c r="D54" s="390"/>
      <c r="E54" s="416"/>
      <c r="F54" s="391">
        <f>+'3. Tipo Generación'!D14*1000</f>
        <v>3981.2734</v>
      </c>
      <c r="G54" s="514">
        <f>+'4. Tipo Recurso'!$G$21*1000</f>
        <v>43009.668510000003</v>
      </c>
    </row>
    <row r="55" spans="1:8">
      <c r="A55" s="515" t="s">
        <v>347</v>
      </c>
      <c r="B55" s="389"/>
      <c r="C55" s="390"/>
      <c r="D55" s="390"/>
      <c r="E55" s="416"/>
      <c r="F55" s="391"/>
      <c r="G55" s="514"/>
    </row>
    <row r="56" spans="1:8" ht="6.75" customHeight="1">
      <c r="A56" s="516"/>
      <c r="B56" s="516"/>
      <c r="C56" s="516"/>
      <c r="D56" s="516"/>
      <c r="E56" s="516"/>
      <c r="F56" s="516"/>
      <c r="G56" s="516"/>
    </row>
    <row r="57" spans="1:8" ht="23.25" customHeight="1">
      <c r="A57" s="928" t="s">
        <v>608</v>
      </c>
      <c r="B57" s="928"/>
      <c r="C57" s="928"/>
      <c r="D57" s="928"/>
      <c r="E57" s="928"/>
      <c r="F57" s="928"/>
      <c r="G57" s="928"/>
    </row>
    <row r="58" spans="1:8" ht="17.25" customHeight="1">
      <c r="A58" s="561"/>
      <c r="B58" s="561"/>
      <c r="C58" s="561"/>
      <c r="D58" s="561"/>
      <c r="E58" s="561"/>
      <c r="F58" s="561"/>
      <c r="G58" s="561"/>
      <c r="H58" s="46"/>
    </row>
    <row r="59" spans="1:8" ht="17.25" customHeight="1">
      <c r="A59" s="729" t="s">
        <v>505</v>
      </c>
      <c r="B59" s="561"/>
      <c r="C59" s="561"/>
      <c r="D59" s="561"/>
      <c r="E59" s="561"/>
      <c r="F59" s="561"/>
      <c r="G59" s="561"/>
      <c r="H59" s="46"/>
    </row>
    <row r="60" spans="1:8" s="328" customFormat="1" ht="17.25" customHeight="1">
      <c r="A60" s="730" t="s">
        <v>506</v>
      </c>
      <c r="B60" s="561"/>
      <c r="C60" s="561"/>
      <c r="D60" s="561"/>
      <c r="E60" s="561"/>
      <c r="F60" s="561"/>
      <c r="G60" s="561"/>
      <c r="H60" s="46"/>
    </row>
    <row r="61" spans="1:8" ht="17.25" customHeight="1">
      <c r="A61" s="730" t="s">
        <v>583</v>
      </c>
      <c r="B61" s="561"/>
      <c r="C61" s="561"/>
      <c r="D61" s="561"/>
      <c r="E61" s="561"/>
      <c r="F61" s="561"/>
      <c r="G61" s="561"/>
      <c r="H61" s="46"/>
    </row>
    <row r="62" spans="1:8" ht="17.25" customHeight="1">
      <c r="A62" s="730" t="s">
        <v>587</v>
      </c>
      <c r="B62" s="275"/>
      <c r="C62" s="275"/>
      <c r="D62" s="275"/>
      <c r="E62" s="275"/>
      <c r="F62" s="275"/>
      <c r="G62" s="46"/>
      <c r="H62" s="46"/>
    </row>
    <row r="63" spans="1:8" ht="17.25" customHeight="1">
      <c r="A63" s="730" t="s">
        <v>611</v>
      </c>
      <c r="B63" s="275"/>
      <c r="C63" s="275"/>
      <c r="D63" s="275"/>
      <c r="E63" s="275"/>
      <c r="F63" s="275"/>
      <c r="G63" s="46"/>
      <c r="H63" s="46"/>
    </row>
    <row r="64" spans="1:8" ht="15.6" customHeight="1">
      <c r="A64" s="730" t="s">
        <v>612</v>
      </c>
      <c r="B64" s="687"/>
      <c r="C64" s="687"/>
      <c r="D64" s="687"/>
      <c r="E64" s="687"/>
      <c r="F64" s="687"/>
      <c r="G64" s="687"/>
    </row>
    <row r="65" spans="1:6" ht="16.5" customHeight="1">
      <c r="A65" s="730" t="s">
        <v>615</v>
      </c>
      <c r="B65" s="271"/>
      <c r="C65" s="271"/>
      <c r="D65" s="271"/>
      <c r="E65" s="271"/>
      <c r="F65" s="271"/>
    </row>
    <row r="66" spans="1:6" s="568" customFormat="1" ht="16.5" customHeight="1">
      <c r="A66" s="730" t="s">
        <v>613</v>
      </c>
      <c r="B66" s="271"/>
      <c r="C66" s="271"/>
      <c r="D66" s="271"/>
      <c r="E66" s="271"/>
      <c r="F66" s="271"/>
    </row>
    <row r="67" spans="1:6" s="568" customFormat="1" ht="16.5" customHeight="1">
      <c r="A67" s="730" t="s">
        <v>614</v>
      </c>
      <c r="B67" s="271"/>
      <c r="C67" s="271"/>
      <c r="D67" s="271"/>
      <c r="E67" s="271"/>
      <c r="F67" s="271"/>
    </row>
    <row r="68" spans="1:6" s="568" customFormat="1" ht="16.5" customHeight="1">
      <c r="A68" s="730" t="s">
        <v>630</v>
      </c>
      <c r="B68" s="271"/>
      <c r="C68" s="271"/>
      <c r="D68" s="271"/>
      <c r="E68" s="271"/>
      <c r="F68" s="271"/>
    </row>
    <row r="69" spans="1:6" ht="18.600000000000001" customHeight="1">
      <c r="A69" s="730" t="s">
        <v>655</v>
      </c>
      <c r="B69" s="271"/>
      <c r="C69" s="271"/>
      <c r="D69" s="271"/>
      <c r="E69" s="271"/>
      <c r="F69" s="271"/>
    </row>
    <row r="70" spans="1:6">
      <c r="A70" s="300"/>
      <c r="B70" s="271"/>
      <c r="C70" s="271"/>
      <c r="D70" s="271"/>
      <c r="E70" s="271"/>
      <c r="F70" s="271"/>
    </row>
    <row r="71" spans="1:6">
      <c r="A71" s="300"/>
      <c r="B71" s="271"/>
      <c r="C71" s="271"/>
      <c r="D71" s="271"/>
      <c r="E71" s="271"/>
      <c r="F71" s="271"/>
    </row>
    <row r="72" spans="1:6">
      <c r="A72" s="300"/>
      <c r="B72" s="271"/>
      <c r="C72" s="271"/>
      <c r="D72" s="271"/>
      <c r="E72" s="271"/>
      <c r="F72" s="271"/>
    </row>
    <row r="73" spans="1:6">
      <c r="A73" s="300"/>
      <c r="B73" s="271"/>
      <c r="C73" s="271"/>
      <c r="D73" s="271"/>
      <c r="E73" s="271"/>
      <c r="F73" s="271"/>
    </row>
    <row r="74" spans="1:6">
      <c r="A74" s="300"/>
    </row>
    <row r="75" spans="1:6">
      <c r="A75" s="300"/>
    </row>
    <row r="76" spans="1:6">
      <c r="A76" s="300"/>
    </row>
  </sheetData>
  <mergeCells count="6">
    <mergeCell ref="A57:G57"/>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F52" sqref="F52"/>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25" t="s">
        <v>350</v>
      </c>
      <c r="B1" s="526"/>
      <c r="C1" s="526"/>
      <c r="D1" s="526"/>
      <c r="E1" s="526"/>
      <c r="F1" s="526"/>
    </row>
    <row r="2" spans="1:12" s="300" customFormat="1" ht="11.25" customHeight="1">
      <c r="A2" s="929" t="s">
        <v>248</v>
      </c>
      <c r="B2" s="932" t="s">
        <v>54</v>
      </c>
      <c r="C2" s="932" t="s">
        <v>351</v>
      </c>
      <c r="D2" s="932"/>
      <c r="E2" s="932"/>
      <c r="F2" s="935"/>
      <c r="G2" s="339"/>
      <c r="H2" s="339"/>
      <c r="I2" s="339"/>
      <c r="J2" s="339"/>
      <c r="K2" s="339"/>
    </row>
    <row r="3" spans="1:12" s="300" customFormat="1" ht="11.25" customHeight="1">
      <c r="A3" s="930"/>
      <c r="B3" s="933"/>
      <c r="C3" s="392" t="str">
        <f>UPPER('1. Resumen'!Q4)&amp;" "&amp;'1. Resumen'!Q5</f>
        <v>DICIEMBRE 2021</v>
      </c>
      <c r="D3" s="393" t="str">
        <f>UPPER('1. Resumen'!Q4)&amp;" "&amp;'1. Resumen'!Q5-1</f>
        <v>DICIEMBRE 2020</v>
      </c>
      <c r="E3" s="393">
        <v>2021</v>
      </c>
      <c r="F3" s="517" t="s">
        <v>490</v>
      </c>
      <c r="G3" s="340"/>
      <c r="H3" s="340"/>
      <c r="I3" s="340"/>
      <c r="J3" s="340"/>
      <c r="K3" s="340"/>
      <c r="L3" s="339"/>
    </row>
    <row r="4" spans="1:12" s="300" customFormat="1" ht="11.25" customHeight="1">
      <c r="A4" s="930"/>
      <c r="B4" s="933"/>
      <c r="C4" s="395">
        <f>+'8. Max Potencia'!D8</f>
        <v>44543.822916666664</v>
      </c>
      <c r="D4" s="395">
        <f>+'8. Max Potencia'!E8</f>
        <v>44182.8125</v>
      </c>
      <c r="E4" s="395">
        <f>+'8. Max Potencia'!G8</f>
        <v>44543.822916666664</v>
      </c>
      <c r="F4" s="518" t="s">
        <v>348</v>
      </c>
      <c r="G4" s="341"/>
      <c r="H4" s="341"/>
      <c r="I4" s="342"/>
      <c r="J4" s="342"/>
      <c r="K4" s="342"/>
      <c r="L4" s="339"/>
    </row>
    <row r="5" spans="1:12" s="300" customFormat="1" ht="11.25" customHeight="1">
      <c r="A5" s="931"/>
      <c r="B5" s="934"/>
      <c r="C5" s="520">
        <f>+'8. Max Potencia'!D9</f>
        <v>44543.822916666664</v>
      </c>
      <c r="D5" s="520">
        <f>+'8. Max Potencia'!E9</f>
        <v>44182.8125</v>
      </c>
      <c r="E5" s="520">
        <f>+'8. Max Potencia'!G9</f>
        <v>44543.822916666664</v>
      </c>
      <c r="F5" s="521" t="s">
        <v>349</v>
      </c>
      <c r="G5" s="341"/>
      <c r="H5" s="341"/>
      <c r="I5" s="341"/>
      <c r="J5" s="341"/>
      <c r="K5" s="341"/>
      <c r="L5" s="343"/>
    </row>
    <row r="6" spans="1:12" s="300" customFormat="1" ht="10.199999999999999" customHeight="1">
      <c r="A6" s="551" t="s">
        <v>119</v>
      </c>
      <c r="B6" s="337" t="s">
        <v>86</v>
      </c>
      <c r="C6" s="338">
        <v>10.801080000000001</v>
      </c>
      <c r="D6" s="338">
        <v>4.4065399999999997</v>
      </c>
      <c r="E6" s="338">
        <v>10.801080000000001</v>
      </c>
      <c r="F6" s="688">
        <f>+IF(D6=0,"",C6/D6-1)</f>
        <v>1.45114761241246</v>
      </c>
      <c r="G6" s="341"/>
      <c r="H6" s="570"/>
      <c r="I6" s="570"/>
      <c r="J6" s="341"/>
      <c r="K6" s="341"/>
      <c r="L6" s="344"/>
    </row>
    <row r="7" spans="1:12" s="300" customFormat="1" ht="10.199999999999999" customHeight="1">
      <c r="A7" s="547" t="s">
        <v>516</v>
      </c>
      <c r="B7" s="404"/>
      <c r="C7" s="405">
        <v>10.801080000000001</v>
      </c>
      <c r="D7" s="405">
        <v>4.4065399999999997</v>
      </c>
      <c r="E7" s="405">
        <v>10.801080000000001</v>
      </c>
      <c r="F7" s="689">
        <f t="shared" ref="F7:F70" si="0">+IF(D7=0,"",C7/D7-1)</f>
        <v>1.45114761241246</v>
      </c>
      <c r="G7" s="341"/>
      <c r="H7" s="570"/>
      <c r="I7" s="570"/>
      <c r="J7" s="341"/>
      <c r="K7" s="341"/>
      <c r="L7" s="345"/>
    </row>
    <row r="8" spans="1:12" s="300" customFormat="1" ht="10.199999999999999" customHeight="1">
      <c r="A8" s="551" t="s">
        <v>118</v>
      </c>
      <c r="B8" s="337" t="s">
        <v>63</v>
      </c>
      <c r="C8" s="338">
        <v>19.947469999999999</v>
      </c>
      <c r="D8" s="338">
        <v>19.93477</v>
      </c>
      <c r="E8" s="338">
        <v>19.947469999999999</v>
      </c>
      <c r="F8" s="688">
        <f t="shared" si="0"/>
        <v>6.3707782934030455E-4</v>
      </c>
      <c r="G8" s="341"/>
      <c r="H8" s="570"/>
      <c r="I8" s="570"/>
      <c r="J8" s="341"/>
      <c r="K8" s="341"/>
      <c r="L8" s="346"/>
    </row>
    <row r="9" spans="1:12" s="300" customFormat="1" ht="10.199999999999999" customHeight="1">
      <c r="A9" s="547" t="s">
        <v>517</v>
      </c>
      <c r="B9" s="404"/>
      <c r="C9" s="405">
        <v>19.947469999999999</v>
      </c>
      <c r="D9" s="405">
        <v>19.93477</v>
      </c>
      <c r="E9" s="405">
        <v>19.947469999999999</v>
      </c>
      <c r="F9" s="689">
        <f t="shared" si="0"/>
        <v>6.3707782934030455E-4</v>
      </c>
      <c r="G9" s="341"/>
      <c r="H9" s="570"/>
      <c r="I9" s="570"/>
      <c r="J9" s="341"/>
      <c r="K9" s="341"/>
      <c r="L9" s="345"/>
    </row>
    <row r="10" spans="1:12" s="300" customFormat="1" ht="10.199999999999999" customHeight="1">
      <c r="A10" s="546" t="s">
        <v>106</v>
      </c>
      <c r="B10" s="506" t="s">
        <v>83</v>
      </c>
      <c r="C10" s="507">
        <v>15.353859999999999</v>
      </c>
      <c r="D10" s="507">
        <v>15.58447</v>
      </c>
      <c r="E10" s="507">
        <v>15.353859999999999</v>
      </c>
      <c r="F10" s="690">
        <f t="shared" si="0"/>
        <v>-1.4797423332330251E-2</v>
      </c>
      <c r="G10" s="341"/>
      <c r="H10" s="570"/>
      <c r="I10" s="570"/>
      <c r="J10" s="341"/>
      <c r="K10" s="341"/>
      <c r="L10" s="345"/>
    </row>
    <row r="11" spans="1:12" s="300" customFormat="1" ht="10.199999999999999" customHeight="1">
      <c r="A11" s="547" t="s">
        <v>518</v>
      </c>
      <c r="B11" s="404"/>
      <c r="C11" s="405">
        <v>15.353859999999999</v>
      </c>
      <c r="D11" s="405">
        <v>15.58447</v>
      </c>
      <c r="E11" s="405">
        <v>15.353859999999999</v>
      </c>
      <c r="F11" s="689">
        <f t="shared" si="0"/>
        <v>-1.4797423332330251E-2</v>
      </c>
      <c r="G11" s="341"/>
      <c r="H11" s="570"/>
      <c r="I11" s="570"/>
      <c r="J11" s="341"/>
      <c r="K11" s="341"/>
      <c r="L11" s="345"/>
    </row>
    <row r="12" spans="1:12" s="300" customFormat="1" ht="10.199999999999999" customHeight="1">
      <c r="A12" s="546" t="s">
        <v>414</v>
      </c>
      <c r="B12" s="506" t="s">
        <v>416</v>
      </c>
      <c r="C12" s="507">
        <v>12.058070000000001</v>
      </c>
      <c r="D12" s="507">
        <v>20.672249999999998</v>
      </c>
      <c r="E12" s="507">
        <v>12.058070000000001</v>
      </c>
      <c r="F12" s="690">
        <f t="shared" si="0"/>
        <v>-0.41670258438244501</v>
      </c>
      <c r="G12" s="341"/>
      <c r="H12" s="570"/>
      <c r="I12" s="570"/>
      <c r="J12" s="341"/>
      <c r="K12" s="341"/>
      <c r="L12" s="345"/>
    </row>
    <row r="13" spans="1:12" s="300" customFormat="1" ht="10.199999999999999" customHeight="1">
      <c r="A13" s="547" t="s">
        <v>519</v>
      </c>
      <c r="B13" s="404"/>
      <c r="C13" s="405">
        <v>12.058070000000001</v>
      </c>
      <c r="D13" s="405">
        <v>20.672249999999998</v>
      </c>
      <c r="E13" s="405">
        <v>12.058070000000001</v>
      </c>
      <c r="F13" s="689">
        <f t="shared" si="0"/>
        <v>-0.41670258438244501</v>
      </c>
      <c r="G13" s="341"/>
      <c r="H13" s="570"/>
      <c r="I13" s="570"/>
      <c r="J13" s="341"/>
      <c r="K13" s="341"/>
      <c r="L13" s="345"/>
    </row>
    <row r="14" spans="1:12" s="300" customFormat="1" ht="10.199999999999999" customHeight="1">
      <c r="A14" s="546" t="s">
        <v>477</v>
      </c>
      <c r="B14" s="506" t="s">
        <v>75</v>
      </c>
      <c r="C14" s="507">
        <v>0</v>
      </c>
      <c r="D14" s="507">
        <v>0.94384999999999997</v>
      </c>
      <c r="E14" s="507">
        <v>0</v>
      </c>
      <c r="F14" s="690">
        <f t="shared" si="0"/>
        <v>-1</v>
      </c>
      <c r="G14" s="341"/>
      <c r="H14" s="570"/>
      <c r="I14" s="570"/>
      <c r="J14" s="341"/>
      <c r="K14" s="341"/>
      <c r="L14" s="345"/>
    </row>
    <row r="15" spans="1:12" s="300" customFormat="1" ht="10.199999999999999" customHeight="1">
      <c r="A15" s="547" t="s">
        <v>520</v>
      </c>
      <c r="B15" s="404"/>
      <c r="C15" s="405">
        <v>0</v>
      </c>
      <c r="D15" s="405">
        <v>0.94384999999999997</v>
      </c>
      <c r="E15" s="405">
        <v>0</v>
      </c>
      <c r="F15" s="689">
        <f t="shared" si="0"/>
        <v>-1</v>
      </c>
      <c r="G15" s="341"/>
      <c r="H15" s="570"/>
      <c r="I15" s="570"/>
      <c r="J15" s="341"/>
      <c r="K15" s="341"/>
      <c r="L15" s="345"/>
    </row>
    <row r="16" spans="1:12" s="300" customFormat="1" ht="10.199999999999999" customHeight="1">
      <c r="A16" s="546" t="s">
        <v>445</v>
      </c>
      <c r="B16" s="506" t="s">
        <v>451</v>
      </c>
      <c r="C16" s="507">
        <v>9.7611799999999995</v>
      </c>
      <c r="D16" s="507">
        <v>11.21875</v>
      </c>
      <c r="E16" s="507">
        <v>9.7611799999999995</v>
      </c>
      <c r="F16" s="690">
        <f t="shared" si="0"/>
        <v>-0.12992267409470759</v>
      </c>
      <c r="G16" s="341"/>
      <c r="H16" s="570"/>
      <c r="I16" s="570"/>
      <c r="J16" s="341"/>
      <c r="K16" s="341"/>
      <c r="L16" s="345"/>
    </row>
    <row r="17" spans="1:16" s="300" customFormat="1" ht="10.199999999999999" customHeight="1">
      <c r="A17" s="547" t="s">
        <v>521</v>
      </c>
      <c r="B17" s="404"/>
      <c r="C17" s="405">
        <v>9.7611799999999995</v>
      </c>
      <c r="D17" s="405">
        <v>11.21875</v>
      </c>
      <c r="E17" s="405">
        <v>9.7611799999999995</v>
      </c>
      <c r="F17" s="689">
        <f t="shared" si="0"/>
        <v>-0.12992267409470759</v>
      </c>
      <c r="G17" s="341"/>
      <c r="H17" s="570"/>
      <c r="I17" s="570"/>
      <c r="J17" s="341"/>
      <c r="K17" s="341"/>
      <c r="L17" s="346"/>
    </row>
    <row r="18" spans="1:16" s="300" customFormat="1" ht="10.199999999999999" customHeight="1">
      <c r="A18" s="546" t="s">
        <v>94</v>
      </c>
      <c r="B18" s="506" t="s">
        <v>279</v>
      </c>
      <c r="C18" s="507">
        <v>210.72300000000001</v>
      </c>
      <c r="D18" s="507">
        <v>202.54908</v>
      </c>
      <c r="E18" s="507">
        <v>210.72300000000001</v>
      </c>
      <c r="F18" s="690">
        <f t="shared" si="0"/>
        <v>4.0355256118665306E-2</v>
      </c>
      <c r="G18" s="341"/>
      <c r="H18" s="570"/>
      <c r="I18" s="570"/>
      <c r="J18" s="341"/>
      <c r="K18" s="341"/>
      <c r="L18" s="346"/>
    </row>
    <row r="19" spans="1:16" s="300" customFormat="1" ht="10.199999999999999" customHeight="1">
      <c r="A19" s="547" t="s">
        <v>522</v>
      </c>
      <c r="B19" s="404"/>
      <c r="C19" s="405">
        <v>210.72300000000001</v>
      </c>
      <c r="D19" s="405">
        <v>202.54908</v>
      </c>
      <c r="E19" s="405">
        <v>210.72300000000001</v>
      </c>
      <c r="F19" s="689">
        <f t="shared" si="0"/>
        <v>4.0355256118665306E-2</v>
      </c>
      <c r="G19" s="341"/>
      <c r="H19" s="570"/>
      <c r="I19" s="570"/>
      <c r="J19" s="341"/>
      <c r="K19" s="341"/>
      <c r="L19" s="346"/>
    </row>
    <row r="20" spans="1:16" s="300" customFormat="1" ht="10.199999999999999" customHeight="1">
      <c r="A20" s="546" t="s">
        <v>479</v>
      </c>
      <c r="B20" s="506" t="s">
        <v>320</v>
      </c>
      <c r="C20" s="507">
        <v>19.745669999999997</v>
      </c>
      <c r="D20" s="507">
        <v>18.79166</v>
      </c>
      <c r="E20" s="507">
        <v>19.745669999999997</v>
      </c>
      <c r="F20" s="690">
        <f t="shared" si="0"/>
        <v>5.0767734196978775E-2</v>
      </c>
      <c r="G20" s="341"/>
      <c r="H20" s="570"/>
      <c r="I20" s="570"/>
      <c r="J20" s="341"/>
      <c r="K20" s="341"/>
      <c r="L20" s="341"/>
      <c r="M20" s="341"/>
      <c r="N20" s="341"/>
      <c r="O20" s="341"/>
      <c r="P20" s="341"/>
    </row>
    <row r="21" spans="1:16" s="300" customFormat="1" ht="10.199999999999999" customHeight="1">
      <c r="A21" s="547" t="s">
        <v>523</v>
      </c>
      <c r="B21" s="404"/>
      <c r="C21" s="405">
        <v>19.745669999999997</v>
      </c>
      <c r="D21" s="405">
        <v>18.79166</v>
      </c>
      <c r="E21" s="405">
        <v>19.745669999999997</v>
      </c>
      <c r="F21" s="689">
        <f t="shared" si="0"/>
        <v>5.0767734196978775E-2</v>
      </c>
      <c r="G21" s="341"/>
      <c r="H21" s="570"/>
      <c r="I21" s="570"/>
      <c r="J21" s="341"/>
      <c r="K21" s="341"/>
      <c r="L21" s="341"/>
      <c r="M21" s="341"/>
      <c r="N21" s="341"/>
      <c r="O21" s="341"/>
      <c r="P21" s="341"/>
    </row>
    <row r="22" spans="1:16" s="300" customFormat="1" ht="10.199999999999999" customHeight="1">
      <c r="A22" s="546" t="s">
        <v>603</v>
      </c>
      <c r="B22" s="506" t="s">
        <v>626</v>
      </c>
      <c r="C22" s="507">
        <v>1.1077999999999999</v>
      </c>
      <c r="D22" s="507"/>
      <c r="E22" s="507">
        <v>1.1077999999999999</v>
      </c>
      <c r="F22" s="690" t="str">
        <f t="shared" si="0"/>
        <v/>
      </c>
      <c r="G22" s="341"/>
      <c r="H22" s="570"/>
      <c r="I22" s="570"/>
      <c r="J22" s="341"/>
      <c r="K22" s="341"/>
      <c r="L22" s="345"/>
    </row>
    <row r="23" spans="1:16" s="300" customFormat="1" ht="10.199999999999999" customHeight="1">
      <c r="A23" s="546"/>
      <c r="B23" s="506" t="s">
        <v>627</v>
      </c>
      <c r="C23" s="507">
        <v>1.8839399999999999</v>
      </c>
      <c r="D23" s="507"/>
      <c r="E23" s="507">
        <v>1.8839399999999999</v>
      </c>
      <c r="F23" s="690" t="str">
        <f t="shared" si="0"/>
        <v/>
      </c>
      <c r="G23" s="341"/>
      <c r="H23" s="570"/>
      <c r="I23" s="570"/>
      <c r="J23" s="341"/>
      <c r="K23" s="341"/>
      <c r="L23" s="345"/>
    </row>
    <row r="24" spans="1:16" s="300" customFormat="1" ht="10.199999999999999" customHeight="1">
      <c r="A24" s="547" t="s">
        <v>606</v>
      </c>
      <c r="B24" s="404"/>
      <c r="C24" s="405">
        <v>2.9917400000000001</v>
      </c>
      <c r="D24" s="405"/>
      <c r="E24" s="405">
        <v>2.9917400000000001</v>
      </c>
      <c r="F24" s="689" t="str">
        <f t="shared" si="0"/>
        <v/>
      </c>
      <c r="G24" s="341"/>
      <c r="H24" s="570"/>
      <c r="I24" s="570"/>
      <c r="J24" s="341"/>
      <c r="K24" s="341"/>
      <c r="L24" s="345"/>
    </row>
    <row r="25" spans="1:16" s="300" customFormat="1" ht="10.199999999999999" customHeight="1">
      <c r="A25" s="546" t="s">
        <v>234</v>
      </c>
      <c r="B25" s="506" t="s">
        <v>280</v>
      </c>
      <c r="C25" s="507">
        <v>0</v>
      </c>
      <c r="D25" s="507">
        <v>0</v>
      </c>
      <c r="E25" s="507">
        <v>0</v>
      </c>
      <c r="F25" s="690" t="str">
        <f t="shared" si="0"/>
        <v/>
      </c>
      <c r="G25" s="341"/>
      <c r="H25" s="570"/>
      <c r="I25" s="570"/>
      <c r="J25" s="341"/>
      <c r="K25" s="341"/>
      <c r="L25" s="345"/>
    </row>
    <row r="26" spans="1:16" s="300" customFormat="1" ht="9" customHeight="1">
      <c r="A26" s="547" t="s">
        <v>524</v>
      </c>
      <c r="B26" s="404"/>
      <c r="C26" s="405">
        <v>0</v>
      </c>
      <c r="D26" s="405">
        <v>0</v>
      </c>
      <c r="E26" s="405">
        <v>0</v>
      </c>
      <c r="F26" s="689" t="str">
        <f t="shared" si="0"/>
        <v/>
      </c>
      <c r="G26" s="341"/>
      <c r="H26" s="570"/>
      <c r="I26" s="570"/>
      <c r="J26" s="341"/>
      <c r="K26" s="341"/>
      <c r="L26" s="345"/>
    </row>
    <row r="27" spans="1:16" s="300" customFormat="1" ht="9" customHeight="1">
      <c r="A27" s="546" t="s">
        <v>93</v>
      </c>
      <c r="B27" s="506" t="s">
        <v>281</v>
      </c>
      <c r="C27" s="507">
        <v>147.185</v>
      </c>
      <c r="D27" s="507">
        <v>103.57077</v>
      </c>
      <c r="E27" s="507">
        <v>147.185</v>
      </c>
      <c r="F27" s="690">
        <f t="shared" si="0"/>
        <v>0.4211055879955321</v>
      </c>
      <c r="G27" s="341"/>
      <c r="H27" s="570"/>
      <c r="I27" s="570"/>
      <c r="J27" s="341"/>
      <c r="K27" s="341"/>
      <c r="L27" s="345"/>
    </row>
    <row r="28" spans="1:16" s="300" customFormat="1" ht="9" customHeight="1">
      <c r="A28" s="546"/>
      <c r="B28" s="506" t="s">
        <v>282</v>
      </c>
      <c r="C28" s="507">
        <v>29.385000000000002</v>
      </c>
      <c r="D28" s="507">
        <v>18.27046</v>
      </c>
      <c r="E28" s="507">
        <v>29.385000000000002</v>
      </c>
      <c r="F28" s="690">
        <f t="shared" si="0"/>
        <v>0.60833388978712089</v>
      </c>
      <c r="G28" s="341"/>
      <c r="H28" s="570"/>
      <c r="I28" s="570"/>
      <c r="J28" s="341"/>
      <c r="K28" s="341"/>
      <c r="L28" s="345"/>
    </row>
    <row r="29" spans="1:16" s="300" customFormat="1" ht="9" customHeight="1">
      <c r="A29" s="547" t="s">
        <v>525</v>
      </c>
      <c r="B29" s="404"/>
      <c r="C29" s="405">
        <v>176.57</v>
      </c>
      <c r="D29" s="405">
        <v>121.84123</v>
      </c>
      <c r="E29" s="405">
        <v>176.57</v>
      </c>
      <c r="F29" s="689">
        <f t="shared" si="0"/>
        <v>0.44918103666550313</v>
      </c>
      <c r="G29" s="341"/>
      <c r="H29" s="570"/>
      <c r="I29" s="570"/>
      <c r="J29" s="341"/>
      <c r="K29" s="341"/>
      <c r="L29" s="347"/>
    </row>
    <row r="30" spans="1:16" s="300" customFormat="1" ht="9" customHeight="1">
      <c r="A30" s="546" t="s">
        <v>604</v>
      </c>
      <c r="B30" s="506" t="s">
        <v>631</v>
      </c>
      <c r="C30" s="507">
        <v>0</v>
      </c>
      <c r="D30" s="507"/>
      <c r="E30" s="507">
        <v>0</v>
      </c>
      <c r="F30" s="690" t="str">
        <f t="shared" si="0"/>
        <v/>
      </c>
      <c r="G30" s="341"/>
      <c r="H30" s="570"/>
      <c r="I30" s="570"/>
      <c r="J30" s="341"/>
      <c r="K30" s="341"/>
      <c r="L30" s="345"/>
    </row>
    <row r="31" spans="1:16" s="300" customFormat="1" ht="9" customHeight="1">
      <c r="A31" s="547" t="s">
        <v>607</v>
      </c>
      <c r="B31" s="404"/>
      <c r="C31" s="405">
        <v>0</v>
      </c>
      <c r="D31" s="405"/>
      <c r="E31" s="405">
        <v>0</v>
      </c>
      <c r="F31" s="689" t="str">
        <f t="shared" si="0"/>
        <v/>
      </c>
      <c r="G31" s="341"/>
      <c r="H31" s="570"/>
      <c r="I31" s="570"/>
      <c r="J31" s="341"/>
      <c r="K31" s="341"/>
      <c r="L31" s="345"/>
    </row>
    <row r="32" spans="1:16" s="300" customFormat="1" ht="9" customHeight="1">
      <c r="A32" s="546" t="s">
        <v>91</v>
      </c>
      <c r="B32" s="506" t="s">
        <v>283</v>
      </c>
      <c r="C32" s="507">
        <v>1.67665</v>
      </c>
      <c r="D32" s="507">
        <v>1.6445700000000001</v>
      </c>
      <c r="E32" s="507">
        <v>1.67665</v>
      </c>
      <c r="F32" s="690">
        <f t="shared" si="0"/>
        <v>1.9506618751406135E-2</v>
      </c>
      <c r="G32" s="341"/>
      <c r="H32" s="570"/>
      <c r="I32" s="570"/>
      <c r="J32" s="341"/>
      <c r="K32" s="341"/>
      <c r="L32" s="345"/>
    </row>
    <row r="33" spans="1:12" s="300" customFormat="1" ht="9" customHeight="1">
      <c r="A33" s="546"/>
      <c r="B33" s="506" t="s">
        <v>284</v>
      </c>
      <c r="C33" s="507">
        <v>0.58724999999999994</v>
      </c>
      <c r="D33" s="507">
        <v>0.56862999999999997</v>
      </c>
      <c r="E33" s="507">
        <v>0.58724999999999994</v>
      </c>
      <c r="F33" s="690">
        <f t="shared" si="0"/>
        <v>3.2745370451787492E-2</v>
      </c>
      <c r="G33" s="341"/>
      <c r="H33" s="570"/>
      <c r="I33" s="570"/>
      <c r="J33" s="341"/>
      <c r="K33" s="341"/>
      <c r="L33" s="347"/>
    </row>
    <row r="34" spans="1:12" s="300" customFormat="1" ht="9" customHeight="1">
      <c r="A34" s="546"/>
      <c r="B34" s="506" t="s">
        <v>285</v>
      </c>
      <c r="C34" s="507">
        <v>4.6497200000000003</v>
      </c>
      <c r="D34" s="507">
        <v>4.6670499999999997</v>
      </c>
      <c r="E34" s="507">
        <v>4.6497200000000003</v>
      </c>
      <c r="F34" s="690">
        <f t="shared" si="0"/>
        <v>-3.7132664102590418E-3</v>
      </c>
      <c r="G34" s="341"/>
      <c r="H34" s="570"/>
      <c r="I34" s="570"/>
      <c r="J34" s="341"/>
      <c r="K34" s="341"/>
      <c r="L34" s="345"/>
    </row>
    <row r="35" spans="1:12" s="300" customFormat="1" ht="9" customHeight="1">
      <c r="A35" s="546"/>
      <c r="B35" s="506" t="s">
        <v>286</v>
      </c>
      <c r="C35" s="507">
        <v>13.82436</v>
      </c>
      <c r="D35" s="507">
        <v>12.526430000000001</v>
      </c>
      <c r="E35" s="507">
        <v>13.82436</v>
      </c>
      <c r="F35" s="690">
        <f t="shared" si="0"/>
        <v>0.10361531577632244</v>
      </c>
      <c r="G35" s="341"/>
      <c r="H35" s="570"/>
      <c r="I35" s="570"/>
      <c r="J35" s="341"/>
      <c r="K35" s="341"/>
      <c r="L35" s="345"/>
    </row>
    <row r="36" spans="1:12" s="300" customFormat="1" ht="9" customHeight="1">
      <c r="A36" s="546"/>
      <c r="B36" s="506" t="s">
        <v>287</v>
      </c>
      <c r="C36" s="507">
        <v>141.88830999999999</v>
      </c>
      <c r="D36" s="507">
        <v>120.78450000000001</v>
      </c>
      <c r="E36" s="507">
        <v>141.88830999999999</v>
      </c>
      <c r="F36" s="690">
        <f t="shared" si="0"/>
        <v>0.17472283281381285</v>
      </c>
      <c r="G36" s="341"/>
      <c r="H36" s="570"/>
      <c r="I36" s="570"/>
      <c r="J36" s="341"/>
      <c r="K36" s="341"/>
      <c r="L36" s="345"/>
    </row>
    <row r="37" spans="1:12" s="300" customFormat="1" ht="9" customHeight="1">
      <c r="A37" s="546"/>
      <c r="B37" s="506" t="s">
        <v>288</v>
      </c>
      <c r="C37" s="507">
        <v>8.2745700000000006</v>
      </c>
      <c r="D37" s="507">
        <v>7.6714700000000002</v>
      </c>
      <c r="E37" s="507">
        <v>8.2745700000000006</v>
      </c>
      <c r="F37" s="690">
        <f t="shared" si="0"/>
        <v>7.8615962781579007E-2</v>
      </c>
      <c r="G37" s="341"/>
      <c r="H37" s="570"/>
      <c r="I37" s="570"/>
      <c r="J37" s="341"/>
      <c r="K37" s="341"/>
      <c r="L37" s="345"/>
    </row>
    <row r="38" spans="1:12" s="300" customFormat="1" ht="9" customHeight="1">
      <c r="A38" s="546"/>
      <c r="B38" s="506" t="s">
        <v>289</v>
      </c>
      <c r="C38" s="507">
        <v>0</v>
      </c>
      <c r="D38" s="507">
        <v>0</v>
      </c>
      <c r="E38" s="507">
        <v>0</v>
      </c>
      <c r="F38" s="690" t="str">
        <f t="shared" si="0"/>
        <v/>
      </c>
      <c r="G38" s="341"/>
      <c r="H38" s="570"/>
      <c r="I38" s="570"/>
      <c r="J38" s="341"/>
      <c r="K38" s="341"/>
      <c r="L38" s="345"/>
    </row>
    <row r="39" spans="1:12" s="300" customFormat="1" ht="9" customHeight="1">
      <c r="A39" s="546"/>
      <c r="B39" s="506" t="s">
        <v>290</v>
      </c>
      <c r="C39" s="507">
        <v>0</v>
      </c>
      <c r="D39" s="507">
        <v>0</v>
      </c>
      <c r="E39" s="507">
        <v>0</v>
      </c>
      <c r="F39" s="690" t="str">
        <f t="shared" si="0"/>
        <v/>
      </c>
      <c r="G39" s="341"/>
      <c r="H39" s="570"/>
      <c r="I39" s="570"/>
      <c r="J39" s="341"/>
      <c r="K39" s="341"/>
      <c r="L39" s="345"/>
    </row>
    <row r="40" spans="1:12" s="300" customFormat="1" ht="9" customHeight="1">
      <c r="A40" s="546"/>
      <c r="B40" s="506" t="s">
        <v>291</v>
      </c>
      <c r="C40" s="507"/>
      <c r="D40" s="507">
        <v>0</v>
      </c>
      <c r="E40" s="507"/>
      <c r="F40" s="690" t="str">
        <f t="shared" si="0"/>
        <v/>
      </c>
      <c r="G40" s="341"/>
      <c r="H40" s="570"/>
      <c r="I40" s="570"/>
      <c r="J40" s="341"/>
      <c r="K40" s="341"/>
      <c r="L40" s="345"/>
    </row>
    <row r="41" spans="1:12" s="300" customFormat="1" ht="9" customHeight="1">
      <c r="A41" s="547" t="s">
        <v>526</v>
      </c>
      <c r="B41" s="404"/>
      <c r="C41" s="405">
        <v>170.90085999999999</v>
      </c>
      <c r="D41" s="405">
        <v>147.86265</v>
      </c>
      <c r="E41" s="405">
        <v>170.90085999999999</v>
      </c>
      <c r="F41" s="689">
        <f t="shared" si="0"/>
        <v>0.1558081773862432</v>
      </c>
      <c r="G41" s="341"/>
      <c r="H41" s="570"/>
      <c r="I41" s="570"/>
      <c r="J41" s="341"/>
      <c r="K41" s="341"/>
      <c r="L41" s="345"/>
    </row>
    <row r="42" spans="1:12" s="300" customFormat="1" ht="9" customHeight="1">
      <c r="A42" s="546" t="s">
        <v>112</v>
      </c>
      <c r="B42" s="506" t="s">
        <v>70</v>
      </c>
      <c r="C42" s="507">
        <v>2.3924099999999999</v>
      </c>
      <c r="D42" s="507">
        <v>2.55423</v>
      </c>
      <c r="E42" s="507">
        <v>2.3924099999999999</v>
      </c>
      <c r="F42" s="690">
        <f t="shared" si="0"/>
        <v>-6.335373086996865E-2</v>
      </c>
      <c r="G42" s="341"/>
      <c r="H42" s="570"/>
      <c r="I42" s="570"/>
      <c r="J42" s="341"/>
      <c r="K42" s="341"/>
      <c r="L42" s="345"/>
    </row>
    <row r="43" spans="1:12" s="300" customFormat="1" ht="9" customHeight="1">
      <c r="A43" s="547" t="s">
        <v>527</v>
      </c>
      <c r="B43" s="404"/>
      <c r="C43" s="405">
        <v>2.3924099999999999</v>
      </c>
      <c r="D43" s="405">
        <v>2.55423</v>
      </c>
      <c r="E43" s="405">
        <v>2.3924099999999999</v>
      </c>
      <c r="F43" s="689">
        <f t="shared" si="0"/>
        <v>-6.335373086996865E-2</v>
      </c>
      <c r="G43" s="341"/>
      <c r="H43" s="570"/>
      <c r="I43" s="570"/>
      <c r="J43" s="341"/>
      <c r="K43" s="341"/>
      <c r="L43" s="345"/>
    </row>
    <row r="44" spans="1:12" s="300" customFormat="1" ht="9" customHeight="1">
      <c r="A44" s="546" t="s">
        <v>92</v>
      </c>
      <c r="B44" s="506" t="s">
        <v>292</v>
      </c>
      <c r="C44" s="507">
        <v>165.25199999999998</v>
      </c>
      <c r="D44" s="507">
        <v>159.37803</v>
      </c>
      <c r="E44" s="507">
        <v>165.25199999999998</v>
      </c>
      <c r="F44" s="690">
        <f t="shared" si="0"/>
        <v>3.6855581663294501E-2</v>
      </c>
      <c r="G44" s="341"/>
      <c r="H44" s="570"/>
      <c r="I44" s="570"/>
      <c r="J44" s="341"/>
      <c r="K44" s="341"/>
      <c r="L44" s="345"/>
    </row>
    <row r="45" spans="1:12" s="300" customFormat="1" ht="9" customHeight="1">
      <c r="A45" s="547" t="s">
        <v>528</v>
      </c>
      <c r="B45" s="404"/>
      <c r="C45" s="405">
        <v>165.25199999999998</v>
      </c>
      <c r="D45" s="405">
        <v>159.37803</v>
      </c>
      <c r="E45" s="405">
        <v>165.25199999999998</v>
      </c>
      <c r="F45" s="689">
        <f t="shared" si="0"/>
        <v>3.6855581663294501E-2</v>
      </c>
      <c r="G45" s="341"/>
      <c r="H45" s="570"/>
      <c r="I45" s="570"/>
      <c r="J45" s="341"/>
      <c r="K45" s="341"/>
      <c r="L45" s="345"/>
    </row>
    <row r="46" spans="1:12" s="300" customFormat="1" ht="9" customHeight="1">
      <c r="A46" s="546" t="s">
        <v>101</v>
      </c>
      <c r="B46" s="506" t="s">
        <v>293</v>
      </c>
      <c r="C46" s="507">
        <v>7.69815</v>
      </c>
      <c r="D46" s="507">
        <v>12.251999999999999</v>
      </c>
      <c r="E46" s="507">
        <v>7.69815</v>
      </c>
      <c r="F46" s="690">
        <f t="shared" si="0"/>
        <v>-0.3716821743388834</v>
      </c>
      <c r="G46" s="341"/>
      <c r="H46" s="570"/>
      <c r="I46" s="570"/>
      <c r="J46" s="341"/>
      <c r="K46" s="341"/>
      <c r="L46" s="348"/>
    </row>
    <row r="47" spans="1:12" s="300" customFormat="1" ht="9" customHeight="1">
      <c r="A47" s="546"/>
      <c r="B47" s="506" t="s">
        <v>294</v>
      </c>
      <c r="C47" s="507">
        <v>4.6351199999999997</v>
      </c>
      <c r="D47" s="507">
        <v>3.9780000000000002</v>
      </c>
      <c r="E47" s="507">
        <v>4.6351199999999997</v>
      </c>
      <c r="F47" s="690">
        <f t="shared" si="0"/>
        <v>0.16518853695324265</v>
      </c>
      <c r="G47" s="341"/>
      <c r="H47" s="570"/>
      <c r="I47" s="570"/>
      <c r="J47" s="341"/>
      <c r="K47" s="341"/>
      <c r="L47" s="345"/>
    </row>
    <row r="48" spans="1:12" s="300" customFormat="1" ht="9" customHeight="1">
      <c r="A48" s="546"/>
      <c r="B48" s="506" t="s">
        <v>295</v>
      </c>
      <c r="C48" s="507">
        <v>22.73582</v>
      </c>
      <c r="D48" s="507">
        <v>0</v>
      </c>
      <c r="E48" s="507">
        <v>22.73582</v>
      </c>
      <c r="F48" s="690" t="str">
        <f t="shared" si="0"/>
        <v/>
      </c>
      <c r="G48" s="341"/>
      <c r="H48" s="570"/>
      <c r="I48" s="570"/>
      <c r="J48" s="341"/>
      <c r="K48" s="341"/>
      <c r="L48" s="345"/>
    </row>
    <row r="49" spans="1:12" s="300" customFormat="1" ht="9" customHeight="1">
      <c r="A49" s="547" t="s">
        <v>529</v>
      </c>
      <c r="B49" s="404"/>
      <c r="C49" s="405">
        <v>35.069090000000003</v>
      </c>
      <c r="D49" s="405">
        <v>16.23</v>
      </c>
      <c r="E49" s="405">
        <v>35.069090000000003</v>
      </c>
      <c r="F49" s="689">
        <f t="shared" si="0"/>
        <v>1.1607572396796058</v>
      </c>
      <c r="G49" s="341"/>
      <c r="H49" s="570"/>
      <c r="I49" s="570"/>
      <c r="J49" s="341"/>
      <c r="K49" s="341"/>
      <c r="L49" s="345"/>
    </row>
    <row r="50" spans="1:12" s="300" customFormat="1" ht="9" customHeight="1">
      <c r="A50" s="546" t="s">
        <v>113</v>
      </c>
      <c r="B50" s="506" t="s">
        <v>73</v>
      </c>
      <c r="C50" s="507">
        <v>3.391</v>
      </c>
      <c r="D50" s="507">
        <v>3.6905999999999999</v>
      </c>
      <c r="E50" s="507">
        <v>3.391</v>
      </c>
      <c r="F50" s="690">
        <f t="shared" si="0"/>
        <v>-8.1179212052240768E-2</v>
      </c>
      <c r="G50" s="341"/>
      <c r="H50" s="570"/>
      <c r="I50" s="570"/>
      <c r="J50" s="341"/>
      <c r="K50" s="341"/>
      <c r="L50" s="345"/>
    </row>
    <row r="51" spans="1:12" s="300" customFormat="1" ht="9" customHeight="1">
      <c r="A51" s="547" t="s">
        <v>530</v>
      </c>
      <c r="B51" s="404"/>
      <c r="C51" s="405">
        <v>3.391</v>
      </c>
      <c r="D51" s="405">
        <v>3.6905999999999999</v>
      </c>
      <c r="E51" s="405">
        <v>3.391</v>
      </c>
      <c r="F51" s="689">
        <f t="shared" si="0"/>
        <v>-8.1179212052240768E-2</v>
      </c>
      <c r="G51" s="341"/>
      <c r="H51" s="570"/>
      <c r="I51" s="570"/>
      <c r="J51" s="341"/>
      <c r="K51" s="341"/>
      <c r="L51" s="345"/>
    </row>
    <row r="52" spans="1:12" s="300" customFormat="1" ht="9" customHeight="1">
      <c r="A52" s="546" t="s">
        <v>417</v>
      </c>
      <c r="B52" s="506" t="s">
        <v>632</v>
      </c>
      <c r="C52" s="507"/>
      <c r="D52" s="507">
        <v>13.188829999999999</v>
      </c>
      <c r="E52" s="507"/>
      <c r="F52" s="690">
        <f t="shared" si="0"/>
        <v>-1</v>
      </c>
      <c r="G52" s="341"/>
      <c r="H52" s="570"/>
      <c r="I52" s="570"/>
      <c r="J52" s="341"/>
      <c r="K52" s="341"/>
      <c r="L52" s="345"/>
    </row>
    <row r="53" spans="1:12" s="300" customFormat="1" ht="9" customHeight="1">
      <c r="A53" s="547" t="s">
        <v>531</v>
      </c>
      <c r="B53" s="404"/>
      <c r="C53" s="405"/>
      <c r="D53" s="405">
        <v>13.188829999999999</v>
      </c>
      <c r="E53" s="405"/>
      <c r="F53" s="689">
        <f t="shared" si="0"/>
        <v>-1</v>
      </c>
      <c r="G53" s="341"/>
      <c r="H53" s="570"/>
      <c r="I53" s="570"/>
      <c r="J53" s="341"/>
      <c r="K53" s="341"/>
      <c r="L53" s="345"/>
    </row>
    <row r="54" spans="1:12" s="300" customFormat="1" ht="9" customHeight="1">
      <c r="A54" s="546" t="s">
        <v>89</v>
      </c>
      <c r="B54" s="506" t="s">
        <v>296</v>
      </c>
      <c r="C54" s="507">
        <v>602.94960000000003</v>
      </c>
      <c r="D54" s="507">
        <v>600.024</v>
      </c>
      <c r="E54" s="507">
        <v>602.94960000000003</v>
      </c>
      <c r="F54" s="690">
        <f t="shared" si="0"/>
        <v>4.8758049678012672E-3</v>
      </c>
      <c r="G54" s="341"/>
      <c r="H54" s="570"/>
      <c r="I54" s="570"/>
      <c r="J54" s="341"/>
      <c r="K54" s="341"/>
      <c r="L54" s="345"/>
    </row>
    <row r="55" spans="1:12" s="300" customFormat="1" ht="9" customHeight="1">
      <c r="A55" s="546"/>
      <c r="B55" s="506" t="s">
        <v>297</v>
      </c>
      <c r="C55" s="507">
        <v>198.27840000000003</v>
      </c>
      <c r="D55" s="507">
        <v>199.24991999999997</v>
      </c>
      <c r="E55" s="507">
        <v>198.27840000000003</v>
      </c>
      <c r="F55" s="690">
        <f t="shared" si="0"/>
        <v>-4.8758865248224037E-3</v>
      </c>
      <c r="G55" s="341"/>
      <c r="H55" s="570"/>
      <c r="I55" s="570"/>
      <c r="J55" s="341"/>
      <c r="K55" s="341"/>
    </row>
    <row r="56" spans="1:12" s="300" customFormat="1" ht="9" customHeight="1">
      <c r="A56" s="546"/>
      <c r="B56" s="506" t="s">
        <v>633</v>
      </c>
      <c r="C56" s="507"/>
      <c r="D56" s="507">
        <v>0</v>
      </c>
      <c r="E56" s="507"/>
      <c r="F56" s="690" t="str">
        <f t="shared" si="0"/>
        <v/>
      </c>
      <c r="G56" s="341"/>
      <c r="H56" s="570"/>
      <c r="I56" s="570"/>
      <c r="J56" s="341"/>
      <c r="K56" s="341"/>
    </row>
    <row r="57" spans="1:12" s="300" customFormat="1" ht="9" customHeight="1">
      <c r="A57" s="547" t="s">
        <v>532</v>
      </c>
      <c r="B57" s="404"/>
      <c r="C57" s="405">
        <v>801.22800000000007</v>
      </c>
      <c r="D57" s="405">
        <v>799.27391999999998</v>
      </c>
      <c r="E57" s="405">
        <v>801.22800000000007</v>
      </c>
      <c r="F57" s="689">
        <f t="shared" si="0"/>
        <v>2.4448189176498047E-3</v>
      </c>
      <c r="G57" s="341"/>
      <c r="H57" s="570"/>
      <c r="I57" s="570"/>
      <c r="J57" s="341"/>
      <c r="K57" s="341"/>
    </row>
    <row r="58" spans="1:12" s="300" customFormat="1" ht="9" customHeight="1">
      <c r="A58" s="546" t="s">
        <v>235</v>
      </c>
      <c r="B58" s="506" t="s">
        <v>298</v>
      </c>
      <c r="C58" s="507">
        <v>459.69691999999998</v>
      </c>
      <c r="D58" s="507">
        <v>228.83733000000001</v>
      </c>
      <c r="E58" s="507">
        <v>459.69691999999998</v>
      </c>
      <c r="F58" s="690">
        <f t="shared" si="0"/>
        <v>1.0088371071275826</v>
      </c>
      <c r="G58" s="341"/>
      <c r="H58" s="570"/>
      <c r="I58" s="570"/>
      <c r="J58" s="341"/>
      <c r="K58" s="341"/>
    </row>
    <row r="59" spans="1:12" s="300" customFormat="1" ht="9" customHeight="1">
      <c r="A59" s="546"/>
      <c r="B59" s="506" t="s">
        <v>299</v>
      </c>
      <c r="C59" s="507">
        <v>6.4434300000000002</v>
      </c>
      <c r="D59" s="507">
        <v>6.4381700000000004</v>
      </c>
      <c r="E59" s="507">
        <v>6.4434300000000002</v>
      </c>
      <c r="F59" s="690">
        <f t="shared" si="0"/>
        <v>8.1700234694026541E-4</v>
      </c>
      <c r="G59" s="341"/>
      <c r="H59" s="570"/>
      <c r="I59" s="570"/>
      <c r="J59" s="341"/>
      <c r="K59" s="341"/>
    </row>
    <row r="60" spans="1:12" s="300" customFormat="1" ht="9" customHeight="1">
      <c r="A60" s="547" t="s">
        <v>533</v>
      </c>
      <c r="B60" s="404"/>
      <c r="C60" s="405">
        <v>466.14034999999996</v>
      </c>
      <c r="D60" s="405">
        <v>235.27550000000002</v>
      </c>
      <c r="E60" s="405">
        <v>466.14034999999996</v>
      </c>
      <c r="F60" s="689">
        <f t="shared" si="0"/>
        <v>0.98125325416373532</v>
      </c>
      <c r="G60" s="341"/>
      <c r="H60" s="570"/>
      <c r="I60" s="570"/>
      <c r="J60" s="341"/>
      <c r="K60" s="341"/>
    </row>
    <row r="61" spans="1:12" s="300" customFormat="1" ht="9" customHeight="1">
      <c r="A61" s="546" t="s">
        <v>236</v>
      </c>
      <c r="B61" s="506" t="s">
        <v>300</v>
      </c>
      <c r="C61" s="507">
        <v>40.86</v>
      </c>
      <c r="D61" s="507">
        <v>82.747150000000005</v>
      </c>
      <c r="E61" s="507">
        <v>40.86</v>
      </c>
      <c r="F61" s="690">
        <f t="shared" si="0"/>
        <v>-0.50620655817148985</v>
      </c>
      <c r="G61" s="341"/>
      <c r="H61" s="570"/>
      <c r="I61" s="570"/>
      <c r="J61" s="341"/>
      <c r="K61" s="341"/>
    </row>
    <row r="62" spans="1:12" s="300" customFormat="1" ht="9" customHeight="1">
      <c r="A62" s="547" t="s">
        <v>534</v>
      </c>
      <c r="B62" s="404"/>
      <c r="C62" s="405">
        <v>40.86</v>
      </c>
      <c r="D62" s="405">
        <v>82.747150000000005</v>
      </c>
      <c r="E62" s="405">
        <v>40.86</v>
      </c>
      <c r="F62" s="689">
        <f t="shared" si="0"/>
        <v>-0.50620655817148985</v>
      </c>
      <c r="G62" s="341"/>
      <c r="H62" s="570"/>
      <c r="I62" s="570"/>
      <c r="J62" s="341"/>
      <c r="K62" s="341"/>
    </row>
    <row r="63" spans="1:12" s="300" customFormat="1" ht="9" customHeight="1">
      <c r="A63" s="546" t="s">
        <v>478</v>
      </c>
      <c r="B63" s="506" t="s">
        <v>65</v>
      </c>
      <c r="C63" s="507">
        <v>5.8346299999999998</v>
      </c>
      <c r="D63" s="507">
        <v>4.7983599999999997</v>
      </c>
      <c r="E63" s="507">
        <v>5.8346299999999998</v>
      </c>
      <c r="F63" s="690">
        <f t="shared" si="0"/>
        <v>0.21596337081836303</v>
      </c>
      <c r="G63" s="341"/>
      <c r="H63" s="570"/>
      <c r="I63" s="570"/>
      <c r="J63" s="341"/>
      <c r="K63" s="341"/>
    </row>
    <row r="64" spans="1:12" s="300" customFormat="1" ht="9" customHeight="1">
      <c r="A64" s="546"/>
      <c r="B64" s="506" t="s">
        <v>64</v>
      </c>
      <c r="C64" s="507">
        <v>6.2573299999999996</v>
      </c>
      <c r="D64" s="507">
        <v>5.15524</v>
      </c>
      <c r="E64" s="507">
        <v>6.2573299999999996</v>
      </c>
      <c r="F64" s="690">
        <f t="shared" si="0"/>
        <v>0.21378054174005467</v>
      </c>
      <c r="G64" s="341"/>
      <c r="H64" s="570"/>
      <c r="I64" s="570"/>
      <c r="J64" s="341"/>
      <c r="K64" s="341"/>
    </row>
    <row r="65" spans="1:11" s="300" customFormat="1" ht="9" customHeight="1">
      <c r="A65" s="546"/>
      <c r="B65" s="506" t="s">
        <v>60</v>
      </c>
      <c r="C65" s="507">
        <v>20.012930000000001</v>
      </c>
      <c r="D65" s="507">
        <v>6.0142600000000002</v>
      </c>
      <c r="E65" s="507">
        <v>20.012930000000001</v>
      </c>
      <c r="F65" s="690">
        <f t="shared" si="0"/>
        <v>2.3275797853767548</v>
      </c>
      <c r="G65" s="341"/>
      <c r="H65" s="570"/>
      <c r="I65" s="570"/>
      <c r="J65" s="341"/>
      <c r="K65" s="341"/>
    </row>
    <row r="66" spans="1:11" s="300" customFormat="1" ht="9" customHeight="1">
      <c r="A66" s="546"/>
      <c r="B66" s="506" t="s">
        <v>57</v>
      </c>
      <c r="C66" s="507">
        <v>20.133209999999998</v>
      </c>
      <c r="D66" s="507">
        <v>7.4541599999999999</v>
      </c>
      <c r="E66" s="507">
        <v>20.133209999999998</v>
      </c>
      <c r="F66" s="690">
        <f t="shared" si="0"/>
        <v>1.7009361215750665</v>
      </c>
      <c r="G66" s="341"/>
      <c r="H66" s="571"/>
      <c r="I66" s="570"/>
      <c r="J66" s="341"/>
      <c r="K66" s="341"/>
    </row>
    <row r="67" spans="1:11" s="300" customFormat="1" ht="9" customHeight="1">
      <c r="A67" s="546"/>
      <c r="B67" s="506" t="s">
        <v>68</v>
      </c>
      <c r="C67" s="507">
        <v>6.4352499999999999</v>
      </c>
      <c r="D67" s="507">
        <v>6.1322400000000004</v>
      </c>
      <c r="E67" s="507">
        <v>6.4352499999999999</v>
      </c>
      <c r="F67" s="690">
        <f t="shared" si="0"/>
        <v>4.9412612683130464E-2</v>
      </c>
      <c r="G67" s="341"/>
      <c r="H67" s="571"/>
      <c r="I67" s="570"/>
      <c r="J67" s="341"/>
      <c r="K67" s="341"/>
    </row>
    <row r="68" spans="1:11" s="300" customFormat="1" ht="9" customHeight="1">
      <c r="A68" s="546"/>
      <c r="B68" s="506" t="s">
        <v>67</v>
      </c>
      <c r="C68" s="507">
        <v>6.89628</v>
      </c>
      <c r="D68" s="507">
        <v>6.6261999999999999</v>
      </c>
      <c r="E68" s="507">
        <v>6.89628</v>
      </c>
      <c r="F68" s="690">
        <f t="shared" si="0"/>
        <v>4.0759409616371478E-2</v>
      </c>
      <c r="G68" s="349"/>
      <c r="H68" s="571"/>
      <c r="I68" s="570"/>
      <c r="J68" s="341"/>
      <c r="K68" s="341"/>
    </row>
    <row r="69" spans="1:11" s="300" customFormat="1" ht="9" customHeight="1">
      <c r="A69" s="547" t="s">
        <v>535</v>
      </c>
      <c r="B69" s="404"/>
      <c r="C69" s="405">
        <v>65.569630000000004</v>
      </c>
      <c r="D69" s="405">
        <v>36.180459999999997</v>
      </c>
      <c r="E69" s="405">
        <v>65.569630000000004</v>
      </c>
      <c r="F69" s="689">
        <f t="shared" si="0"/>
        <v>0.81229398410081055</v>
      </c>
      <c r="G69" s="349"/>
      <c r="H69" s="571"/>
      <c r="I69" s="570"/>
      <c r="J69" s="341"/>
      <c r="K69" s="341"/>
    </row>
    <row r="70" spans="1:11" s="300" customFormat="1" ht="9" customHeight="1">
      <c r="A70" s="546" t="s">
        <v>88</v>
      </c>
      <c r="B70" s="506" t="s">
        <v>452</v>
      </c>
      <c r="C70" s="507">
        <v>67.875999999999991</v>
      </c>
      <c r="D70" s="507">
        <v>80.392239999999987</v>
      </c>
      <c r="E70" s="507">
        <v>67.875999999999991</v>
      </c>
      <c r="F70" s="690">
        <f t="shared" si="0"/>
        <v>-0.15568965362826059</v>
      </c>
      <c r="G70" s="349"/>
      <c r="H70" s="571"/>
      <c r="I70" s="570"/>
      <c r="J70" s="341"/>
      <c r="K70" s="341"/>
    </row>
    <row r="71" spans="1:11" s="300" customFormat="1" ht="9" customHeight="1">
      <c r="A71" s="546"/>
      <c r="B71" s="506" t="s">
        <v>301</v>
      </c>
      <c r="C71" s="507">
        <v>29.121000000000002</v>
      </c>
      <c r="D71" s="507">
        <v>29.86713</v>
      </c>
      <c r="E71" s="507">
        <v>29.121000000000002</v>
      </c>
      <c r="F71" s="690">
        <f t="shared" ref="F71:F81" si="1">+IF(D71=0,"",C71/D71-1)</f>
        <v>-2.4981643699946932E-2</v>
      </c>
      <c r="G71" s="349"/>
      <c r="H71" s="570"/>
      <c r="I71" s="570"/>
      <c r="J71" s="341"/>
      <c r="K71" s="341"/>
    </row>
    <row r="72" spans="1:11" s="300" customFormat="1" ht="9" customHeight="1">
      <c r="A72" s="546"/>
      <c r="B72" s="506" t="s">
        <v>302</v>
      </c>
      <c r="C72" s="507">
        <v>172.745</v>
      </c>
      <c r="D72" s="507">
        <v>229.21695</v>
      </c>
      <c r="E72" s="507">
        <v>172.745</v>
      </c>
      <c r="F72" s="690">
        <f t="shared" si="1"/>
        <v>-0.2463689967081405</v>
      </c>
      <c r="G72" s="349"/>
      <c r="H72" s="570"/>
      <c r="I72" s="570"/>
      <c r="J72" s="341"/>
      <c r="K72" s="341"/>
    </row>
    <row r="73" spans="1:11" s="300" customFormat="1" ht="9" customHeight="1">
      <c r="A73" s="546"/>
      <c r="B73" s="506" t="s">
        <v>303</v>
      </c>
      <c r="C73" s="507">
        <v>65.822999999999993</v>
      </c>
      <c r="D73" s="507">
        <v>102.03254</v>
      </c>
      <c r="E73" s="507">
        <v>65.822999999999993</v>
      </c>
      <c r="F73" s="690">
        <f t="shared" si="1"/>
        <v>-0.3548822757916249</v>
      </c>
      <c r="G73" s="341"/>
      <c r="H73" s="570"/>
      <c r="I73" s="570"/>
      <c r="J73" s="341"/>
      <c r="K73" s="341"/>
    </row>
    <row r="74" spans="1:11" s="300" customFormat="1" ht="9" customHeight="1">
      <c r="A74" s="546"/>
      <c r="B74" s="506" t="s">
        <v>304</v>
      </c>
      <c r="C74" s="507">
        <v>60.011999999999993</v>
      </c>
      <c r="D74" s="507">
        <v>64.038189999999986</v>
      </c>
      <c r="E74" s="507">
        <v>60.011999999999993</v>
      </c>
      <c r="F74" s="690">
        <f t="shared" si="1"/>
        <v>-6.2871702026556231E-2</v>
      </c>
      <c r="G74" s="341"/>
      <c r="H74" s="570"/>
      <c r="I74" s="570"/>
      <c r="J74" s="341"/>
      <c r="K74" s="341"/>
    </row>
    <row r="75" spans="1:11" s="300" customFormat="1" ht="9" customHeight="1">
      <c r="A75" s="546"/>
      <c r="B75" s="506" t="s">
        <v>305</v>
      </c>
      <c r="C75" s="507">
        <v>92.891999999999996</v>
      </c>
      <c r="D75" s="507">
        <v>0</v>
      </c>
      <c r="E75" s="507">
        <v>92.891999999999996</v>
      </c>
      <c r="F75" s="690" t="str">
        <f t="shared" si="1"/>
        <v/>
      </c>
      <c r="G75" s="341"/>
      <c r="H75" s="570"/>
      <c r="I75" s="570"/>
      <c r="J75" s="341"/>
      <c r="K75" s="341"/>
    </row>
    <row r="76" spans="1:11" s="300" customFormat="1" ht="9" customHeight="1">
      <c r="A76" s="546"/>
      <c r="B76" s="506" t="s">
        <v>306</v>
      </c>
      <c r="C76" s="507">
        <v>0</v>
      </c>
      <c r="D76" s="507">
        <v>0</v>
      </c>
      <c r="E76" s="507">
        <v>0</v>
      </c>
      <c r="F76" s="690" t="str">
        <f t="shared" si="1"/>
        <v/>
      </c>
      <c r="G76" s="350"/>
      <c r="H76" s="570"/>
      <c r="I76" s="570"/>
      <c r="J76" s="341"/>
      <c r="K76" s="341"/>
    </row>
    <row r="77" spans="1:11" s="300" customFormat="1" ht="9" customHeight="1">
      <c r="A77" s="546"/>
      <c r="B77" s="506" t="s">
        <v>307</v>
      </c>
      <c r="C77" s="507">
        <v>145.70599999999999</v>
      </c>
      <c r="D77" s="507">
        <v>430.62083000000007</v>
      </c>
      <c r="E77" s="507">
        <v>145.70599999999999</v>
      </c>
      <c r="F77" s="690">
        <f t="shared" si="1"/>
        <v>-0.66163736203843193</v>
      </c>
      <c r="G77" s="350"/>
      <c r="H77" s="271"/>
      <c r="I77" s="570"/>
      <c r="J77" s="341"/>
      <c r="K77" s="341"/>
    </row>
    <row r="78" spans="1:11" s="300" customFormat="1" ht="9" customHeight="1">
      <c r="A78" s="546"/>
      <c r="B78" s="506" t="s">
        <v>412</v>
      </c>
      <c r="C78" s="507">
        <v>0.32800000000000001</v>
      </c>
      <c r="D78" s="507">
        <v>0.66083999999999998</v>
      </c>
      <c r="E78" s="507">
        <v>0.32800000000000001</v>
      </c>
      <c r="F78" s="690">
        <f t="shared" si="1"/>
        <v>-0.50366200593184429</v>
      </c>
      <c r="G78" s="350"/>
      <c r="H78" s="271"/>
      <c r="I78" s="570"/>
      <c r="J78" s="341"/>
      <c r="K78" s="341"/>
    </row>
    <row r="79" spans="1:11" s="300" customFormat="1" ht="9" customHeight="1">
      <c r="A79" s="547" t="s">
        <v>536</v>
      </c>
      <c r="B79" s="404"/>
      <c r="C79" s="405">
        <v>634.50299999999993</v>
      </c>
      <c r="D79" s="405">
        <v>936.82871999999998</v>
      </c>
      <c r="E79" s="405">
        <v>634.50299999999993</v>
      </c>
      <c r="F79" s="689">
        <f t="shared" si="1"/>
        <v>-0.32271184000422193</v>
      </c>
      <c r="H79" s="271"/>
      <c r="I79" s="570"/>
      <c r="J79" s="341"/>
      <c r="K79" s="341"/>
    </row>
    <row r="80" spans="1:11" s="300" customFormat="1" ht="9" customHeight="1">
      <c r="A80" s="546" t="s">
        <v>96</v>
      </c>
      <c r="B80" s="506" t="s">
        <v>308</v>
      </c>
      <c r="C80" s="507">
        <v>0</v>
      </c>
      <c r="D80" s="507">
        <v>0</v>
      </c>
      <c r="E80" s="507">
        <v>0</v>
      </c>
      <c r="F80" s="690" t="str">
        <f t="shared" si="1"/>
        <v/>
      </c>
    </row>
    <row r="81" spans="1:6" s="300" customFormat="1" ht="9" customHeight="1">
      <c r="A81" s="546"/>
      <c r="B81" s="506" t="s">
        <v>309</v>
      </c>
      <c r="C81" s="507">
        <v>0</v>
      </c>
      <c r="D81" s="507">
        <v>0</v>
      </c>
      <c r="E81" s="507">
        <v>0</v>
      </c>
      <c r="F81" s="690" t="str">
        <f t="shared" si="1"/>
        <v/>
      </c>
    </row>
    <row r="82" spans="1:6" s="300" customFormat="1" ht="9" customHeight="1">
      <c r="A82" s="546"/>
      <c r="B82" s="506" t="s">
        <v>310</v>
      </c>
      <c r="C82" s="507">
        <v>90.474000000000004</v>
      </c>
      <c r="D82" s="507">
        <v>85.880380000000002</v>
      </c>
      <c r="E82" s="507">
        <v>90.474000000000004</v>
      </c>
      <c r="F82" s="690"/>
    </row>
    <row r="83" spans="1:6" s="300" customFormat="1" ht="9" customHeight="1">
      <c r="A83" s="547" t="s">
        <v>537</v>
      </c>
      <c r="B83" s="404"/>
      <c r="C83" s="405">
        <v>90.474000000000004</v>
      </c>
      <c r="D83" s="405">
        <v>85.880380000000002</v>
      </c>
      <c r="E83" s="405">
        <v>90.474000000000004</v>
      </c>
      <c r="F83" s="689"/>
    </row>
    <row r="84" spans="1:6" s="300" customFormat="1" ht="9" customHeight="1">
      <c r="A84" s="546"/>
      <c r="B84" s="506"/>
      <c r="C84" s="507"/>
      <c r="D84" s="507"/>
      <c r="E84" s="507"/>
      <c r="F84" s="690"/>
    </row>
    <row r="85" spans="1:6" s="300" customFormat="1" ht="9" customHeight="1"/>
    <row r="86" spans="1:6" s="300" customFormat="1" ht="9" customHeight="1"/>
    <row r="87" spans="1:6" s="300" customFormat="1" ht="9" customHeight="1"/>
    <row r="88" spans="1:6" s="300" customFormat="1" ht="9" customHeight="1"/>
    <row r="89" spans="1:6" s="300" customFormat="1" ht="9" customHeight="1"/>
    <row r="90" spans="1:6" s="300" customFormat="1" ht="9" customHeight="1"/>
    <row r="91" spans="1:6" s="300" customFormat="1" ht="9" customHeight="1"/>
    <row r="92" spans="1:6" s="300" customFormat="1" ht="9" customHeight="1"/>
    <row r="93" spans="1:6" s="300" customFormat="1" ht="9" customHeight="1"/>
    <row r="94" spans="1:6" s="300" customFormat="1" ht="9" customHeight="1"/>
    <row r="95" spans="1:6" s="300" customFormat="1" ht="9" customHeight="1"/>
    <row r="96" spans="1:6" s="300" customFormat="1" ht="9" customHeight="1"/>
    <row r="97" s="300" customFormat="1" ht="9" customHeight="1"/>
    <row r="98" s="300" customFormat="1" ht="9" customHeight="1"/>
    <row r="99" s="300" customFormat="1" ht="9" customHeight="1"/>
    <row r="100" s="300" customFormat="1" ht="9" customHeight="1"/>
    <row r="101" s="300" customFormat="1" ht="9" customHeight="1"/>
    <row r="102" s="300" customFormat="1" ht="9" customHeight="1"/>
    <row r="103" s="300" customFormat="1" ht="9" customHeight="1"/>
    <row r="104" s="300" customFormat="1" ht="9" customHeight="1"/>
    <row r="105" s="300" customFormat="1" ht="9" customHeight="1"/>
    <row r="106" s="300" customFormat="1" ht="9" customHeight="1"/>
    <row r="107" s="300" customFormat="1" ht="9" customHeight="1"/>
    <row r="108" s="300" customFormat="1" ht="9" customHeight="1"/>
    <row r="109" s="300" customFormat="1" ht="9" customHeight="1"/>
    <row r="110" s="300" customFormat="1" ht="9" customHeight="1"/>
    <row r="111" s="300" customFormat="1" ht="9" customHeight="1"/>
    <row r="112" s="300" customFormat="1" ht="9" customHeight="1"/>
    <row r="113" s="300" customFormat="1" ht="9" customHeight="1"/>
    <row r="114" s="300" customFormat="1" ht="9" customHeight="1"/>
    <row r="115" s="300" customFormat="1" ht="9" customHeight="1"/>
    <row r="116" s="300" customFormat="1" ht="9" customHeight="1"/>
    <row r="117" s="300" customFormat="1" ht="9" customHeight="1"/>
    <row r="118" s="300" customFormat="1" ht="9" customHeight="1"/>
    <row r="119" s="300" customFormat="1" ht="9" customHeight="1"/>
    <row r="120" s="300" customFormat="1" ht="9" customHeight="1"/>
    <row r="121" s="300" customFormat="1" ht="9" customHeight="1"/>
    <row r="122" s="300" customFormat="1" ht="9" customHeight="1"/>
    <row r="123" s="300" customFormat="1" ht="9" customHeight="1"/>
    <row r="124" s="300" customFormat="1" ht="9" customHeight="1"/>
    <row r="125" s="300" customFormat="1" ht="9" customHeight="1"/>
    <row r="126" s="300" customFormat="1" ht="9" customHeight="1"/>
    <row r="127" s="300" customFormat="1" ht="9" customHeight="1"/>
    <row r="128" s="300" customFormat="1" ht="9" customHeight="1"/>
    <row r="129" s="300" customFormat="1" ht="9" customHeight="1"/>
    <row r="130" s="300" customFormat="1" ht="9" customHeight="1"/>
    <row r="131" s="300" customFormat="1" ht="9" customHeight="1"/>
    <row r="132" s="300" customFormat="1" ht="9" customHeight="1"/>
    <row r="133" s="300" customFormat="1" ht="9" customHeight="1"/>
    <row r="134" s="300" customFormat="1" ht="9" customHeight="1"/>
    <row r="135" s="300" customFormat="1" ht="9" customHeight="1"/>
    <row r="136" s="300" customFormat="1" ht="9" customHeight="1"/>
    <row r="137" s="300" customFormat="1" ht="9" customHeight="1"/>
    <row r="138" s="300" customFormat="1" ht="9" customHeight="1"/>
    <row r="139" s="300" customFormat="1" ht="10.5" customHeight="1"/>
    <row r="140" s="300" customFormat="1" ht="10.5" customHeight="1"/>
    <row r="141" s="300" customFormat="1" ht="10.5" customHeight="1"/>
    <row r="142" s="300" customFormat="1" ht="10.5" customHeight="1"/>
    <row r="143" s="300" customFormat="1" ht="10.5" customHeight="1"/>
    <row r="144" s="300" customFormat="1" ht="10.5" customHeight="1"/>
    <row r="145" s="300" customFormat="1" ht="10.5" customHeight="1"/>
    <row r="146" s="300" customFormat="1" ht="10.5" customHeight="1"/>
    <row r="147" s="300" customFormat="1" ht="10.5" customHeight="1"/>
    <row r="148" s="300" customFormat="1" ht="10.5" customHeight="1"/>
    <row r="149" s="300" customFormat="1" ht="10.5" customHeight="1"/>
    <row r="150" s="300" customFormat="1" ht="10.5" customHeight="1"/>
    <row r="151" s="300" customFormat="1" ht="10.5" customHeight="1"/>
    <row r="152" s="300" customFormat="1" ht="10.5" customHeight="1"/>
    <row r="153" s="300" customFormat="1" ht="10.5" customHeight="1"/>
    <row r="154" s="300" customFormat="1" ht="10.5" customHeight="1"/>
    <row r="155" s="300" customFormat="1" ht="10.5" customHeight="1"/>
    <row r="156" s="300" customFormat="1" ht="10.5" customHeight="1"/>
    <row r="157" s="300" customFormat="1" ht="10.5" customHeight="1"/>
    <row r="158" s="300" customFormat="1" ht="10.5" customHeight="1"/>
    <row r="159" s="300" customFormat="1" ht="10.5" customHeight="1"/>
    <row r="160" s="300" customFormat="1" ht="10.5" customHeight="1"/>
    <row r="161" s="300" customFormat="1" ht="10.5" customHeight="1"/>
    <row r="162" s="300" customFormat="1" ht="10.5" customHeight="1"/>
    <row r="163" s="300" customFormat="1" ht="10.5" customHeight="1"/>
    <row r="164" s="300" customFormat="1" ht="10.5" customHeight="1"/>
    <row r="165" s="300" customFormat="1" ht="10.5" customHeight="1"/>
    <row r="166" s="300" customFormat="1" ht="10.5" customHeight="1"/>
    <row r="167" s="300" customFormat="1" ht="10.5" customHeight="1"/>
    <row r="168" s="300" customFormat="1" ht="10.5" customHeight="1"/>
    <row r="169" s="300" customFormat="1" ht="7.8"/>
    <row r="170" s="300" customFormat="1" ht="7.8"/>
    <row r="171" s="300" customFormat="1" ht="7.8"/>
    <row r="172" s="300" customFormat="1" ht="7.8"/>
    <row r="173" s="300" customFormat="1" ht="7.8"/>
    <row r="174" s="300" customFormat="1" ht="7.8"/>
    <row r="175" s="300" customFormat="1" ht="7.8"/>
    <row r="176" s="300" customFormat="1" ht="7.8"/>
    <row r="177" s="300" customFormat="1" ht="7.8"/>
    <row r="178" s="300" customFormat="1" ht="7.8"/>
    <row r="179" s="300" customFormat="1" ht="7.8"/>
    <row r="180" s="300" customFormat="1" ht="7.8"/>
    <row r="181" s="300" customFormat="1" ht="7.8"/>
    <row r="182" s="300" customFormat="1" ht="7.8"/>
    <row r="183" s="300" customFormat="1" ht="7.8"/>
    <row r="184" s="300" customFormat="1" ht="7.8"/>
    <row r="185" s="300" customFormat="1" ht="7.8"/>
    <row r="186" s="300" customFormat="1" ht="7.8"/>
    <row r="187" s="300" customFormat="1" ht="7.8"/>
    <row r="188" s="300" customFormat="1" ht="7.8"/>
    <row r="189" s="300"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Diciembre 2021
INFSGI-MES-12-2021
21/02/2022
Versión: 02</oddHeader>
    <oddFooter>&amp;L&amp;7COES, 2021&amp;C21&amp;R&amp;7Dirección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F52" sqref="F52"/>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0" customFormat="1" ht="11.25" customHeight="1">
      <c r="A1" s="936" t="s">
        <v>248</v>
      </c>
      <c r="B1" s="938" t="s">
        <v>54</v>
      </c>
      <c r="C1" s="938" t="s">
        <v>351</v>
      </c>
      <c r="D1" s="938"/>
      <c r="E1" s="938"/>
      <c r="F1" s="940"/>
      <c r="G1" s="339"/>
    </row>
    <row r="2" spans="1:11" s="300" customFormat="1" ht="11.25" customHeight="1">
      <c r="A2" s="930"/>
      <c r="B2" s="933"/>
      <c r="C2" s="392" t="str">
        <f>UPPER('1. Resumen'!Q4)&amp;" "&amp;'1. Resumen'!Q5</f>
        <v>DICIEMBRE 2021</v>
      </c>
      <c r="D2" s="393" t="str">
        <f>UPPER('1. Resumen'!Q4)&amp;" "&amp;'1. Resumen'!Q5-1</f>
        <v>DICIEMBRE 2020</v>
      </c>
      <c r="E2" s="394">
        <v>2021</v>
      </c>
      <c r="F2" s="517" t="s">
        <v>490</v>
      </c>
      <c r="G2" s="340"/>
      <c r="H2" s="339"/>
    </row>
    <row r="3" spans="1:11" s="300" customFormat="1" ht="11.25" customHeight="1">
      <c r="A3" s="930"/>
      <c r="B3" s="933"/>
      <c r="C3" s="395">
        <f>'21. ANEXOII-1'!C4</f>
        <v>44543.822916666664</v>
      </c>
      <c r="D3" s="395">
        <f>'21. ANEXOII-1'!D4</f>
        <v>44182.8125</v>
      </c>
      <c r="E3" s="395">
        <f>'21. ANEXOII-1'!E4</f>
        <v>44543.822916666664</v>
      </c>
      <c r="F3" s="518" t="s">
        <v>348</v>
      </c>
      <c r="G3" s="341"/>
      <c r="H3" s="339"/>
    </row>
    <row r="4" spans="1:11" s="300" customFormat="1" ht="9" customHeight="1">
      <c r="A4" s="937"/>
      <c r="B4" s="939"/>
      <c r="C4" s="396">
        <f>+'8. Max Potencia'!D9</f>
        <v>44543.822916666664</v>
      </c>
      <c r="D4" s="396">
        <f>+'8. Max Potencia'!E9</f>
        <v>44182.8125</v>
      </c>
      <c r="E4" s="396">
        <f>+'21. ANEXOII-1'!E5</f>
        <v>44543.822916666664</v>
      </c>
      <c r="F4" s="519" t="s">
        <v>349</v>
      </c>
      <c r="G4" s="341"/>
      <c r="H4" s="343"/>
    </row>
    <row r="5" spans="1:11" s="300" customFormat="1" ht="9.6" customHeight="1">
      <c r="A5" s="755" t="s">
        <v>98</v>
      </c>
      <c r="B5" s="741" t="s">
        <v>420</v>
      </c>
      <c r="C5" s="742">
        <v>0</v>
      </c>
      <c r="D5" s="742">
        <v>0</v>
      </c>
      <c r="E5" s="742">
        <v>0</v>
      </c>
      <c r="F5" s="743" t="str">
        <f t="shared" ref="F5:F69" si="0">+IF(D5=0,"",C5/D5-1)</f>
        <v/>
      </c>
      <c r="J5" s="415"/>
      <c r="K5" s="415"/>
    </row>
    <row r="6" spans="1:11" s="300" customFormat="1" ht="9.6" customHeight="1">
      <c r="A6" s="755"/>
      <c r="B6" s="741" t="s">
        <v>419</v>
      </c>
      <c r="C6" s="742">
        <v>126.53700000000001</v>
      </c>
      <c r="D6" s="742">
        <v>121.05459</v>
      </c>
      <c r="E6" s="742">
        <v>126.53700000000001</v>
      </c>
      <c r="F6" s="743">
        <f t="shared" si="0"/>
        <v>4.5288741219973616E-2</v>
      </c>
      <c r="J6" s="415"/>
      <c r="K6" s="415"/>
    </row>
    <row r="7" spans="1:11" s="300" customFormat="1" ht="9.6" customHeight="1">
      <c r="A7" s="757" t="s">
        <v>538</v>
      </c>
      <c r="B7" s="758"/>
      <c r="C7" s="759">
        <v>126.53700000000001</v>
      </c>
      <c r="D7" s="759">
        <v>121.05459</v>
      </c>
      <c r="E7" s="759">
        <v>126.53700000000001</v>
      </c>
      <c r="F7" s="760">
        <f t="shared" si="0"/>
        <v>4.5288741219973616E-2</v>
      </c>
      <c r="J7" s="415"/>
      <c r="K7" s="415"/>
    </row>
    <row r="8" spans="1:11" s="300" customFormat="1" ht="9.6" customHeight="1">
      <c r="A8" s="755" t="s">
        <v>97</v>
      </c>
      <c r="B8" s="741" t="s">
        <v>77</v>
      </c>
      <c r="C8" s="742">
        <v>37.253979999999999</v>
      </c>
      <c r="D8" s="742">
        <v>66.601460000000003</v>
      </c>
      <c r="E8" s="742">
        <v>37.253979999999999</v>
      </c>
      <c r="F8" s="743">
        <f t="shared" si="0"/>
        <v>-0.44064319310717814</v>
      </c>
      <c r="K8" s="415"/>
    </row>
    <row r="9" spans="1:11" s="300" customFormat="1" ht="9.6" customHeight="1">
      <c r="A9" s="755"/>
      <c r="B9" s="741" t="s">
        <v>79</v>
      </c>
      <c r="C9" s="742">
        <v>4.85473</v>
      </c>
      <c r="D9" s="742">
        <v>26.872150000000001</v>
      </c>
      <c r="E9" s="742">
        <v>4.85473</v>
      </c>
      <c r="F9" s="743">
        <f t="shared" si="0"/>
        <v>-0.81933972532901167</v>
      </c>
      <c r="K9" s="415"/>
    </row>
    <row r="10" spans="1:11" s="300" customFormat="1" ht="9.6" customHeight="1">
      <c r="A10" s="757" t="s">
        <v>539</v>
      </c>
      <c r="B10" s="758"/>
      <c r="C10" s="759">
        <v>42.108710000000002</v>
      </c>
      <c r="D10" s="759">
        <v>93.473610000000008</v>
      </c>
      <c r="E10" s="759">
        <v>42.108710000000002</v>
      </c>
      <c r="F10" s="760">
        <f t="shared" si="0"/>
        <v>-0.54951231689885516</v>
      </c>
      <c r="K10" s="415"/>
    </row>
    <row r="11" spans="1:11" s="300" customFormat="1" ht="9.6" customHeight="1">
      <c r="A11" s="755" t="s">
        <v>87</v>
      </c>
      <c r="B11" s="741" t="s">
        <v>311</v>
      </c>
      <c r="C11" s="742">
        <v>112.30477999999999</v>
      </c>
      <c r="D11" s="742">
        <v>112.37673000000001</v>
      </c>
      <c r="E11" s="742">
        <v>112.30477999999999</v>
      </c>
      <c r="F11" s="743">
        <f t="shared" si="0"/>
        <v>-6.402571066093099E-4</v>
      </c>
      <c r="J11" s="415"/>
      <c r="K11" s="415"/>
    </row>
    <row r="12" spans="1:11" s="300" customFormat="1" ht="9.6" customHeight="1">
      <c r="A12" s="755"/>
      <c r="B12" s="741" t="s">
        <v>312</v>
      </c>
      <c r="C12" s="742">
        <v>130.91412</v>
      </c>
      <c r="D12" s="742">
        <v>96.003070000000008</v>
      </c>
      <c r="E12" s="742">
        <v>130.91412</v>
      </c>
      <c r="F12" s="743">
        <f t="shared" si="0"/>
        <v>0.36364514176473728</v>
      </c>
      <c r="J12" s="415"/>
      <c r="K12" s="415"/>
    </row>
    <row r="13" spans="1:11" s="300" customFormat="1" ht="9.6" customHeight="1">
      <c r="A13" s="755"/>
      <c r="B13" s="741" t="s">
        <v>313</v>
      </c>
      <c r="C13" s="742">
        <v>689.81789000000003</v>
      </c>
      <c r="D13" s="742">
        <v>744.19859999999994</v>
      </c>
      <c r="E13" s="742">
        <v>689.81789000000003</v>
      </c>
      <c r="F13" s="743">
        <f t="shared" si="0"/>
        <v>-7.3072846414921955E-2</v>
      </c>
      <c r="J13" s="415"/>
      <c r="K13" s="415"/>
    </row>
    <row r="14" spans="1:11" s="300" customFormat="1" ht="9.6" customHeight="1">
      <c r="A14" s="755"/>
      <c r="B14" s="741" t="s">
        <v>314</v>
      </c>
      <c r="C14" s="742">
        <v>67.846159999999998</v>
      </c>
      <c r="D14" s="742">
        <v>102.65991</v>
      </c>
      <c r="E14" s="742">
        <v>67.846159999999998</v>
      </c>
      <c r="F14" s="743">
        <f t="shared" si="0"/>
        <v>-0.33911728541355624</v>
      </c>
      <c r="J14" s="415"/>
      <c r="K14" s="415"/>
    </row>
    <row r="15" spans="1:11" s="300" customFormat="1" ht="9.6" customHeight="1">
      <c r="A15" s="755"/>
      <c r="B15" s="741" t="s">
        <v>315</v>
      </c>
      <c r="C15" s="742">
        <v>0</v>
      </c>
      <c r="D15" s="742">
        <v>0</v>
      </c>
      <c r="E15" s="742">
        <v>0</v>
      </c>
      <c r="F15" s="743" t="str">
        <f t="shared" si="0"/>
        <v/>
      </c>
      <c r="J15" s="415"/>
      <c r="K15" s="415"/>
    </row>
    <row r="16" spans="1:11" s="300" customFormat="1" ht="9.6" customHeight="1">
      <c r="A16" s="755"/>
      <c r="B16" s="741" t="s">
        <v>316</v>
      </c>
      <c r="C16" s="742">
        <v>0</v>
      </c>
      <c r="D16" s="742">
        <v>0</v>
      </c>
      <c r="E16" s="742">
        <v>0</v>
      </c>
      <c r="F16" s="743" t="str">
        <f t="shared" si="0"/>
        <v/>
      </c>
      <c r="J16" s="415"/>
      <c r="K16" s="415"/>
    </row>
    <row r="17" spans="1:11" s="300" customFormat="1" ht="9.6" customHeight="1">
      <c r="A17" s="755"/>
      <c r="B17" s="741" t="s">
        <v>317</v>
      </c>
      <c r="C17" s="742">
        <v>0</v>
      </c>
      <c r="D17" s="742">
        <v>0</v>
      </c>
      <c r="E17" s="742">
        <v>0</v>
      </c>
      <c r="F17" s="743" t="str">
        <f t="shared" si="0"/>
        <v/>
      </c>
      <c r="J17" s="415"/>
      <c r="K17" s="415"/>
    </row>
    <row r="18" spans="1:11" s="300" customFormat="1" ht="9.6" customHeight="1">
      <c r="A18" s="755"/>
      <c r="B18" s="741" t="s">
        <v>421</v>
      </c>
      <c r="C18" s="742">
        <v>0</v>
      </c>
      <c r="D18" s="742">
        <v>0</v>
      </c>
      <c r="E18" s="742">
        <v>0</v>
      </c>
      <c r="F18" s="743" t="str">
        <f t="shared" si="0"/>
        <v/>
      </c>
      <c r="J18" s="415"/>
      <c r="K18" s="415"/>
    </row>
    <row r="19" spans="1:11" s="300" customFormat="1" ht="9.6" customHeight="1">
      <c r="A19" s="757" t="s">
        <v>540</v>
      </c>
      <c r="B19" s="758"/>
      <c r="C19" s="759">
        <v>1000.8829499999999</v>
      </c>
      <c r="D19" s="759">
        <v>1055.23831</v>
      </c>
      <c r="E19" s="759">
        <v>1000.8829499999999</v>
      </c>
      <c r="F19" s="760">
        <f t="shared" si="0"/>
        <v>-5.1510032837985165E-2</v>
      </c>
      <c r="J19" s="415"/>
      <c r="K19" s="415"/>
    </row>
    <row r="20" spans="1:11" s="300" customFormat="1" ht="9.6" customHeight="1">
      <c r="A20" s="755" t="s">
        <v>237</v>
      </c>
      <c r="B20" s="741" t="s">
        <v>318</v>
      </c>
      <c r="C20" s="742">
        <v>271.44031000000001</v>
      </c>
      <c r="D20" s="742">
        <v>550.70608000000004</v>
      </c>
      <c r="E20" s="742">
        <v>271.44031000000001</v>
      </c>
      <c r="F20" s="743"/>
      <c r="J20" s="415"/>
      <c r="K20" s="415"/>
    </row>
    <row r="21" spans="1:11" s="300" customFormat="1" ht="9.6" customHeight="1">
      <c r="A21" s="757" t="s">
        <v>541</v>
      </c>
      <c r="B21" s="758"/>
      <c r="C21" s="759">
        <v>271.44031000000001</v>
      </c>
      <c r="D21" s="759">
        <v>550.70608000000004</v>
      </c>
      <c r="E21" s="759">
        <v>271.44031000000001</v>
      </c>
      <c r="F21" s="760"/>
      <c r="J21" s="415"/>
      <c r="K21" s="415"/>
    </row>
    <row r="22" spans="1:11" s="300" customFormat="1" ht="9.6" customHeight="1">
      <c r="A22" s="755" t="s">
        <v>446</v>
      </c>
      <c r="B22" s="741" t="s">
        <v>450</v>
      </c>
      <c r="C22" s="742">
        <v>19.598979999999997</v>
      </c>
      <c r="D22" s="742">
        <v>19.983260000000001</v>
      </c>
      <c r="E22" s="742">
        <v>19.598979999999997</v>
      </c>
      <c r="F22" s="743"/>
      <c r="J22" s="415"/>
      <c r="K22" s="415"/>
    </row>
    <row r="23" spans="1:11" s="300" customFormat="1" ht="9.6" customHeight="1">
      <c r="A23" s="755"/>
      <c r="B23" s="741" t="s">
        <v>447</v>
      </c>
      <c r="C23" s="742">
        <v>7.7693899999999996</v>
      </c>
      <c r="D23" s="742">
        <v>8.0757200000000005</v>
      </c>
      <c r="E23" s="742">
        <v>7.7693899999999996</v>
      </c>
      <c r="F23" s="743">
        <f t="shared" si="0"/>
        <v>-3.7932221523282239E-2</v>
      </c>
      <c r="J23" s="415"/>
      <c r="K23" s="415"/>
    </row>
    <row r="24" spans="1:11" s="300" customFormat="1" ht="9.6" customHeight="1">
      <c r="A24" s="757" t="s">
        <v>542</v>
      </c>
      <c r="B24" s="758"/>
      <c r="C24" s="759">
        <v>27.368369999999999</v>
      </c>
      <c r="D24" s="759">
        <v>28.058980000000002</v>
      </c>
      <c r="E24" s="759">
        <v>27.368369999999999</v>
      </c>
      <c r="F24" s="760">
        <f t="shared" si="0"/>
        <v>-2.4612797756725424E-2</v>
      </c>
      <c r="J24" s="415"/>
      <c r="K24" s="415"/>
    </row>
    <row r="25" spans="1:11" s="300" customFormat="1" ht="9.6" customHeight="1">
      <c r="A25" s="755" t="s">
        <v>108</v>
      </c>
      <c r="B25" s="741" t="s">
        <v>66</v>
      </c>
      <c r="C25" s="742">
        <v>6.7939299999999996</v>
      </c>
      <c r="D25" s="742">
        <v>7.5681399999999996</v>
      </c>
      <c r="E25" s="742">
        <v>6.7939299999999996</v>
      </c>
      <c r="F25" s="743">
        <f t="shared" si="0"/>
        <v>-0.10229858327145114</v>
      </c>
      <c r="J25" s="415"/>
      <c r="K25" s="415"/>
    </row>
    <row r="26" spans="1:11" s="300" customFormat="1" ht="9.6" customHeight="1">
      <c r="A26" s="755"/>
      <c r="B26" s="741" t="s">
        <v>411</v>
      </c>
      <c r="C26" s="742">
        <v>20.383690000000001</v>
      </c>
      <c r="D26" s="742">
        <v>14.683679999999999</v>
      </c>
      <c r="E26" s="742">
        <v>20.383690000000001</v>
      </c>
      <c r="F26" s="743">
        <f t="shared" si="0"/>
        <v>0.38818674882590765</v>
      </c>
      <c r="J26" s="415"/>
      <c r="K26" s="415"/>
    </row>
    <row r="27" spans="1:11" s="300" customFormat="1" ht="9.6" customHeight="1">
      <c r="A27" s="755"/>
      <c r="B27" s="741" t="s">
        <v>409</v>
      </c>
      <c r="C27" s="742">
        <v>20.289390000000001</v>
      </c>
      <c r="D27" s="742">
        <v>17.387529999999998</v>
      </c>
      <c r="E27" s="742">
        <v>20.289390000000001</v>
      </c>
      <c r="F27" s="743">
        <f t="shared" si="0"/>
        <v>0.16689316999021719</v>
      </c>
      <c r="J27" s="415"/>
      <c r="K27" s="415"/>
    </row>
    <row r="28" spans="1:11" s="300" customFormat="1" ht="9.6" customHeight="1">
      <c r="A28" s="755"/>
      <c r="B28" s="741" t="s">
        <v>410</v>
      </c>
      <c r="C28" s="742">
        <v>20.15475</v>
      </c>
      <c r="D28" s="742">
        <v>17.336780000000001</v>
      </c>
      <c r="E28" s="742">
        <v>20.15475</v>
      </c>
      <c r="F28" s="743">
        <f t="shared" si="0"/>
        <v>0.16254287128290246</v>
      </c>
      <c r="J28" s="415"/>
      <c r="K28" s="415"/>
    </row>
    <row r="29" spans="1:11" s="300" customFormat="1" ht="9.6" customHeight="1">
      <c r="A29" s="757" t="s">
        <v>543</v>
      </c>
      <c r="B29" s="758"/>
      <c r="C29" s="759">
        <v>67.621759999999995</v>
      </c>
      <c r="D29" s="759">
        <v>56.976129999999998</v>
      </c>
      <c r="E29" s="759">
        <v>67.621759999999995</v>
      </c>
      <c r="F29" s="760">
        <f t="shared" si="0"/>
        <v>0.18684368348640024</v>
      </c>
      <c r="J29" s="415"/>
      <c r="K29" s="415"/>
    </row>
    <row r="30" spans="1:11" s="300" customFormat="1" ht="9.6" customHeight="1">
      <c r="A30" s="755" t="s">
        <v>475</v>
      </c>
      <c r="B30" s="741" t="s">
        <v>628</v>
      </c>
      <c r="C30" s="742">
        <v>14.09769</v>
      </c>
      <c r="D30" s="742">
        <v>0</v>
      </c>
      <c r="E30" s="742">
        <v>14.09769</v>
      </c>
      <c r="F30" s="743" t="str">
        <f t="shared" si="0"/>
        <v/>
      </c>
      <c r="J30" s="415"/>
      <c r="K30" s="415"/>
    </row>
    <row r="31" spans="1:11" s="300" customFormat="1" ht="9.6" customHeight="1">
      <c r="A31" s="757" t="s">
        <v>544</v>
      </c>
      <c r="B31" s="758"/>
      <c r="C31" s="759">
        <v>14.09769</v>
      </c>
      <c r="D31" s="759">
        <v>0</v>
      </c>
      <c r="E31" s="759">
        <v>14.09769</v>
      </c>
      <c r="F31" s="760" t="str">
        <f t="shared" si="0"/>
        <v/>
      </c>
      <c r="J31" s="415"/>
      <c r="K31" s="415"/>
    </row>
    <row r="32" spans="1:11" s="300" customFormat="1" ht="9.6" customHeight="1">
      <c r="A32" s="755" t="s">
        <v>476</v>
      </c>
      <c r="B32" s="741" t="s">
        <v>629</v>
      </c>
      <c r="C32" s="742">
        <v>9.1332599999999999</v>
      </c>
      <c r="D32" s="742">
        <v>2.3000000000000001E-4</v>
      </c>
      <c r="E32" s="742">
        <v>9.1332599999999999</v>
      </c>
      <c r="F32" s="743">
        <f t="shared" si="0"/>
        <v>39708.82608695652</v>
      </c>
      <c r="J32" s="415"/>
      <c r="K32" s="415"/>
    </row>
    <row r="33" spans="1:11" s="300" customFormat="1" ht="9.6" customHeight="1">
      <c r="A33" s="757" t="s">
        <v>545</v>
      </c>
      <c r="B33" s="758"/>
      <c r="C33" s="759">
        <v>9.1332599999999999</v>
      </c>
      <c r="D33" s="759">
        <v>2.3000000000000001E-4</v>
      </c>
      <c r="E33" s="759">
        <v>9.1332599999999999</v>
      </c>
      <c r="F33" s="760">
        <f t="shared" si="0"/>
        <v>39708.82608695652</v>
      </c>
      <c r="J33" s="415"/>
      <c r="K33" s="415"/>
    </row>
    <row r="34" spans="1:11" s="300" customFormat="1" ht="9.6" customHeight="1">
      <c r="A34" s="755" t="s">
        <v>114</v>
      </c>
      <c r="B34" s="741" t="s">
        <v>74</v>
      </c>
      <c r="C34" s="742">
        <v>3.2</v>
      </c>
      <c r="D34" s="742">
        <v>2</v>
      </c>
      <c r="E34" s="742">
        <v>3.2</v>
      </c>
      <c r="F34" s="743">
        <f t="shared" si="0"/>
        <v>0.60000000000000009</v>
      </c>
      <c r="J34" s="415"/>
      <c r="K34" s="415"/>
    </row>
    <row r="35" spans="1:11" s="300" customFormat="1" ht="9.6" customHeight="1">
      <c r="A35" s="757" t="s">
        <v>546</v>
      </c>
      <c r="B35" s="758"/>
      <c r="C35" s="759">
        <v>3.2</v>
      </c>
      <c r="D35" s="759">
        <v>2</v>
      </c>
      <c r="E35" s="759">
        <v>3.2</v>
      </c>
      <c r="F35" s="760">
        <f t="shared" si="0"/>
        <v>0.60000000000000009</v>
      </c>
      <c r="J35" s="415"/>
      <c r="K35" s="415"/>
    </row>
    <row r="36" spans="1:11" s="300" customFormat="1" ht="9.6" customHeight="1">
      <c r="A36" s="755" t="s">
        <v>103</v>
      </c>
      <c r="B36" s="741" t="s">
        <v>319</v>
      </c>
      <c r="C36" s="742">
        <v>17.979219999999998</v>
      </c>
      <c r="D36" s="742">
        <v>16.19857</v>
      </c>
      <c r="E36" s="742">
        <v>17.979219999999998</v>
      </c>
      <c r="F36" s="743">
        <f t="shared" si="0"/>
        <v>0.10992637004377537</v>
      </c>
      <c r="J36" s="415"/>
      <c r="K36" s="415"/>
    </row>
    <row r="37" spans="1:11" s="300" customFormat="1" ht="9.6" customHeight="1">
      <c r="A37" s="757" t="s">
        <v>547</v>
      </c>
      <c r="B37" s="758"/>
      <c r="C37" s="759">
        <v>17.979219999999998</v>
      </c>
      <c r="D37" s="759">
        <v>16.19857</v>
      </c>
      <c r="E37" s="759">
        <v>17.979219999999998</v>
      </c>
      <c r="F37" s="760">
        <f t="shared" si="0"/>
        <v>0.10992637004377537</v>
      </c>
      <c r="J37" s="415"/>
      <c r="K37" s="415"/>
    </row>
    <row r="38" spans="1:11" s="561" customFormat="1" ht="18" customHeight="1">
      <c r="A38" s="755" t="s">
        <v>238</v>
      </c>
      <c r="B38" s="741" t="s">
        <v>59</v>
      </c>
      <c r="C38" s="742">
        <v>18.21219</v>
      </c>
      <c r="D38" s="742">
        <v>17.975740000000002</v>
      </c>
      <c r="E38" s="742">
        <v>18.21219</v>
      </c>
      <c r="F38" s="743">
        <f t="shared" si="0"/>
        <v>1.3153839563767589E-2</v>
      </c>
      <c r="J38" s="744"/>
      <c r="K38" s="744"/>
    </row>
    <row r="39" spans="1:11" s="300" customFormat="1" ht="9.6" customHeight="1">
      <c r="A39" s="757" t="s">
        <v>548</v>
      </c>
      <c r="B39" s="758"/>
      <c r="C39" s="759">
        <v>18.21219</v>
      </c>
      <c r="D39" s="759">
        <v>17.975740000000002</v>
      </c>
      <c r="E39" s="759">
        <v>18.21219</v>
      </c>
      <c r="F39" s="760">
        <f t="shared" si="0"/>
        <v>1.3153839563767589E-2</v>
      </c>
      <c r="J39" s="415"/>
      <c r="K39" s="415"/>
    </row>
    <row r="40" spans="1:11" s="300" customFormat="1" ht="9.6" customHeight="1">
      <c r="A40" s="755" t="s">
        <v>408</v>
      </c>
      <c r="B40" s="741" t="s">
        <v>453</v>
      </c>
      <c r="C40" s="742">
        <v>0.77500000000000002</v>
      </c>
      <c r="D40" s="742">
        <v>0</v>
      </c>
      <c r="E40" s="742">
        <v>0.77500000000000002</v>
      </c>
      <c r="F40" s="743" t="str">
        <f t="shared" si="0"/>
        <v/>
      </c>
      <c r="J40" s="415"/>
      <c r="K40" s="415"/>
    </row>
    <row r="41" spans="1:11" s="300" customFormat="1" ht="9.6" customHeight="1">
      <c r="A41" s="757" t="s">
        <v>549</v>
      </c>
      <c r="B41" s="758"/>
      <c r="C41" s="759">
        <v>0.77500000000000002</v>
      </c>
      <c r="D41" s="759">
        <v>0</v>
      </c>
      <c r="E41" s="759">
        <v>0.77500000000000002</v>
      </c>
      <c r="F41" s="760" t="str">
        <f t="shared" si="0"/>
        <v/>
      </c>
      <c r="J41" s="415"/>
      <c r="K41" s="415"/>
    </row>
    <row r="42" spans="1:11" s="300" customFormat="1" ht="9.6" customHeight="1">
      <c r="A42" s="755" t="s">
        <v>423</v>
      </c>
      <c r="B42" s="741" t="s">
        <v>427</v>
      </c>
      <c r="C42" s="742">
        <v>90.458650000000006</v>
      </c>
      <c r="D42" s="742">
        <v>87.003410000000002</v>
      </c>
      <c r="E42" s="742">
        <v>90.458650000000006</v>
      </c>
      <c r="F42" s="743">
        <f t="shared" si="0"/>
        <v>3.971384569869163E-2</v>
      </c>
      <c r="J42" s="415"/>
      <c r="K42" s="415"/>
    </row>
    <row r="43" spans="1:11" s="300" customFormat="1" ht="9.6" customHeight="1">
      <c r="A43" s="757" t="s">
        <v>550</v>
      </c>
      <c r="B43" s="758"/>
      <c r="C43" s="759">
        <v>90.458650000000006</v>
      </c>
      <c r="D43" s="759">
        <v>87.003410000000002</v>
      </c>
      <c r="E43" s="759">
        <v>90.458650000000006</v>
      </c>
      <c r="F43" s="760">
        <f t="shared" si="0"/>
        <v>3.971384569869163E-2</v>
      </c>
      <c r="J43" s="415"/>
      <c r="K43" s="415"/>
    </row>
    <row r="44" spans="1:11" s="300" customFormat="1" ht="19.8" customHeight="1">
      <c r="A44" s="740" t="s">
        <v>457</v>
      </c>
      <c r="B44" s="741" t="s">
        <v>471</v>
      </c>
      <c r="C44" s="742">
        <v>20.059730000000002</v>
      </c>
      <c r="D44" s="742">
        <v>20.662599999999998</v>
      </c>
      <c r="E44" s="742">
        <v>20.059730000000002</v>
      </c>
      <c r="F44" s="743">
        <f t="shared" si="0"/>
        <v>-2.917687028737892E-2</v>
      </c>
      <c r="J44" s="415"/>
      <c r="K44" s="415"/>
    </row>
    <row r="45" spans="1:11" s="300" customFormat="1" ht="11.4" customHeight="1">
      <c r="A45" s="757" t="s">
        <v>551</v>
      </c>
      <c r="B45" s="758"/>
      <c r="C45" s="759">
        <v>20.059730000000002</v>
      </c>
      <c r="D45" s="759">
        <v>20.662599999999998</v>
      </c>
      <c r="E45" s="759">
        <v>20.059730000000002</v>
      </c>
      <c r="F45" s="760">
        <f t="shared" si="0"/>
        <v>-2.917687028737892E-2</v>
      </c>
      <c r="J45" s="415"/>
      <c r="K45" s="415"/>
    </row>
    <row r="46" spans="1:11" s="300" customFormat="1" ht="11.4" customHeight="1">
      <c r="A46" s="755" t="s">
        <v>116</v>
      </c>
      <c r="B46" s="741" t="s">
        <v>321</v>
      </c>
      <c r="C46" s="742">
        <v>0</v>
      </c>
      <c r="D46" s="742">
        <v>0</v>
      </c>
      <c r="E46" s="742">
        <v>0</v>
      </c>
      <c r="F46" s="743" t="str">
        <f t="shared" si="0"/>
        <v/>
      </c>
      <c r="J46" s="415"/>
      <c r="K46" s="415"/>
    </row>
    <row r="47" spans="1:11" s="300" customFormat="1" ht="11.4" customHeight="1">
      <c r="A47" s="755"/>
      <c r="B47" s="741" t="s">
        <v>322</v>
      </c>
      <c r="C47" s="742">
        <v>0</v>
      </c>
      <c r="D47" s="742">
        <v>0</v>
      </c>
      <c r="E47" s="742">
        <v>0</v>
      </c>
      <c r="F47" s="743" t="str">
        <f t="shared" si="0"/>
        <v/>
      </c>
      <c r="J47" s="415"/>
      <c r="K47" s="415"/>
    </row>
    <row r="48" spans="1:11" s="300" customFormat="1" ht="11.4" customHeight="1">
      <c r="A48" s="757" t="s">
        <v>552</v>
      </c>
      <c r="B48" s="758"/>
      <c r="C48" s="759">
        <v>0</v>
      </c>
      <c r="D48" s="759">
        <v>0</v>
      </c>
      <c r="E48" s="759">
        <v>0</v>
      </c>
      <c r="F48" s="760" t="str">
        <f t="shared" si="0"/>
        <v/>
      </c>
      <c r="J48" s="415"/>
      <c r="K48" s="415"/>
    </row>
    <row r="49" spans="1:11" s="300" customFormat="1" ht="11.4" customHeight="1">
      <c r="A49" s="755" t="s">
        <v>406</v>
      </c>
      <c r="B49" s="741" t="s">
        <v>323</v>
      </c>
      <c r="C49" s="742">
        <v>524.37</v>
      </c>
      <c r="D49" s="742">
        <v>754.10769000000005</v>
      </c>
      <c r="E49" s="742">
        <v>524.37</v>
      </c>
      <c r="F49" s="743">
        <f t="shared" si="0"/>
        <v>-0.30464838516631498</v>
      </c>
      <c r="J49" s="415"/>
      <c r="K49" s="415"/>
    </row>
    <row r="50" spans="1:11" s="300" customFormat="1" ht="11.4" customHeight="1">
      <c r="A50" s="755"/>
      <c r="B50" s="741" t="s">
        <v>324</v>
      </c>
      <c r="C50" s="742">
        <v>163.19</v>
      </c>
      <c r="D50" s="742">
        <v>0</v>
      </c>
      <c r="E50" s="742">
        <v>163.19</v>
      </c>
      <c r="F50" s="743" t="str">
        <f t="shared" si="0"/>
        <v/>
      </c>
      <c r="J50" s="415"/>
      <c r="K50" s="415"/>
    </row>
    <row r="51" spans="1:11" s="300" customFormat="1" ht="11.4" customHeight="1">
      <c r="A51" s="755"/>
      <c r="B51" s="741" t="s">
        <v>425</v>
      </c>
      <c r="C51" s="742">
        <v>542.87</v>
      </c>
      <c r="D51" s="742">
        <v>268.02798999999999</v>
      </c>
      <c r="E51" s="742">
        <v>542.87</v>
      </c>
      <c r="F51" s="743">
        <f t="shared" si="0"/>
        <v>1.0254227925971464</v>
      </c>
      <c r="J51" s="415"/>
      <c r="K51" s="415"/>
    </row>
    <row r="52" spans="1:11" s="300" customFormat="1" ht="11.4" customHeight="1">
      <c r="A52" s="755"/>
      <c r="B52" s="741" t="s">
        <v>325</v>
      </c>
      <c r="C52" s="742">
        <v>10.14</v>
      </c>
      <c r="D52" s="742">
        <v>9.9335799999999992</v>
      </c>
      <c r="E52" s="742">
        <v>10.14</v>
      </c>
      <c r="F52" s="743">
        <f t="shared" si="0"/>
        <v>2.0780020898810037E-2</v>
      </c>
      <c r="J52" s="415"/>
      <c r="K52" s="415"/>
    </row>
    <row r="53" spans="1:11" s="300" customFormat="1" ht="11.4" customHeight="1">
      <c r="A53" s="757" t="s">
        <v>553</v>
      </c>
      <c r="B53" s="758"/>
      <c r="C53" s="759">
        <v>1240.57</v>
      </c>
      <c r="D53" s="759">
        <v>1032.06926</v>
      </c>
      <c r="E53" s="759">
        <v>1240.57</v>
      </c>
      <c r="F53" s="760">
        <f t="shared" si="0"/>
        <v>0.20202204259043621</v>
      </c>
      <c r="J53" s="415"/>
      <c r="K53" s="415"/>
    </row>
    <row r="54" spans="1:11" s="300" customFormat="1" ht="11.4" customHeight="1">
      <c r="A54" s="755" t="s">
        <v>504</v>
      </c>
      <c r="B54" s="741" t="s">
        <v>639</v>
      </c>
      <c r="C54" s="742">
        <v>50</v>
      </c>
      <c r="D54" s="742"/>
      <c r="E54" s="742">
        <v>50</v>
      </c>
      <c r="F54" s="743" t="str">
        <f t="shared" si="0"/>
        <v/>
      </c>
      <c r="J54" s="415"/>
      <c r="K54" s="415"/>
    </row>
    <row r="55" spans="1:11" s="300" customFormat="1" ht="11.4" customHeight="1">
      <c r="A55" s="757" t="s">
        <v>554</v>
      </c>
      <c r="B55" s="758"/>
      <c r="C55" s="759">
        <v>50</v>
      </c>
      <c r="D55" s="759"/>
      <c r="E55" s="759">
        <v>50</v>
      </c>
      <c r="F55" s="760" t="str">
        <f t="shared" si="0"/>
        <v/>
      </c>
      <c r="J55" s="415"/>
      <c r="K55" s="415"/>
    </row>
    <row r="56" spans="1:11" s="300" customFormat="1" ht="11.4" customHeight="1">
      <c r="A56" s="755" t="s">
        <v>115</v>
      </c>
      <c r="B56" s="741" t="s">
        <v>72</v>
      </c>
      <c r="C56" s="742">
        <v>3.4080000000000004</v>
      </c>
      <c r="D56" s="742">
        <v>3.3750900000000001</v>
      </c>
      <c r="E56" s="742">
        <v>3.4080000000000004</v>
      </c>
      <c r="F56" s="743">
        <f t="shared" si="0"/>
        <v>9.7508510884154465E-3</v>
      </c>
      <c r="J56" s="415"/>
      <c r="K56" s="415"/>
    </row>
    <row r="57" spans="1:11" s="300" customFormat="1" ht="11.4" customHeight="1">
      <c r="A57" s="757" t="s">
        <v>555</v>
      </c>
      <c r="B57" s="758"/>
      <c r="C57" s="759">
        <v>3.4080000000000004</v>
      </c>
      <c r="D57" s="759">
        <v>3.3750900000000001</v>
      </c>
      <c r="E57" s="759">
        <v>3.4080000000000004</v>
      </c>
      <c r="F57" s="760">
        <f t="shared" si="0"/>
        <v>9.7508510884154465E-3</v>
      </c>
      <c r="J57" s="415"/>
      <c r="K57" s="415"/>
    </row>
    <row r="58" spans="1:11" s="300" customFormat="1" ht="11.4" customHeight="1">
      <c r="A58" s="755" t="s">
        <v>473</v>
      </c>
      <c r="B58" s="741" t="s">
        <v>231</v>
      </c>
      <c r="C58" s="742">
        <v>0</v>
      </c>
      <c r="D58" s="742">
        <v>0</v>
      </c>
      <c r="E58" s="742">
        <v>0</v>
      </c>
      <c r="F58" s="743" t="str">
        <f t="shared" si="0"/>
        <v/>
      </c>
      <c r="J58" s="415"/>
      <c r="K58" s="415"/>
    </row>
    <row r="59" spans="1:11" s="300" customFormat="1" ht="11.4" customHeight="1">
      <c r="A59" s="757" t="s">
        <v>556</v>
      </c>
      <c r="B59" s="758"/>
      <c r="C59" s="759">
        <v>0</v>
      </c>
      <c r="D59" s="759">
        <v>0</v>
      </c>
      <c r="E59" s="759">
        <v>0</v>
      </c>
      <c r="F59" s="760" t="str">
        <f t="shared" si="0"/>
        <v/>
      </c>
      <c r="J59" s="415"/>
      <c r="K59" s="415"/>
    </row>
    <row r="60" spans="1:11" s="300" customFormat="1" ht="11.4" customHeight="1">
      <c r="A60" s="755" t="s">
        <v>110</v>
      </c>
      <c r="B60" s="741" t="s">
        <v>81</v>
      </c>
      <c r="C60" s="742">
        <v>0</v>
      </c>
      <c r="D60" s="742">
        <v>0</v>
      </c>
      <c r="E60" s="742">
        <v>0</v>
      </c>
      <c r="F60" s="743" t="str">
        <f t="shared" si="0"/>
        <v/>
      </c>
      <c r="J60" s="415"/>
      <c r="K60" s="415"/>
    </row>
    <row r="61" spans="1:11" s="300" customFormat="1" ht="11.4" customHeight="1">
      <c r="A61" s="757" t="s">
        <v>557</v>
      </c>
      <c r="B61" s="758"/>
      <c r="C61" s="759">
        <v>0</v>
      </c>
      <c r="D61" s="759">
        <v>0</v>
      </c>
      <c r="E61" s="759">
        <v>0</v>
      </c>
      <c r="F61" s="760" t="str">
        <f t="shared" si="0"/>
        <v/>
      </c>
      <c r="J61" s="415"/>
      <c r="K61" s="415"/>
    </row>
    <row r="62" spans="1:11" s="300" customFormat="1" ht="11.4" customHeight="1">
      <c r="A62" s="755" t="s">
        <v>239</v>
      </c>
      <c r="B62" s="741" t="s">
        <v>71</v>
      </c>
      <c r="C62" s="742">
        <v>5.4349999999999996</v>
      </c>
      <c r="D62" s="742">
        <v>5.4080000000000004</v>
      </c>
      <c r="E62" s="742">
        <v>5.4349999999999996</v>
      </c>
      <c r="F62" s="743">
        <f t="shared" si="0"/>
        <v>4.9926035502956267E-3</v>
      </c>
      <c r="J62" s="415"/>
      <c r="K62" s="415"/>
    </row>
    <row r="63" spans="1:11" s="300" customFormat="1" ht="11.4" customHeight="1">
      <c r="A63" s="755"/>
      <c r="B63" s="741" t="s">
        <v>326</v>
      </c>
      <c r="C63" s="742">
        <v>238.19</v>
      </c>
      <c r="D63" s="742">
        <v>209.00299999999999</v>
      </c>
      <c r="E63" s="742">
        <v>238.19</v>
      </c>
      <c r="F63" s="743">
        <f t="shared" si="0"/>
        <v>0.13964871317636596</v>
      </c>
      <c r="J63" s="415"/>
      <c r="K63" s="415"/>
    </row>
    <row r="64" spans="1:11" s="300" customFormat="1" ht="11.4" customHeight="1">
      <c r="A64" s="755"/>
      <c r="B64" s="741" t="s">
        <v>327</v>
      </c>
      <c r="C64" s="742">
        <v>89.960999999999999</v>
      </c>
      <c r="D64" s="742">
        <v>91.478999999999999</v>
      </c>
      <c r="E64" s="742">
        <v>89.960999999999999</v>
      </c>
      <c r="F64" s="743">
        <f t="shared" si="0"/>
        <v>-1.6593972387105249E-2</v>
      </c>
      <c r="J64" s="415"/>
      <c r="K64" s="415"/>
    </row>
    <row r="65" spans="1:11" s="300" customFormat="1" ht="11.4" customHeight="1">
      <c r="A65" s="755"/>
      <c r="B65" s="741" t="s">
        <v>62</v>
      </c>
      <c r="C65" s="742">
        <v>9.7189999999999994</v>
      </c>
      <c r="D65" s="742">
        <v>9.93</v>
      </c>
      <c r="E65" s="742">
        <v>9.7189999999999994</v>
      </c>
      <c r="F65" s="743">
        <f t="shared" si="0"/>
        <v>-2.124874118831821E-2</v>
      </c>
      <c r="J65" s="415"/>
      <c r="K65" s="415"/>
    </row>
    <row r="66" spans="1:11" s="300" customFormat="1" ht="11.4" customHeight="1">
      <c r="A66" s="757" t="s">
        <v>558</v>
      </c>
      <c r="B66" s="758"/>
      <c r="C66" s="759">
        <v>343.30500000000001</v>
      </c>
      <c r="D66" s="759">
        <v>315.82</v>
      </c>
      <c r="E66" s="759">
        <v>343.30500000000001</v>
      </c>
      <c r="F66" s="760">
        <f t="shared" si="0"/>
        <v>8.7027420682667334E-2</v>
      </c>
      <c r="J66" s="415"/>
      <c r="K66" s="415"/>
    </row>
    <row r="67" spans="1:11" s="300" customFormat="1" ht="11.4" customHeight="1">
      <c r="A67" s="755" t="s">
        <v>240</v>
      </c>
      <c r="B67" s="741" t="s">
        <v>78</v>
      </c>
      <c r="C67" s="742">
        <v>23.052240000000001</v>
      </c>
      <c r="D67" s="742">
        <v>24.551310000000001</v>
      </c>
      <c r="E67" s="742">
        <v>23.052240000000001</v>
      </c>
      <c r="F67" s="743">
        <f t="shared" si="0"/>
        <v>-6.1058656340537421E-2</v>
      </c>
      <c r="J67" s="415"/>
      <c r="K67" s="415"/>
    </row>
    <row r="68" spans="1:11" s="300" customFormat="1" ht="11.4" customHeight="1">
      <c r="A68" s="757" t="s">
        <v>559</v>
      </c>
      <c r="B68" s="758"/>
      <c r="C68" s="759">
        <v>23.052240000000001</v>
      </c>
      <c r="D68" s="759">
        <v>24.551310000000001</v>
      </c>
      <c r="E68" s="759">
        <v>23.052240000000001</v>
      </c>
      <c r="F68" s="760">
        <f t="shared" si="0"/>
        <v>-6.1058656340537421E-2</v>
      </c>
      <c r="J68" s="415"/>
      <c r="K68" s="415"/>
    </row>
    <row r="69" spans="1:11" s="300" customFormat="1" ht="11.4" customHeight="1">
      <c r="A69" s="755" t="s">
        <v>99</v>
      </c>
      <c r="B69" s="741" t="s">
        <v>76</v>
      </c>
      <c r="C69" s="742">
        <v>69.834980000000002</v>
      </c>
      <c r="D69" s="742">
        <v>73.04316</v>
      </c>
      <c r="E69" s="742">
        <v>69.834980000000002</v>
      </c>
      <c r="F69" s="743">
        <f t="shared" si="0"/>
        <v>-4.3921703277897572E-2</v>
      </c>
      <c r="J69" s="415"/>
      <c r="K69" s="415"/>
    </row>
    <row r="70" spans="1:11" ht="11.4" customHeight="1">
      <c r="A70" s="757" t="s">
        <v>560</v>
      </c>
      <c r="B70" s="758"/>
      <c r="C70" s="759">
        <v>69.834980000000002</v>
      </c>
      <c r="D70" s="759">
        <v>73.04316</v>
      </c>
      <c r="E70" s="759">
        <v>69.834980000000002</v>
      </c>
      <c r="F70" s="760">
        <f t="shared" ref="F70" si="1">+IF(D70=0,"",C70/D70-1)</f>
        <v>-4.3921703277897572E-2</v>
      </c>
    </row>
    <row r="71" spans="1:11">
      <c r="A71" s="275"/>
      <c r="B71" s="275"/>
      <c r="C71" s="275"/>
      <c r="D71" s="275"/>
      <c r="E71" s="275"/>
      <c r="F71" s="761"/>
    </row>
    <row r="72" spans="1:11">
      <c r="F72" s="691"/>
    </row>
    <row r="73" spans="1:11">
      <c r="F73" s="691"/>
    </row>
    <row r="74" spans="1:11">
      <c r="F74" s="691"/>
    </row>
    <row r="75" spans="1:11">
      <c r="F75" s="691"/>
    </row>
    <row r="76" spans="1:11">
      <c r="F76" s="691"/>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Diciembre 2021
INFSGI-MES-12-2021
21/02/2022
Versión: 02</oddHeader>
    <oddFooter>&amp;L&amp;7COES, 2021&amp;C22&amp;R&amp;7Dirección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72"/>
  <sheetViews>
    <sheetView showGridLines="0" view="pageBreakPreview" zoomScale="110" zoomScaleNormal="100" zoomScaleSheetLayoutView="110" zoomScalePageLayoutView="140" workbookViewId="0">
      <selection activeCell="F52" sqref="F52"/>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0" customFormat="1" ht="11.25" customHeight="1">
      <c r="A1" s="936" t="s">
        <v>248</v>
      </c>
      <c r="B1" s="938" t="s">
        <v>54</v>
      </c>
      <c r="C1" s="938" t="s">
        <v>351</v>
      </c>
      <c r="D1" s="938"/>
      <c r="E1" s="938"/>
      <c r="F1" s="940"/>
    </row>
    <row r="2" spans="1:6" s="300" customFormat="1" ht="11.25" customHeight="1">
      <c r="A2" s="930"/>
      <c r="B2" s="933"/>
      <c r="C2" s="392" t="str">
        <f>UPPER('1. Resumen'!Q4)&amp;" "&amp;'1. Resumen'!Q5</f>
        <v>DICIEMBRE 2021</v>
      </c>
      <c r="D2" s="393" t="str">
        <f>UPPER('1. Resumen'!Q4)&amp;" "&amp;'1. Resumen'!Q5-1</f>
        <v>DICIEMBRE 2020</v>
      </c>
      <c r="E2" s="394">
        <v>2021</v>
      </c>
      <c r="F2" s="517" t="s">
        <v>490</v>
      </c>
    </row>
    <row r="3" spans="1:6" s="300" customFormat="1" ht="11.25" customHeight="1">
      <c r="A3" s="930"/>
      <c r="B3" s="933"/>
      <c r="C3" s="395">
        <f>'21. ANEXOII-1'!C4</f>
        <v>44543.822916666664</v>
      </c>
      <c r="D3" s="395">
        <f>'21. ANEXOII-1'!D4</f>
        <v>44182.8125</v>
      </c>
      <c r="E3" s="395">
        <f>'21. ANEXOII-1'!E4</f>
        <v>44543.822916666664</v>
      </c>
      <c r="F3" s="518" t="s">
        <v>348</v>
      </c>
    </row>
    <row r="4" spans="1:6" s="300" customFormat="1" ht="11.25" customHeight="1">
      <c r="A4" s="937"/>
      <c r="B4" s="939"/>
      <c r="C4" s="396">
        <f>+'8. Max Potencia'!D9</f>
        <v>44543.822916666664</v>
      </c>
      <c r="D4" s="396">
        <f>+'8. Max Potencia'!E9</f>
        <v>44182.8125</v>
      </c>
      <c r="E4" s="396">
        <f>+'22. ANEXOII-2'!E4</f>
        <v>44543.822916666664</v>
      </c>
      <c r="F4" s="519" t="s">
        <v>349</v>
      </c>
    </row>
    <row r="5" spans="1:6" s="300" customFormat="1" ht="9" customHeight="1">
      <c r="A5" s="546" t="s">
        <v>107</v>
      </c>
      <c r="B5" s="506" t="s">
        <v>230</v>
      </c>
      <c r="C5" s="507">
        <v>0</v>
      </c>
      <c r="D5" s="507">
        <v>0</v>
      </c>
      <c r="E5" s="507">
        <v>0</v>
      </c>
      <c r="F5" s="690" t="str">
        <f t="shared" ref="F5:F54" si="0">+IF(D5=0,"",C5/D5-1)</f>
        <v/>
      </c>
    </row>
    <row r="6" spans="1:6" s="300" customFormat="1" ht="9" customHeight="1">
      <c r="A6" s="547" t="s">
        <v>561</v>
      </c>
      <c r="B6" s="404"/>
      <c r="C6" s="405">
        <v>0</v>
      </c>
      <c r="D6" s="405">
        <v>0</v>
      </c>
      <c r="E6" s="405">
        <v>0</v>
      </c>
      <c r="F6" s="689" t="str">
        <f t="shared" si="0"/>
        <v/>
      </c>
    </row>
    <row r="7" spans="1:6" s="300" customFormat="1" ht="9" customHeight="1">
      <c r="A7" s="546" t="s">
        <v>407</v>
      </c>
      <c r="B7" s="506" t="s">
        <v>85</v>
      </c>
      <c r="C7" s="507">
        <v>0</v>
      </c>
      <c r="D7" s="507">
        <v>3.0216500000000002</v>
      </c>
      <c r="E7" s="507">
        <v>0</v>
      </c>
      <c r="F7" s="690">
        <f t="shared" si="0"/>
        <v>-1</v>
      </c>
    </row>
    <row r="8" spans="1:6" s="300" customFormat="1" ht="9" customHeight="1">
      <c r="A8" s="546"/>
      <c r="B8" s="506" t="s">
        <v>84</v>
      </c>
      <c r="C8" s="507">
        <v>4.5913000000000004</v>
      </c>
      <c r="D8" s="507">
        <v>4.5422399999999996</v>
      </c>
      <c r="E8" s="507">
        <v>4.5913000000000004</v>
      </c>
      <c r="F8" s="690">
        <f t="shared" si="0"/>
        <v>1.0800838352883257E-2</v>
      </c>
    </row>
    <row r="9" spans="1:6" s="300" customFormat="1" ht="9" customHeight="1">
      <c r="A9" s="546"/>
      <c r="B9" s="506" t="s">
        <v>422</v>
      </c>
      <c r="C9" s="507">
        <v>1.2010000000000001</v>
      </c>
      <c r="D9" s="507">
        <v>1.19956</v>
      </c>
      <c r="E9" s="507">
        <v>1.2010000000000001</v>
      </c>
      <c r="F9" s="690">
        <f t="shared" si="0"/>
        <v>1.2004401613925353E-3</v>
      </c>
    </row>
    <row r="10" spans="1:6" s="300" customFormat="1" ht="9" customHeight="1">
      <c r="A10" s="546"/>
      <c r="B10" s="506" t="s">
        <v>470</v>
      </c>
      <c r="C10" s="507">
        <v>1.1015999999999999</v>
      </c>
      <c r="D10" s="507">
        <v>2.4021499999999998</v>
      </c>
      <c r="E10" s="507">
        <v>1.1015999999999999</v>
      </c>
      <c r="F10" s="690">
        <f t="shared" si="0"/>
        <v>-0.54141081947422098</v>
      </c>
    </row>
    <row r="11" spans="1:6" s="300" customFormat="1" ht="9" customHeight="1">
      <c r="A11" s="547" t="s">
        <v>562</v>
      </c>
      <c r="B11" s="404"/>
      <c r="C11" s="405">
        <v>6.8939000000000004</v>
      </c>
      <c r="D11" s="405">
        <v>11.165599999999998</v>
      </c>
      <c r="E11" s="405">
        <v>6.8939000000000004</v>
      </c>
      <c r="F11" s="689">
        <f t="shared" si="0"/>
        <v>-0.3825768431611376</v>
      </c>
    </row>
    <row r="12" spans="1:6" s="300" customFormat="1" ht="9" customHeight="1">
      <c r="A12" s="546" t="s">
        <v>241</v>
      </c>
      <c r="B12" s="506" t="s">
        <v>328</v>
      </c>
      <c r="C12" s="507">
        <v>0</v>
      </c>
      <c r="D12" s="507">
        <v>0</v>
      </c>
      <c r="E12" s="507">
        <v>0</v>
      </c>
      <c r="F12" s="690" t="str">
        <f t="shared" si="0"/>
        <v/>
      </c>
    </row>
    <row r="13" spans="1:6" s="300" customFormat="1" ht="9" customHeight="1">
      <c r="A13" s="547" t="s">
        <v>563</v>
      </c>
      <c r="B13" s="404"/>
      <c r="C13" s="405">
        <v>0</v>
      </c>
      <c r="D13" s="405">
        <v>0</v>
      </c>
      <c r="E13" s="405">
        <v>0</v>
      </c>
      <c r="F13" s="689" t="str">
        <f t="shared" si="0"/>
        <v/>
      </c>
    </row>
    <row r="14" spans="1:6" s="300" customFormat="1" ht="9" customHeight="1">
      <c r="A14" s="546" t="s">
        <v>474</v>
      </c>
      <c r="B14" s="506" t="s">
        <v>82</v>
      </c>
      <c r="C14" s="507">
        <v>0</v>
      </c>
      <c r="D14" s="507">
        <v>0</v>
      </c>
      <c r="E14" s="507">
        <v>0</v>
      </c>
      <c r="F14" s="690" t="str">
        <f t="shared" si="0"/>
        <v/>
      </c>
    </row>
    <row r="15" spans="1:6" s="300" customFormat="1" ht="9" customHeight="1">
      <c r="A15" s="547" t="s">
        <v>564</v>
      </c>
      <c r="B15" s="404"/>
      <c r="C15" s="405">
        <v>0</v>
      </c>
      <c r="D15" s="405">
        <v>0</v>
      </c>
      <c r="E15" s="405">
        <v>0</v>
      </c>
      <c r="F15" s="689" t="str">
        <f t="shared" si="0"/>
        <v/>
      </c>
    </row>
    <row r="16" spans="1:6" s="300" customFormat="1" ht="9" customHeight="1">
      <c r="A16" s="546" t="s">
        <v>437</v>
      </c>
      <c r="B16" s="506" t="s">
        <v>448</v>
      </c>
      <c r="C16" s="507">
        <v>19.097290000000001</v>
      </c>
      <c r="D16" s="507">
        <v>19.991619999999998</v>
      </c>
      <c r="E16" s="507">
        <v>19.097290000000001</v>
      </c>
      <c r="F16" s="690">
        <f t="shared" si="0"/>
        <v>-4.4735244067264035E-2</v>
      </c>
    </row>
    <row r="17" spans="1:6" s="300" customFormat="1" ht="9" customHeight="1">
      <c r="A17" s="547" t="s">
        <v>565</v>
      </c>
      <c r="B17" s="404"/>
      <c r="C17" s="405">
        <v>19.097290000000001</v>
      </c>
      <c r="D17" s="405">
        <v>19.991619999999998</v>
      </c>
      <c r="E17" s="405">
        <v>19.097290000000001</v>
      </c>
      <c r="F17" s="689">
        <f t="shared" si="0"/>
        <v>-4.4735244067264035E-2</v>
      </c>
    </row>
    <row r="18" spans="1:6" s="300" customFormat="1" ht="9" customHeight="1">
      <c r="A18" s="546" t="s">
        <v>104</v>
      </c>
      <c r="B18" s="506" t="s">
        <v>61</v>
      </c>
      <c r="C18" s="507">
        <v>18.505229999999997</v>
      </c>
      <c r="D18" s="507">
        <v>18.2193</v>
      </c>
      <c r="E18" s="507">
        <v>18.505229999999997</v>
      </c>
      <c r="F18" s="690">
        <f t="shared" si="0"/>
        <v>1.569379723699571E-2</v>
      </c>
    </row>
    <row r="19" spans="1:6" s="300" customFormat="1" ht="9" customHeight="1">
      <c r="A19" s="547" t="s">
        <v>566</v>
      </c>
      <c r="B19" s="404"/>
      <c r="C19" s="405">
        <v>18.505229999999997</v>
      </c>
      <c r="D19" s="405">
        <v>18.2193</v>
      </c>
      <c r="E19" s="405">
        <v>18.505229999999997</v>
      </c>
      <c r="F19" s="689">
        <f t="shared" si="0"/>
        <v>1.569379723699571E-2</v>
      </c>
    </row>
    <row r="20" spans="1:6" s="300" customFormat="1" ht="9" customHeight="1">
      <c r="A20" s="546" t="s">
        <v>242</v>
      </c>
      <c r="B20" s="506" t="s">
        <v>329</v>
      </c>
      <c r="C20" s="507">
        <v>0</v>
      </c>
      <c r="D20" s="507">
        <v>0</v>
      </c>
      <c r="E20" s="507">
        <v>0</v>
      </c>
      <c r="F20" s="690" t="str">
        <f t="shared" si="0"/>
        <v/>
      </c>
    </row>
    <row r="21" spans="1:6" s="300" customFormat="1" ht="9" customHeight="1">
      <c r="A21" s="547" t="s">
        <v>567</v>
      </c>
      <c r="B21" s="404"/>
      <c r="C21" s="405">
        <v>0</v>
      </c>
      <c r="D21" s="405">
        <v>0</v>
      </c>
      <c r="E21" s="405">
        <v>0</v>
      </c>
      <c r="F21" s="689" t="str">
        <f t="shared" si="0"/>
        <v/>
      </c>
    </row>
    <row r="22" spans="1:6" s="300" customFormat="1" ht="9" customHeight="1">
      <c r="A22" s="546" t="s">
        <v>95</v>
      </c>
      <c r="B22" s="506" t="s">
        <v>330</v>
      </c>
      <c r="C22" s="507">
        <v>46.0807</v>
      </c>
      <c r="D22" s="507">
        <v>104.30265</v>
      </c>
      <c r="E22" s="507">
        <v>46.0807</v>
      </c>
      <c r="F22" s="690">
        <f t="shared" si="0"/>
        <v>-0.55820202075402681</v>
      </c>
    </row>
    <row r="23" spans="1:6" s="300" customFormat="1" ht="9" customHeight="1">
      <c r="A23" s="546"/>
      <c r="B23" s="506" t="s">
        <v>657</v>
      </c>
      <c r="C23" s="507">
        <v>0</v>
      </c>
      <c r="D23" s="507"/>
      <c r="E23" s="507">
        <v>0</v>
      </c>
      <c r="F23" s="690"/>
    </row>
    <row r="24" spans="1:6" s="300" customFormat="1" ht="9" customHeight="1">
      <c r="A24" s="547" t="s">
        <v>568</v>
      </c>
      <c r="B24" s="404"/>
      <c r="C24" s="405">
        <v>46.0807</v>
      </c>
      <c r="D24" s="405">
        <v>104.30265</v>
      </c>
      <c r="E24" s="405">
        <v>46.0807</v>
      </c>
      <c r="F24" s="689">
        <f t="shared" si="0"/>
        <v>-0.55820202075402681</v>
      </c>
    </row>
    <row r="25" spans="1:6" s="300" customFormat="1" ht="9" customHeight="1">
      <c r="A25" s="546" t="s">
        <v>424</v>
      </c>
      <c r="B25" s="506" t="s">
        <v>454</v>
      </c>
      <c r="C25" s="507">
        <v>8.4873499999999993</v>
      </c>
      <c r="D25" s="507">
        <v>7.8680000000000003</v>
      </c>
      <c r="E25" s="507">
        <v>8.4873499999999993</v>
      </c>
      <c r="F25" s="690">
        <f t="shared" si="0"/>
        <v>7.8717590238942314E-2</v>
      </c>
    </row>
    <row r="26" spans="1:6" s="300" customFormat="1" ht="9" customHeight="1">
      <c r="A26" s="547" t="s">
        <v>569</v>
      </c>
      <c r="B26" s="404"/>
      <c r="C26" s="405">
        <v>8.4873499999999993</v>
      </c>
      <c r="D26" s="405">
        <v>7.8680000000000003</v>
      </c>
      <c r="E26" s="405">
        <v>8.4873499999999993</v>
      </c>
      <c r="F26" s="689">
        <f t="shared" si="0"/>
        <v>7.8717590238942314E-2</v>
      </c>
    </row>
    <row r="27" spans="1:6" s="300" customFormat="1" ht="9" customHeight="1">
      <c r="A27" s="546" t="s">
        <v>398</v>
      </c>
      <c r="B27" s="506" t="s">
        <v>402</v>
      </c>
      <c r="C27" s="507">
        <v>20.0623</v>
      </c>
      <c r="D27" s="507">
        <v>20.359120000000001</v>
      </c>
      <c r="E27" s="507">
        <v>20.0623</v>
      </c>
      <c r="F27" s="690">
        <f t="shared" si="0"/>
        <v>-1.4579215604603735E-2</v>
      </c>
    </row>
    <row r="28" spans="1:6" s="300" customFormat="1" ht="9" customHeight="1">
      <c r="A28" s="547" t="s">
        <v>570</v>
      </c>
      <c r="B28" s="404"/>
      <c r="C28" s="405">
        <v>20.0623</v>
      </c>
      <c r="D28" s="405">
        <v>20.359120000000001</v>
      </c>
      <c r="E28" s="405">
        <v>20.0623</v>
      </c>
      <c r="F28" s="689">
        <f t="shared" si="0"/>
        <v>-1.4579215604603735E-2</v>
      </c>
    </row>
    <row r="29" spans="1:6" s="300" customFormat="1" ht="9" customHeight="1">
      <c r="A29" s="546" t="s">
        <v>102</v>
      </c>
      <c r="B29" s="506" t="s">
        <v>331</v>
      </c>
      <c r="C29" s="507">
        <v>26.591609999999999</v>
      </c>
      <c r="D29" s="507">
        <v>0</v>
      </c>
      <c r="E29" s="507">
        <v>26.591609999999999</v>
      </c>
      <c r="F29" s="690" t="str">
        <f t="shared" si="0"/>
        <v/>
      </c>
    </row>
    <row r="30" spans="1:6" s="300" customFormat="1" ht="9" customHeight="1">
      <c r="A30" s="547" t="s">
        <v>571</v>
      </c>
      <c r="B30" s="404"/>
      <c r="C30" s="405">
        <v>26.591609999999999</v>
      </c>
      <c r="D30" s="405">
        <v>0</v>
      </c>
      <c r="E30" s="405">
        <v>26.591609999999999</v>
      </c>
      <c r="F30" s="689" t="str">
        <f t="shared" si="0"/>
        <v/>
      </c>
    </row>
    <row r="31" spans="1:6" s="300" customFormat="1" ht="9" customHeight="1">
      <c r="A31" s="546" t="s">
        <v>117</v>
      </c>
      <c r="B31" s="506" t="s">
        <v>332</v>
      </c>
      <c r="C31" s="507">
        <v>0</v>
      </c>
      <c r="D31" s="507">
        <v>0</v>
      </c>
      <c r="E31" s="507">
        <v>0</v>
      </c>
      <c r="F31" s="690" t="str">
        <f t="shared" si="0"/>
        <v/>
      </c>
    </row>
    <row r="32" spans="1:6" s="300" customFormat="1" ht="9" customHeight="1">
      <c r="A32" s="547" t="s">
        <v>572</v>
      </c>
      <c r="B32" s="404"/>
      <c r="C32" s="405">
        <v>0</v>
      </c>
      <c r="D32" s="405">
        <v>0</v>
      </c>
      <c r="E32" s="405">
        <v>0</v>
      </c>
      <c r="F32" s="689" t="str">
        <f t="shared" si="0"/>
        <v/>
      </c>
    </row>
    <row r="33" spans="1:6" s="300" customFormat="1" ht="9" customHeight="1">
      <c r="A33" s="546" t="s">
        <v>111</v>
      </c>
      <c r="B33" s="506" t="s">
        <v>449</v>
      </c>
      <c r="C33" s="507">
        <v>19.873910000000002</v>
      </c>
      <c r="D33" s="507">
        <v>19.98423</v>
      </c>
      <c r="E33" s="507">
        <v>19.873910000000002</v>
      </c>
      <c r="F33" s="690">
        <f t="shared" si="0"/>
        <v>-5.520352798181305E-3</v>
      </c>
    </row>
    <row r="34" spans="1:6" s="300" customFormat="1" ht="9" customHeight="1">
      <c r="A34" s="546"/>
      <c r="B34" s="506" t="s">
        <v>69</v>
      </c>
      <c r="C34" s="507">
        <v>4.6561899999999996</v>
      </c>
      <c r="D34" s="507">
        <v>3.0723600000000002</v>
      </c>
      <c r="E34" s="507">
        <v>4.6561899999999996</v>
      </c>
      <c r="F34" s="690">
        <f t="shared" si="0"/>
        <v>0.51550925021807315</v>
      </c>
    </row>
    <row r="35" spans="1:6" s="300" customFormat="1" ht="9" customHeight="1">
      <c r="A35" s="547" t="s">
        <v>573</v>
      </c>
      <c r="B35" s="404"/>
      <c r="C35" s="405">
        <v>24.530100000000001</v>
      </c>
      <c r="D35" s="405">
        <v>23.05659</v>
      </c>
      <c r="E35" s="405">
        <v>24.530100000000001</v>
      </c>
      <c r="F35" s="689">
        <f t="shared" si="0"/>
        <v>6.3908409699786617E-2</v>
      </c>
    </row>
    <row r="36" spans="1:6" s="300" customFormat="1" ht="9" customHeight="1">
      <c r="A36" s="546" t="s">
        <v>90</v>
      </c>
      <c r="B36" s="506" t="s">
        <v>333</v>
      </c>
      <c r="C36" s="507">
        <v>44.00958</v>
      </c>
      <c r="D36" s="507">
        <v>45.203310000000002</v>
      </c>
      <c r="E36" s="507">
        <v>44.00958</v>
      </c>
      <c r="F36" s="690">
        <f t="shared" si="0"/>
        <v>-2.6408021890432454E-2</v>
      </c>
    </row>
    <row r="37" spans="1:6" s="300" customFormat="1" ht="9" customHeight="1">
      <c r="A37" s="546"/>
      <c r="B37" s="506" t="s">
        <v>334</v>
      </c>
      <c r="C37" s="507">
        <v>167.55241999999998</v>
      </c>
      <c r="D37" s="507">
        <v>139.66550000000001</v>
      </c>
      <c r="E37" s="507">
        <v>167.55241999999998</v>
      </c>
      <c r="F37" s="690">
        <f t="shared" si="0"/>
        <v>0.19966935284662268</v>
      </c>
    </row>
    <row r="38" spans="1:6" s="300" customFormat="1" ht="9" customHeight="1">
      <c r="A38" s="546"/>
      <c r="B38" s="506" t="s">
        <v>335</v>
      </c>
      <c r="C38" s="507">
        <v>35.807459999999999</v>
      </c>
      <c r="D38" s="507">
        <v>12.433759999999999</v>
      </c>
      <c r="E38" s="507">
        <v>35.807459999999999</v>
      </c>
      <c r="F38" s="690">
        <f t="shared" si="0"/>
        <v>1.8798577421471863</v>
      </c>
    </row>
    <row r="39" spans="1:6" s="300" customFormat="1" ht="9" customHeight="1">
      <c r="A39" s="546"/>
      <c r="B39" s="506" t="s">
        <v>336</v>
      </c>
      <c r="C39" s="507">
        <v>0</v>
      </c>
      <c r="D39" s="507">
        <v>0.20835000000000001</v>
      </c>
      <c r="E39" s="507">
        <v>0</v>
      </c>
      <c r="F39" s="690">
        <f t="shared" si="0"/>
        <v>-1</v>
      </c>
    </row>
    <row r="40" spans="1:6" s="300" customFormat="1" ht="9" customHeight="1">
      <c r="A40" s="546"/>
      <c r="B40" s="506" t="s">
        <v>337</v>
      </c>
      <c r="C40" s="507">
        <v>45.053600000000003</v>
      </c>
      <c r="D40" s="507">
        <v>15.945259999999999</v>
      </c>
      <c r="E40" s="507">
        <v>45.053600000000003</v>
      </c>
      <c r="F40" s="690">
        <f t="shared" si="0"/>
        <v>1.8255167993497756</v>
      </c>
    </row>
    <row r="41" spans="1:6" s="300" customFormat="1" ht="9" customHeight="1">
      <c r="A41" s="546"/>
      <c r="B41" s="506" t="s">
        <v>338</v>
      </c>
      <c r="C41" s="507">
        <v>2.5691700000000002</v>
      </c>
      <c r="D41" s="507">
        <v>0</v>
      </c>
      <c r="E41" s="507">
        <v>2.5691700000000002</v>
      </c>
      <c r="F41" s="690" t="str">
        <f t="shared" si="0"/>
        <v/>
      </c>
    </row>
    <row r="42" spans="1:6" s="300" customFormat="1" ht="9" customHeight="1">
      <c r="A42" s="546"/>
      <c r="B42" s="506" t="s">
        <v>339</v>
      </c>
      <c r="C42" s="507">
        <v>8.1673200000000001</v>
      </c>
      <c r="D42" s="507">
        <v>5.5695600000000001</v>
      </c>
      <c r="E42" s="507">
        <v>8.1673200000000001</v>
      </c>
      <c r="F42" s="690">
        <f t="shared" si="0"/>
        <v>0.46642104582767763</v>
      </c>
    </row>
    <row r="43" spans="1:6" s="300" customFormat="1" ht="9" customHeight="1">
      <c r="A43" s="546"/>
      <c r="B43" s="506" t="s">
        <v>340</v>
      </c>
      <c r="C43" s="507">
        <v>2.7102900000000001</v>
      </c>
      <c r="D43" s="507">
        <v>2.7218400000000003</v>
      </c>
      <c r="E43" s="507">
        <v>2.7102900000000001</v>
      </c>
      <c r="F43" s="690">
        <f t="shared" si="0"/>
        <v>-4.2434529582929814E-3</v>
      </c>
    </row>
    <row r="44" spans="1:6" s="300" customFormat="1" ht="9" customHeight="1">
      <c r="A44" s="546"/>
      <c r="B44" s="506" t="s">
        <v>341</v>
      </c>
      <c r="C44" s="507">
        <v>3.5681399999999996</v>
      </c>
      <c r="D44" s="507">
        <v>1.51475</v>
      </c>
      <c r="E44" s="507">
        <v>3.5681399999999996</v>
      </c>
      <c r="F44" s="690">
        <f t="shared" si="0"/>
        <v>1.3555966331077731</v>
      </c>
    </row>
    <row r="45" spans="1:6" s="300" customFormat="1" ht="9" customHeight="1">
      <c r="A45" s="546"/>
      <c r="B45" s="506" t="s">
        <v>342</v>
      </c>
      <c r="C45" s="507">
        <v>0</v>
      </c>
      <c r="D45" s="507">
        <v>0</v>
      </c>
      <c r="E45" s="507">
        <v>0</v>
      </c>
      <c r="F45" s="690" t="str">
        <f t="shared" si="0"/>
        <v/>
      </c>
    </row>
    <row r="46" spans="1:6" s="300" customFormat="1" ht="9" customHeight="1">
      <c r="A46" s="546"/>
      <c r="B46" s="506" t="s">
        <v>343</v>
      </c>
      <c r="C46" s="507">
        <v>0</v>
      </c>
      <c r="D46" s="507">
        <v>0</v>
      </c>
      <c r="E46" s="507">
        <v>0</v>
      </c>
      <c r="F46" s="690" t="str">
        <f t="shared" si="0"/>
        <v/>
      </c>
    </row>
    <row r="47" spans="1:6" s="300" customFormat="1" ht="9" customHeight="1">
      <c r="A47" s="546"/>
      <c r="B47" s="506" t="s">
        <v>344</v>
      </c>
      <c r="C47" s="507">
        <v>105.09542</v>
      </c>
      <c r="D47" s="507">
        <v>98.630759999999995</v>
      </c>
      <c r="E47" s="507">
        <v>105.09542</v>
      </c>
      <c r="F47" s="690">
        <f t="shared" si="0"/>
        <v>6.5544055424494374E-2</v>
      </c>
    </row>
    <row r="48" spans="1:6" s="300" customFormat="1" ht="9" customHeight="1">
      <c r="A48" s="547" t="s">
        <v>574</v>
      </c>
      <c r="B48" s="404"/>
      <c r="C48" s="405">
        <v>414.53339999999992</v>
      </c>
      <c r="D48" s="405">
        <v>321.89308999999997</v>
      </c>
      <c r="E48" s="405">
        <v>414.53339999999992</v>
      </c>
      <c r="F48" s="689">
        <f t="shared" si="0"/>
        <v>0.28779838051198903</v>
      </c>
    </row>
    <row r="49" spans="1:7" s="300" customFormat="1" ht="9" customHeight="1">
      <c r="A49" s="546" t="s">
        <v>109</v>
      </c>
      <c r="B49" s="506" t="s">
        <v>229</v>
      </c>
      <c r="C49" s="507">
        <v>0</v>
      </c>
      <c r="D49" s="507">
        <v>0</v>
      </c>
      <c r="E49" s="507">
        <v>0</v>
      </c>
      <c r="F49" s="690" t="str">
        <f t="shared" si="0"/>
        <v/>
      </c>
    </row>
    <row r="50" spans="1:7" s="300" customFormat="1" ht="9" customHeight="1">
      <c r="A50" s="547" t="s">
        <v>575</v>
      </c>
      <c r="B50" s="404"/>
      <c r="C50" s="405">
        <v>0</v>
      </c>
      <c r="D50" s="405">
        <v>0</v>
      </c>
      <c r="E50" s="405">
        <v>0</v>
      </c>
      <c r="F50" s="689" t="str">
        <f t="shared" si="0"/>
        <v/>
      </c>
    </row>
    <row r="51" spans="1:7" s="300" customFormat="1" ht="9" customHeight="1">
      <c r="A51" s="546" t="s">
        <v>100</v>
      </c>
      <c r="B51" s="506" t="s">
        <v>426</v>
      </c>
      <c r="C51" s="507">
        <v>194.47380999999999</v>
      </c>
      <c r="D51" s="507">
        <v>0</v>
      </c>
      <c r="E51" s="507">
        <v>194.47380999999999</v>
      </c>
      <c r="F51" s="690" t="str">
        <f t="shared" si="0"/>
        <v/>
      </c>
    </row>
    <row r="52" spans="1:7" s="300" customFormat="1" ht="9" customHeight="1">
      <c r="A52" s="547" t="s">
        <v>576</v>
      </c>
      <c r="B52" s="404"/>
      <c r="C52" s="405">
        <v>194.47380999999999</v>
      </c>
      <c r="D52" s="405">
        <v>0</v>
      </c>
      <c r="E52" s="405">
        <v>194.47380999999999</v>
      </c>
      <c r="F52" s="689" t="str">
        <f t="shared" si="0"/>
        <v/>
      </c>
    </row>
    <row r="53" spans="1:7" s="300" customFormat="1" ht="9" customHeight="1">
      <c r="A53" s="546" t="s">
        <v>105</v>
      </c>
      <c r="B53" s="506" t="s">
        <v>345</v>
      </c>
      <c r="C53" s="507">
        <v>0</v>
      </c>
      <c r="D53" s="507">
        <v>0</v>
      </c>
      <c r="E53" s="507">
        <v>0</v>
      </c>
      <c r="F53" s="690" t="str">
        <f t="shared" si="0"/>
        <v/>
      </c>
    </row>
    <row r="54" spans="1:7" s="300" customFormat="1" ht="9" customHeight="1">
      <c r="A54" s="547" t="s">
        <v>577</v>
      </c>
      <c r="B54" s="404"/>
      <c r="C54" s="405">
        <v>0</v>
      </c>
      <c r="D54" s="405">
        <v>0</v>
      </c>
      <c r="E54" s="405">
        <v>0</v>
      </c>
      <c r="F54" s="689" t="str">
        <f t="shared" si="0"/>
        <v/>
      </c>
    </row>
    <row r="55" spans="1:7" s="327" customFormat="1" ht="12" customHeight="1">
      <c r="A55" s="389" t="s">
        <v>400</v>
      </c>
      <c r="B55" s="399"/>
      <c r="C55" s="388">
        <v>7173.0331599999972</v>
      </c>
      <c r="D55" s="388">
        <v>6960.0961099999986</v>
      </c>
      <c r="E55" s="388">
        <v>7173.0331599999972</v>
      </c>
      <c r="F55" s="522">
        <f>+IF(D55=0,"",C55/D55-1)</f>
        <v>3.0593981266157977E-2</v>
      </c>
    </row>
    <row r="56" spans="1:7" s="327" customFormat="1" ht="12" customHeight="1">
      <c r="A56" s="399" t="s">
        <v>346</v>
      </c>
      <c r="B56" s="389"/>
      <c r="C56" s="388">
        <f>+'8. Max Potencia'!D16</f>
        <v>0</v>
      </c>
      <c r="D56" s="388">
        <f>+'8. Max Potencia'!E16</f>
        <v>0</v>
      </c>
      <c r="E56" s="391">
        <v>0</v>
      </c>
      <c r="F56" s="523">
        <v>0</v>
      </c>
    </row>
    <row r="57" spans="1:7" s="327" customFormat="1" ht="12" customHeight="1">
      <c r="A57" s="524" t="s">
        <v>347</v>
      </c>
      <c r="B57" s="524"/>
      <c r="C57" s="388">
        <v>0</v>
      </c>
      <c r="D57" s="388">
        <v>0</v>
      </c>
      <c r="E57" s="391">
        <v>0</v>
      </c>
      <c r="F57" s="523">
        <v>0</v>
      </c>
    </row>
    <row r="58" spans="1:7" ht="12" customHeight="1">
      <c r="A58" s="572" t="s">
        <v>443</v>
      </c>
      <c r="B58" s="524"/>
      <c r="C58" s="388">
        <f>+C55+C56-C57</f>
        <v>7173.0331599999972</v>
      </c>
      <c r="D58" s="388">
        <f>+D55+D56-D57</f>
        <v>6960.0961099999986</v>
      </c>
      <c r="E58" s="388">
        <f>+E55+E56-E57</f>
        <v>7173.0331599999972</v>
      </c>
      <c r="F58" s="522">
        <f>+IF(D58=0,"",C58/D58-1)</f>
        <v>3.0593981266157977E-2</v>
      </c>
    </row>
    <row r="59" spans="1:7" ht="7.2" customHeight="1">
      <c r="A59" s="506"/>
      <c r="B59" s="508"/>
      <c r="C59" s="508"/>
      <c r="D59" s="508"/>
      <c r="E59" s="508"/>
      <c r="F59" s="508"/>
    </row>
    <row r="60" spans="1:7" ht="27.75" customHeight="1">
      <c r="A60" s="928" t="s">
        <v>608</v>
      </c>
      <c r="B60" s="928"/>
      <c r="C60" s="928"/>
      <c r="D60" s="928"/>
      <c r="E60" s="928"/>
      <c r="F60" s="928"/>
    </row>
    <row r="61" spans="1:7" ht="7.8" customHeight="1">
      <c r="A61" s="941"/>
      <c r="B61" s="941"/>
      <c r="C61" s="941"/>
      <c r="D61" s="941"/>
      <c r="E61" s="941"/>
      <c r="F61" s="941"/>
      <c r="G61" s="561"/>
    </row>
    <row r="62" spans="1:7" ht="14.4" customHeight="1">
      <c r="A62" s="766" t="s">
        <v>505</v>
      </c>
      <c r="B62" s="561"/>
      <c r="C62" s="561"/>
      <c r="D62" s="561"/>
      <c r="E62" s="561"/>
      <c r="F62" s="561"/>
      <c r="G62" s="561"/>
    </row>
    <row r="63" spans="1:7" ht="14.4" customHeight="1">
      <c r="A63" s="730" t="s">
        <v>506</v>
      </c>
      <c r="B63" s="561"/>
      <c r="C63" s="561"/>
      <c r="D63" s="561"/>
      <c r="E63" s="561"/>
      <c r="F63" s="561"/>
      <c r="G63" s="561"/>
    </row>
    <row r="64" spans="1:7" ht="14.4" customHeight="1">
      <c r="A64" s="730" t="s">
        <v>583</v>
      </c>
      <c r="B64" s="561"/>
      <c r="C64" s="561"/>
      <c r="D64" s="561"/>
      <c r="E64" s="561"/>
      <c r="F64" s="561"/>
      <c r="G64" s="561"/>
    </row>
    <row r="65" spans="1:7" ht="14.4" customHeight="1">
      <c r="A65" s="730" t="s">
        <v>587</v>
      </c>
      <c r="B65" s="561"/>
      <c r="C65" s="561"/>
      <c r="D65" s="561"/>
      <c r="E65" s="561"/>
      <c r="F65" s="561"/>
      <c r="G65" s="561"/>
    </row>
    <row r="66" spans="1:7" ht="14.4" customHeight="1">
      <c r="A66" s="730" t="s">
        <v>611</v>
      </c>
      <c r="B66" s="561"/>
      <c r="C66" s="561"/>
      <c r="D66" s="561"/>
      <c r="E66" s="561"/>
      <c r="F66" s="561"/>
      <c r="G66" s="561"/>
    </row>
    <row r="67" spans="1:7" ht="14.4" customHeight="1">
      <c r="A67" s="730" t="s">
        <v>612</v>
      </c>
      <c r="B67" s="561"/>
      <c r="C67" s="561"/>
      <c r="D67" s="561"/>
      <c r="E67" s="561"/>
      <c r="F67" s="561"/>
      <c r="G67" s="561"/>
    </row>
    <row r="68" spans="1:7" ht="14.4" customHeight="1">
      <c r="A68" s="730" t="s">
        <v>615</v>
      </c>
      <c r="B68" s="561"/>
      <c r="C68" s="561"/>
      <c r="D68" s="561"/>
      <c r="E68" s="561"/>
      <c r="F68" s="561"/>
      <c r="G68" s="561"/>
    </row>
    <row r="69" spans="1:7" ht="14.4" customHeight="1">
      <c r="A69" s="730" t="s">
        <v>613</v>
      </c>
      <c r="B69" s="561"/>
      <c r="C69" s="561"/>
      <c r="D69" s="561"/>
      <c r="E69" s="561"/>
      <c r="F69" s="561"/>
      <c r="G69" s="561"/>
    </row>
    <row r="70" spans="1:7" ht="14.4" customHeight="1">
      <c r="A70" s="730" t="s">
        <v>614</v>
      </c>
      <c r="B70" s="561"/>
      <c r="C70" s="561"/>
      <c r="D70" s="561"/>
      <c r="E70" s="561"/>
      <c r="F70" s="561"/>
      <c r="G70" s="561"/>
    </row>
    <row r="71" spans="1:7" ht="10.8" customHeight="1">
      <c r="A71" s="730" t="s">
        <v>630</v>
      </c>
    </row>
    <row r="72" spans="1:7" ht="12" customHeight="1">
      <c r="A72" s="730" t="s">
        <v>655</v>
      </c>
    </row>
  </sheetData>
  <mergeCells count="5">
    <mergeCell ref="A1:A4"/>
    <mergeCell ref="B1:B4"/>
    <mergeCell ref="C1:F1"/>
    <mergeCell ref="A60:F60"/>
    <mergeCell ref="A61:F6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1"/>
  <sheetViews>
    <sheetView showGridLines="0" view="pageBreakPreview" zoomScaleNormal="100" zoomScaleSheetLayoutView="100" workbookViewId="0">
      <selection activeCell="F52" sqref="F52"/>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359</v>
      </c>
      <c r="B3" s="272"/>
    </row>
    <row r="4" spans="1:13" ht="11.25" customHeight="1">
      <c r="B4" s="272"/>
    </row>
    <row r="5" spans="1:13" ht="11.25" customHeight="1">
      <c r="A5" s="273" t="s">
        <v>405</v>
      </c>
      <c r="B5" s="568"/>
      <c r="C5" s="692">
        <v>7173.03316</v>
      </c>
      <c r="D5" s="568"/>
      <c r="E5" s="568"/>
      <c r="F5" s="568"/>
      <c r="G5" s="568"/>
      <c r="H5" s="568"/>
      <c r="I5" s="568"/>
      <c r="J5" s="568"/>
      <c r="K5" s="568"/>
    </row>
    <row r="6" spans="1:13" ht="11.25" customHeight="1">
      <c r="A6" s="273" t="s">
        <v>360</v>
      </c>
      <c r="B6" s="568"/>
      <c r="C6" s="692" t="s">
        <v>679</v>
      </c>
      <c r="D6" s="568"/>
      <c r="E6" s="568"/>
      <c r="F6" s="568"/>
      <c r="G6" s="568"/>
      <c r="H6" s="568"/>
      <c r="I6" s="568"/>
      <c r="J6" s="568"/>
      <c r="K6" s="568"/>
    </row>
    <row r="7" spans="1:13" ht="11.25" customHeight="1">
      <c r="A7" s="273" t="s">
        <v>361</v>
      </c>
      <c r="B7" s="568"/>
      <c r="C7" s="692" t="s">
        <v>584</v>
      </c>
      <c r="D7" s="568"/>
      <c r="E7" s="568"/>
      <c r="F7" s="568"/>
      <c r="G7" s="568"/>
      <c r="H7" s="568"/>
      <c r="I7" s="568"/>
      <c r="J7" s="568"/>
      <c r="K7" s="568"/>
    </row>
    <row r="8" spans="1:13" ht="11.25" customHeight="1">
      <c r="A8" s="568"/>
      <c r="B8" s="568"/>
      <c r="C8" s="568"/>
      <c r="D8" s="568"/>
      <c r="E8" s="568"/>
      <c r="F8" s="568"/>
      <c r="G8" s="568"/>
      <c r="H8" s="568"/>
      <c r="I8" s="568"/>
      <c r="J8" s="568"/>
      <c r="K8" s="568"/>
    </row>
    <row r="9" spans="1:13" ht="14.25" customHeight="1">
      <c r="A9" s="942" t="s">
        <v>352</v>
      </c>
      <c r="B9" s="945" t="s">
        <v>353</v>
      </c>
      <c r="C9" s="946"/>
      <c r="D9" s="946"/>
      <c r="E9" s="946"/>
      <c r="F9" s="947"/>
      <c r="G9" s="945" t="s">
        <v>354</v>
      </c>
      <c r="H9" s="946"/>
      <c r="I9" s="946"/>
      <c r="J9" s="946"/>
      <c r="K9" s="947"/>
    </row>
    <row r="10" spans="1:13" ht="26.25" customHeight="1">
      <c r="A10" s="943"/>
      <c r="B10" s="397" t="s">
        <v>355</v>
      </c>
      <c r="C10" s="397" t="s">
        <v>197</v>
      </c>
      <c r="D10" s="397" t="s">
        <v>346</v>
      </c>
      <c r="E10" s="397" t="s">
        <v>347</v>
      </c>
      <c r="F10" s="398" t="s">
        <v>358</v>
      </c>
      <c r="G10" s="397" t="s">
        <v>355</v>
      </c>
      <c r="H10" s="397" t="s">
        <v>197</v>
      </c>
      <c r="I10" s="397" t="s">
        <v>346</v>
      </c>
      <c r="J10" s="397" t="s">
        <v>347</v>
      </c>
      <c r="K10" s="398" t="s">
        <v>358</v>
      </c>
      <c r="L10" s="36"/>
      <c r="M10" s="46"/>
    </row>
    <row r="11" spans="1:13" ht="11.25" customHeight="1">
      <c r="A11" s="944"/>
      <c r="B11" s="397" t="s">
        <v>356</v>
      </c>
      <c r="C11" s="397" t="s">
        <v>357</v>
      </c>
      <c r="D11" s="397" t="s">
        <v>357</v>
      </c>
      <c r="E11" s="397" t="s">
        <v>357</v>
      </c>
      <c r="F11" s="397" t="s">
        <v>357</v>
      </c>
      <c r="G11" s="397" t="s">
        <v>356</v>
      </c>
      <c r="H11" s="397" t="s">
        <v>357</v>
      </c>
      <c r="I11" s="397" t="s">
        <v>357</v>
      </c>
      <c r="J11" s="397" t="s">
        <v>357</v>
      </c>
      <c r="K11" s="397" t="s">
        <v>357</v>
      </c>
      <c r="L11" s="36"/>
      <c r="M11" s="46"/>
    </row>
    <row r="12" spans="1:13" ht="11.25" customHeight="1">
      <c r="A12" s="790" t="s">
        <v>680</v>
      </c>
      <c r="B12" s="792" t="s">
        <v>507</v>
      </c>
      <c r="C12" s="792">
        <v>7207.4831100000001</v>
      </c>
      <c r="D12" s="792">
        <v>0</v>
      </c>
      <c r="E12" s="792">
        <v>0</v>
      </c>
      <c r="F12" s="792">
        <v>7207.4831100000001</v>
      </c>
      <c r="G12" s="791" t="s">
        <v>441</v>
      </c>
      <c r="H12" s="791">
        <v>7109.1418199999998</v>
      </c>
      <c r="I12" s="791">
        <v>0</v>
      </c>
      <c r="J12" s="791">
        <v>0</v>
      </c>
      <c r="K12" s="791">
        <v>7109.1418199999998</v>
      </c>
      <c r="L12" s="205"/>
      <c r="M12" s="46"/>
    </row>
    <row r="13" spans="1:13" ht="11.25" customHeight="1">
      <c r="A13" s="790" t="s">
        <v>681</v>
      </c>
      <c r="B13" s="791" t="s">
        <v>458</v>
      </c>
      <c r="C13" s="791">
        <v>7187.0661099999998</v>
      </c>
      <c r="D13" s="791">
        <v>0</v>
      </c>
      <c r="E13" s="791">
        <v>0</v>
      </c>
      <c r="F13" s="791">
        <v>7187.0661099999998</v>
      </c>
      <c r="G13" s="791" t="s">
        <v>468</v>
      </c>
      <c r="H13" s="791">
        <v>6946.9720799999996</v>
      </c>
      <c r="I13" s="791">
        <v>0</v>
      </c>
      <c r="J13" s="791">
        <v>0</v>
      </c>
      <c r="K13" s="791">
        <v>6946.9720799999996</v>
      </c>
      <c r="L13" s="5"/>
    </row>
    <row r="14" spans="1:13" ht="11.25" customHeight="1">
      <c r="A14" s="790" t="s">
        <v>682</v>
      </c>
      <c r="B14" s="791" t="s">
        <v>683</v>
      </c>
      <c r="C14" s="791">
        <v>7198.5367699999997</v>
      </c>
      <c r="D14" s="791">
        <v>0</v>
      </c>
      <c r="E14" s="791">
        <v>0</v>
      </c>
      <c r="F14" s="791">
        <v>7198.5367699999997</v>
      </c>
      <c r="G14" s="791" t="s">
        <v>441</v>
      </c>
      <c r="H14" s="791">
        <v>7124.8842699999996</v>
      </c>
      <c r="I14" s="791">
        <v>0</v>
      </c>
      <c r="J14" s="791">
        <v>0</v>
      </c>
      <c r="K14" s="791">
        <v>7124.8842699999996</v>
      </c>
      <c r="L14" s="15"/>
    </row>
    <row r="15" spans="1:13" ht="11.25" customHeight="1">
      <c r="A15" s="790" t="s">
        <v>684</v>
      </c>
      <c r="B15" s="791" t="s">
        <v>458</v>
      </c>
      <c r="C15" s="791">
        <v>6979.8831399999999</v>
      </c>
      <c r="D15" s="791">
        <v>0</v>
      </c>
      <c r="E15" s="791">
        <v>0</v>
      </c>
      <c r="F15" s="791">
        <v>6979.8831399999999</v>
      </c>
      <c r="G15" s="791" t="s">
        <v>441</v>
      </c>
      <c r="H15" s="791">
        <v>7005.7865499999998</v>
      </c>
      <c r="I15" s="791">
        <v>0</v>
      </c>
      <c r="J15" s="791">
        <v>0</v>
      </c>
      <c r="K15" s="791">
        <v>7005.7865499999998</v>
      </c>
      <c r="L15" s="12"/>
    </row>
    <row r="16" spans="1:13" ht="11.25" customHeight="1">
      <c r="A16" s="790" t="s">
        <v>685</v>
      </c>
      <c r="B16" s="791" t="s">
        <v>459</v>
      </c>
      <c r="C16" s="791">
        <v>6290.1574600000004</v>
      </c>
      <c r="D16" s="791">
        <v>0</v>
      </c>
      <c r="E16" s="791">
        <v>0</v>
      </c>
      <c r="F16" s="791">
        <v>6290.1574600000004</v>
      </c>
      <c r="G16" s="791" t="s">
        <v>584</v>
      </c>
      <c r="H16" s="791">
        <v>6947.6335099999997</v>
      </c>
      <c r="I16" s="791">
        <v>0</v>
      </c>
      <c r="J16" s="791">
        <v>0</v>
      </c>
      <c r="K16" s="791">
        <v>6947.6335099999997</v>
      </c>
      <c r="L16" s="22"/>
    </row>
    <row r="17" spans="1:12" ht="11.25" customHeight="1">
      <c r="A17" s="790" t="s">
        <v>686</v>
      </c>
      <c r="B17" s="791" t="s">
        <v>687</v>
      </c>
      <c r="C17" s="791">
        <v>7053.3979499999996</v>
      </c>
      <c r="D17" s="791">
        <v>0</v>
      </c>
      <c r="E17" s="791">
        <v>0</v>
      </c>
      <c r="F17" s="791">
        <v>7053.3979499999996</v>
      </c>
      <c r="G17" s="791" t="s">
        <v>441</v>
      </c>
      <c r="H17" s="791">
        <v>7076.7124599999997</v>
      </c>
      <c r="I17" s="791">
        <v>0</v>
      </c>
      <c r="J17" s="791">
        <v>0</v>
      </c>
      <c r="K17" s="791">
        <v>7076.7124599999997</v>
      </c>
      <c r="L17" s="22"/>
    </row>
    <row r="18" spans="1:12" ht="11.25" customHeight="1">
      <c r="A18" s="790" t="s">
        <v>688</v>
      </c>
      <c r="B18" s="791" t="s">
        <v>469</v>
      </c>
      <c r="C18" s="791">
        <v>7147.20309</v>
      </c>
      <c r="D18" s="791">
        <v>0</v>
      </c>
      <c r="E18" s="791">
        <v>0</v>
      </c>
      <c r="F18" s="791">
        <v>7147.20309</v>
      </c>
      <c r="G18" s="791" t="s">
        <v>584</v>
      </c>
      <c r="H18" s="791">
        <v>7083.7655100000002</v>
      </c>
      <c r="I18" s="791">
        <v>0</v>
      </c>
      <c r="J18" s="791">
        <v>0</v>
      </c>
      <c r="K18" s="791">
        <v>7083.7655100000002</v>
      </c>
      <c r="L18" s="22"/>
    </row>
    <row r="19" spans="1:12" ht="11.25" customHeight="1">
      <c r="A19" s="790" t="s">
        <v>689</v>
      </c>
      <c r="B19" s="791" t="s">
        <v>469</v>
      </c>
      <c r="C19" s="791">
        <v>6678.3249800000003</v>
      </c>
      <c r="D19" s="791">
        <v>0</v>
      </c>
      <c r="E19" s="791">
        <v>0</v>
      </c>
      <c r="F19" s="791">
        <v>6678.3249800000003</v>
      </c>
      <c r="G19" s="791" t="s">
        <v>468</v>
      </c>
      <c r="H19" s="791">
        <v>6938.2488899999998</v>
      </c>
      <c r="I19" s="791">
        <v>0</v>
      </c>
      <c r="J19" s="791">
        <v>0</v>
      </c>
      <c r="K19" s="791">
        <v>6938.2488899999998</v>
      </c>
      <c r="L19" s="22"/>
    </row>
    <row r="20" spans="1:12" ht="11.25" customHeight="1">
      <c r="A20" s="790" t="s">
        <v>690</v>
      </c>
      <c r="B20" s="791" t="s">
        <v>691</v>
      </c>
      <c r="C20" s="791">
        <v>7047.47757</v>
      </c>
      <c r="D20" s="791">
        <v>0</v>
      </c>
      <c r="E20" s="791">
        <v>0</v>
      </c>
      <c r="F20" s="791">
        <v>7047.47757</v>
      </c>
      <c r="G20" s="791" t="s">
        <v>468</v>
      </c>
      <c r="H20" s="791">
        <v>7127.0105599999997</v>
      </c>
      <c r="I20" s="791">
        <v>0</v>
      </c>
      <c r="J20" s="791">
        <v>0</v>
      </c>
      <c r="K20" s="791">
        <v>7127.0105599999997</v>
      </c>
      <c r="L20" s="24"/>
    </row>
    <row r="21" spans="1:12" ht="11.25" customHeight="1">
      <c r="A21" s="790" t="s">
        <v>692</v>
      </c>
      <c r="B21" s="791" t="s">
        <v>458</v>
      </c>
      <c r="C21" s="791">
        <v>7166.88868</v>
      </c>
      <c r="D21" s="791">
        <v>0</v>
      </c>
      <c r="E21" s="791">
        <v>0</v>
      </c>
      <c r="F21" s="791">
        <v>7166.88868</v>
      </c>
      <c r="G21" s="791" t="s">
        <v>503</v>
      </c>
      <c r="H21" s="791">
        <v>7093.8015999999998</v>
      </c>
      <c r="I21" s="791">
        <v>0</v>
      </c>
      <c r="J21" s="791">
        <v>0</v>
      </c>
      <c r="K21" s="791">
        <v>7093.8015999999998</v>
      </c>
      <c r="L21" s="22"/>
    </row>
    <row r="22" spans="1:12" ht="11.25" customHeight="1">
      <c r="A22" s="790" t="s">
        <v>693</v>
      </c>
      <c r="B22" s="791" t="s">
        <v>469</v>
      </c>
      <c r="C22" s="791">
        <v>6964.7653899999996</v>
      </c>
      <c r="D22" s="791">
        <v>0</v>
      </c>
      <c r="E22" s="791">
        <v>0</v>
      </c>
      <c r="F22" s="791">
        <v>6964.7653899999996</v>
      </c>
      <c r="G22" s="791" t="s">
        <v>441</v>
      </c>
      <c r="H22" s="791">
        <v>6992.0473199999997</v>
      </c>
      <c r="I22" s="791">
        <v>0</v>
      </c>
      <c r="J22" s="791">
        <v>0</v>
      </c>
      <c r="K22" s="791">
        <v>6992.0473199999997</v>
      </c>
      <c r="L22" s="22"/>
    </row>
    <row r="23" spans="1:12" ht="11.25" customHeight="1">
      <c r="A23" s="790" t="s">
        <v>694</v>
      </c>
      <c r="B23" s="791" t="s">
        <v>459</v>
      </c>
      <c r="C23" s="791">
        <v>6248.8550500000001</v>
      </c>
      <c r="D23" s="791">
        <v>0</v>
      </c>
      <c r="E23" s="791">
        <v>0</v>
      </c>
      <c r="F23" s="791">
        <v>6248.8550500000001</v>
      </c>
      <c r="G23" s="791" t="s">
        <v>659</v>
      </c>
      <c r="H23" s="791">
        <v>6890.6496500000003</v>
      </c>
      <c r="I23" s="791">
        <v>0</v>
      </c>
      <c r="J23" s="791">
        <v>0</v>
      </c>
      <c r="K23" s="791">
        <v>6890.6496500000003</v>
      </c>
      <c r="L23" s="22"/>
    </row>
    <row r="24" spans="1:12" ht="11.25" customHeight="1">
      <c r="A24" s="790" t="s">
        <v>679</v>
      </c>
      <c r="B24" s="791" t="s">
        <v>687</v>
      </c>
      <c r="C24" s="791">
        <v>7077.4320799999996</v>
      </c>
      <c r="D24" s="791">
        <v>0</v>
      </c>
      <c r="E24" s="791">
        <v>0</v>
      </c>
      <c r="F24" s="791">
        <v>7077.4320799999996</v>
      </c>
      <c r="G24" s="792" t="s">
        <v>584</v>
      </c>
      <c r="H24" s="792">
        <v>7173.03316</v>
      </c>
      <c r="I24" s="792">
        <v>0</v>
      </c>
      <c r="J24" s="792">
        <v>0</v>
      </c>
      <c r="K24" s="792">
        <v>7173.03316</v>
      </c>
      <c r="L24" s="22"/>
    </row>
    <row r="25" spans="1:12" ht="11.25" customHeight="1">
      <c r="A25" s="790" t="s">
        <v>695</v>
      </c>
      <c r="B25" s="791" t="s">
        <v>507</v>
      </c>
      <c r="C25" s="791">
        <v>7124.4821700000002</v>
      </c>
      <c r="D25" s="791">
        <v>0</v>
      </c>
      <c r="E25" s="791">
        <v>0</v>
      </c>
      <c r="F25" s="791">
        <v>7124.4821700000002</v>
      </c>
      <c r="G25" s="791" t="s">
        <v>584</v>
      </c>
      <c r="H25" s="791">
        <v>7058.6647999999996</v>
      </c>
      <c r="I25" s="791">
        <v>0</v>
      </c>
      <c r="J25" s="791">
        <v>0</v>
      </c>
      <c r="K25" s="791">
        <v>7058.6647999999996</v>
      </c>
      <c r="L25" s="22"/>
    </row>
    <row r="26" spans="1:12" ht="11.25" customHeight="1">
      <c r="A26" s="790" t="s">
        <v>696</v>
      </c>
      <c r="B26" s="791" t="s">
        <v>469</v>
      </c>
      <c r="C26" s="791">
        <v>7045.8853399999998</v>
      </c>
      <c r="D26" s="791">
        <v>0</v>
      </c>
      <c r="E26" s="791">
        <v>0</v>
      </c>
      <c r="F26" s="791">
        <v>7045.8853399999998</v>
      </c>
      <c r="G26" s="791" t="s">
        <v>584</v>
      </c>
      <c r="H26" s="791">
        <v>7016.6664000000001</v>
      </c>
      <c r="I26" s="791">
        <v>0</v>
      </c>
      <c r="J26" s="791">
        <v>0</v>
      </c>
      <c r="K26" s="791">
        <v>7016.6664000000001</v>
      </c>
      <c r="L26" s="22"/>
    </row>
    <row r="27" spans="1:12" ht="11.25" customHeight="1">
      <c r="A27" s="790" t="s">
        <v>697</v>
      </c>
      <c r="B27" s="791" t="s">
        <v>469</v>
      </c>
      <c r="C27" s="791">
        <v>7053.3233300000002</v>
      </c>
      <c r="D27" s="791">
        <v>0</v>
      </c>
      <c r="E27" s="791">
        <v>0</v>
      </c>
      <c r="F27" s="791">
        <v>7053.3233300000002</v>
      </c>
      <c r="G27" s="791" t="s">
        <v>441</v>
      </c>
      <c r="H27" s="791">
        <v>6987.6384799999996</v>
      </c>
      <c r="I27" s="791">
        <v>0</v>
      </c>
      <c r="J27" s="791">
        <v>0</v>
      </c>
      <c r="K27" s="791">
        <v>6987.6384799999996</v>
      </c>
      <c r="L27" s="22"/>
    </row>
    <row r="28" spans="1:12" s="568" customFormat="1" ht="11.25" customHeight="1">
      <c r="A28" s="790" t="s">
        <v>698</v>
      </c>
      <c r="B28" s="791" t="s">
        <v>687</v>
      </c>
      <c r="C28" s="791">
        <v>6931.4923399999998</v>
      </c>
      <c r="D28" s="791">
        <v>44.712600000000002</v>
      </c>
      <c r="E28" s="791">
        <v>0</v>
      </c>
      <c r="F28" s="791">
        <v>6976.2049399999996</v>
      </c>
      <c r="G28" s="791" t="s">
        <v>468</v>
      </c>
      <c r="H28" s="791">
        <v>6898.1554299999998</v>
      </c>
      <c r="I28" s="791">
        <v>47.868600000000001</v>
      </c>
      <c r="J28" s="791">
        <v>0</v>
      </c>
      <c r="K28" s="791">
        <v>6946.0240299999996</v>
      </c>
      <c r="L28" s="22"/>
    </row>
    <row r="29" spans="1:12" s="568" customFormat="1" ht="11.25" customHeight="1">
      <c r="A29" s="790" t="s">
        <v>699</v>
      </c>
      <c r="B29" s="791" t="s">
        <v>658</v>
      </c>
      <c r="C29" s="791">
        <v>6803.4309800000001</v>
      </c>
      <c r="D29" s="791">
        <v>0</v>
      </c>
      <c r="E29" s="791">
        <v>0</v>
      </c>
      <c r="F29" s="791">
        <v>6803.4309800000001</v>
      </c>
      <c r="G29" s="791" t="s">
        <v>597</v>
      </c>
      <c r="H29" s="791">
        <v>6749.2253799999999</v>
      </c>
      <c r="I29" s="791">
        <v>0</v>
      </c>
      <c r="J29" s="791">
        <v>0</v>
      </c>
      <c r="K29" s="791">
        <v>6749.2253799999999</v>
      </c>
      <c r="L29" s="22"/>
    </row>
    <row r="30" spans="1:12" s="568" customFormat="1" ht="11.25" customHeight="1">
      <c r="A30" s="790" t="s">
        <v>700</v>
      </c>
      <c r="B30" s="791" t="s">
        <v>701</v>
      </c>
      <c r="C30" s="791">
        <v>6083.4737400000004</v>
      </c>
      <c r="D30" s="791">
        <v>0</v>
      </c>
      <c r="E30" s="791">
        <v>0</v>
      </c>
      <c r="F30" s="791">
        <v>6083.4737400000004</v>
      </c>
      <c r="G30" s="791" t="s">
        <v>659</v>
      </c>
      <c r="H30" s="791">
        <v>6642.2675099999997</v>
      </c>
      <c r="I30" s="791">
        <v>0</v>
      </c>
      <c r="J30" s="791">
        <v>0</v>
      </c>
      <c r="K30" s="791">
        <v>6642.2675099999997</v>
      </c>
      <c r="L30" s="22"/>
    </row>
    <row r="31" spans="1:12" ht="11.25" customHeight="1">
      <c r="A31" s="790" t="s">
        <v>702</v>
      </c>
      <c r="B31" s="791" t="s">
        <v>469</v>
      </c>
      <c r="C31" s="791">
        <v>6818.2171399999997</v>
      </c>
      <c r="D31" s="791">
        <v>0</v>
      </c>
      <c r="E31" s="791">
        <v>0</v>
      </c>
      <c r="F31" s="791">
        <v>6818.2171399999997</v>
      </c>
      <c r="G31" s="791" t="s">
        <v>468</v>
      </c>
      <c r="H31" s="791">
        <v>6909.6312399999997</v>
      </c>
      <c r="I31" s="791">
        <v>0</v>
      </c>
      <c r="J31" s="791">
        <v>0</v>
      </c>
      <c r="K31" s="791">
        <v>6909.6312399999997</v>
      </c>
      <c r="L31" s="30"/>
    </row>
    <row r="32" spans="1:12" ht="11.25" customHeight="1">
      <c r="A32" s="790" t="s">
        <v>703</v>
      </c>
      <c r="B32" s="791" t="s">
        <v>469</v>
      </c>
      <c r="C32" s="791">
        <v>6785.7520100000002</v>
      </c>
      <c r="D32" s="791">
        <v>0</v>
      </c>
      <c r="E32" s="791">
        <v>0</v>
      </c>
      <c r="F32" s="791">
        <v>6785.7520100000002</v>
      </c>
      <c r="G32" s="791" t="s">
        <v>584</v>
      </c>
      <c r="H32" s="791">
        <v>6860.9646300000004</v>
      </c>
      <c r="I32" s="791">
        <v>0</v>
      </c>
      <c r="J32" s="791">
        <v>0</v>
      </c>
      <c r="K32" s="791">
        <v>6860.9646300000004</v>
      </c>
      <c r="L32" s="22"/>
    </row>
    <row r="33" spans="1:12" ht="11.25" customHeight="1">
      <c r="A33" s="790" t="s">
        <v>704</v>
      </c>
      <c r="B33" s="791" t="s">
        <v>705</v>
      </c>
      <c r="C33" s="791">
        <v>6857.4273000000003</v>
      </c>
      <c r="D33" s="791">
        <v>0</v>
      </c>
      <c r="E33" s="791">
        <v>0</v>
      </c>
      <c r="F33" s="791">
        <v>6857.4273000000003</v>
      </c>
      <c r="G33" s="791" t="s">
        <v>638</v>
      </c>
      <c r="H33" s="791">
        <v>6887.4595200000003</v>
      </c>
      <c r="I33" s="791">
        <v>0</v>
      </c>
      <c r="J33" s="791">
        <v>0</v>
      </c>
      <c r="K33" s="791">
        <v>6887.4595200000003</v>
      </c>
      <c r="L33" s="22"/>
    </row>
    <row r="34" spans="1:12" ht="11.25" customHeight="1">
      <c r="A34" s="790" t="s">
        <v>706</v>
      </c>
      <c r="B34" s="791" t="s">
        <v>707</v>
      </c>
      <c r="C34" s="791">
        <v>6795.6188000000002</v>
      </c>
      <c r="D34" s="791">
        <v>0</v>
      </c>
      <c r="E34" s="791">
        <v>0</v>
      </c>
      <c r="F34" s="791">
        <v>6795.6188000000002</v>
      </c>
      <c r="G34" s="791" t="s">
        <v>584</v>
      </c>
      <c r="H34" s="791">
        <v>6675.8481300000003</v>
      </c>
      <c r="I34" s="791">
        <v>0</v>
      </c>
      <c r="J34" s="791">
        <v>0</v>
      </c>
      <c r="K34" s="791">
        <v>6675.8481300000003</v>
      </c>
      <c r="L34" s="15"/>
    </row>
    <row r="35" spans="1:12" ht="11.25" customHeight="1">
      <c r="A35" s="790" t="s">
        <v>708</v>
      </c>
      <c r="B35" s="791" t="s">
        <v>709</v>
      </c>
      <c r="C35" s="791">
        <v>6407.0181000000002</v>
      </c>
      <c r="D35" s="791">
        <v>0</v>
      </c>
      <c r="E35" s="791">
        <v>0</v>
      </c>
      <c r="F35" s="791">
        <v>6407.0181000000002</v>
      </c>
      <c r="G35" s="791" t="s">
        <v>468</v>
      </c>
      <c r="H35" s="791">
        <v>6395.0074299999997</v>
      </c>
      <c r="I35" s="791">
        <v>0</v>
      </c>
      <c r="J35" s="791">
        <v>0</v>
      </c>
      <c r="K35" s="791">
        <v>6395.0074299999997</v>
      </c>
      <c r="L35" s="16"/>
    </row>
    <row r="36" spans="1:12" ht="11.25" customHeight="1">
      <c r="A36" s="790" t="s">
        <v>710</v>
      </c>
      <c r="B36" s="791" t="s">
        <v>459</v>
      </c>
      <c r="C36" s="791">
        <v>5660.1511099999998</v>
      </c>
      <c r="D36" s="791">
        <v>0</v>
      </c>
      <c r="E36" s="791">
        <v>0</v>
      </c>
      <c r="F36" s="791">
        <v>5660.1511099999998</v>
      </c>
      <c r="G36" s="791" t="s">
        <v>659</v>
      </c>
      <c r="H36" s="791">
        <v>5898.8787899999998</v>
      </c>
      <c r="I36" s="791">
        <v>0</v>
      </c>
      <c r="J36" s="791">
        <v>0</v>
      </c>
      <c r="K36" s="791">
        <v>5898.8787899999998</v>
      </c>
      <c r="L36" s="15"/>
    </row>
    <row r="37" spans="1:12" s="568" customFormat="1" ht="11.25" customHeight="1">
      <c r="A37" s="790" t="s">
        <v>711</v>
      </c>
      <c r="B37" s="791" t="s">
        <v>701</v>
      </c>
      <c r="C37" s="791">
        <v>6055.5613999999996</v>
      </c>
      <c r="D37" s="791">
        <v>0</v>
      </c>
      <c r="E37" s="791">
        <v>0</v>
      </c>
      <c r="F37" s="791">
        <v>6055.5613999999996</v>
      </c>
      <c r="G37" s="791" t="s">
        <v>584</v>
      </c>
      <c r="H37" s="791">
        <v>6654.1366699999999</v>
      </c>
      <c r="I37" s="791">
        <v>0</v>
      </c>
      <c r="J37" s="791">
        <v>0</v>
      </c>
      <c r="K37" s="791">
        <v>6654.1366699999999</v>
      </c>
      <c r="L37" s="15"/>
    </row>
    <row r="38" spans="1:12" ht="11.25" customHeight="1">
      <c r="A38" s="790" t="s">
        <v>712</v>
      </c>
      <c r="B38" s="791" t="s">
        <v>687</v>
      </c>
      <c r="C38" s="791">
        <v>6804.0410899999997</v>
      </c>
      <c r="D38" s="791">
        <v>0</v>
      </c>
      <c r="E38" s="791">
        <v>0</v>
      </c>
      <c r="F38" s="791">
        <v>6804.0410899999997</v>
      </c>
      <c r="G38" s="791" t="s">
        <v>659</v>
      </c>
      <c r="H38" s="791">
        <v>6836.8765000000003</v>
      </c>
      <c r="I38" s="791">
        <v>0</v>
      </c>
      <c r="J38" s="791">
        <v>0</v>
      </c>
      <c r="K38" s="791">
        <v>6836.8765000000003</v>
      </c>
      <c r="L38" s="15"/>
    </row>
    <row r="39" spans="1:12" s="568" customFormat="1" ht="11.25" customHeight="1">
      <c r="A39" s="790" t="s">
        <v>713</v>
      </c>
      <c r="B39" s="791" t="s">
        <v>507</v>
      </c>
      <c r="C39" s="791">
        <v>6820.5863399999998</v>
      </c>
      <c r="D39" s="791">
        <v>47.283999999999999</v>
      </c>
      <c r="E39" s="791">
        <v>0</v>
      </c>
      <c r="F39" s="791">
        <v>6867.8703400000004</v>
      </c>
      <c r="G39" s="791" t="s">
        <v>584</v>
      </c>
      <c r="H39" s="791">
        <v>6819.4748600000003</v>
      </c>
      <c r="I39" s="791">
        <v>49.884</v>
      </c>
      <c r="J39" s="791">
        <v>0</v>
      </c>
      <c r="K39" s="791">
        <v>6869.3588600000003</v>
      </c>
      <c r="L39" s="15"/>
    </row>
    <row r="40" spans="1:12" ht="11.25" customHeight="1">
      <c r="A40" s="790" t="s">
        <v>714</v>
      </c>
      <c r="B40" s="791" t="s">
        <v>458</v>
      </c>
      <c r="C40" s="791">
        <v>6899.7573499999999</v>
      </c>
      <c r="D40" s="791">
        <v>48.887999999999998</v>
      </c>
      <c r="E40" s="791">
        <v>0</v>
      </c>
      <c r="F40" s="791">
        <v>6948.6453499999998</v>
      </c>
      <c r="G40" s="791" t="s">
        <v>659</v>
      </c>
      <c r="H40" s="791">
        <v>6836.7452400000002</v>
      </c>
      <c r="I40" s="791">
        <v>49.531999999999996</v>
      </c>
      <c r="J40" s="791">
        <v>0</v>
      </c>
      <c r="K40" s="791">
        <v>6886.2772400000003</v>
      </c>
      <c r="L40" s="22"/>
    </row>
    <row r="41" spans="1:12" ht="11.25" customHeight="1">
      <c r="A41" s="790" t="s">
        <v>715</v>
      </c>
      <c r="B41" s="791" t="s">
        <v>458</v>
      </c>
      <c r="C41" s="791">
        <v>6899.3684300000004</v>
      </c>
      <c r="D41" s="791">
        <v>47.475999999999999</v>
      </c>
      <c r="E41" s="791">
        <v>0</v>
      </c>
      <c r="F41" s="791">
        <v>6946.8444300000001</v>
      </c>
      <c r="G41" s="791" t="s">
        <v>441</v>
      </c>
      <c r="H41" s="791">
        <v>6897.39138</v>
      </c>
      <c r="I41" s="791">
        <v>49.456000000000003</v>
      </c>
      <c r="J41" s="791">
        <v>0</v>
      </c>
      <c r="K41" s="791">
        <v>6946.8473800000002</v>
      </c>
      <c r="L41" s="22"/>
    </row>
    <row r="42" spans="1:12" ht="11.25" customHeight="1">
      <c r="A42" s="790" t="s">
        <v>716</v>
      </c>
      <c r="B42" s="791" t="s">
        <v>507</v>
      </c>
      <c r="C42" s="791">
        <v>6508.9892499999996</v>
      </c>
      <c r="D42" s="791">
        <v>42.751759999999997</v>
      </c>
      <c r="E42" s="791">
        <v>0</v>
      </c>
      <c r="F42" s="791">
        <v>6551.7410099999997</v>
      </c>
      <c r="G42" s="791" t="s">
        <v>468</v>
      </c>
      <c r="H42" s="791">
        <v>6580.7620699999998</v>
      </c>
      <c r="I42" s="791">
        <v>48.574759999999998</v>
      </c>
      <c r="J42" s="791">
        <v>0</v>
      </c>
      <c r="K42" s="791">
        <v>6629.3368300000002</v>
      </c>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8"/>
    </row>
    <row r="45" spans="1:12" ht="11.25" customHeight="1">
      <c r="A45" s="196"/>
      <c r="B45" s="196"/>
      <c r="C45" s="196"/>
      <c r="D45" s="196"/>
      <c r="E45" s="196"/>
      <c r="F45" s="196"/>
      <c r="G45" s="196"/>
      <c r="H45" s="196"/>
      <c r="I45" s="196"/>
      <c r="J45" s="196"/>
      <c r="K45" s="198"/>
    </row>
    <row r="46" spans="1:12" ht="13.2">
      <c r="A46" s="196"/>
      <c r="B46" s="196"/>
      <c r="C46" s="196"/>
      <c r="D46" s="196"/>
      <c r="E46" s="196"/>
      <c r="F46" s="196"/>
      <c r="G46" s="196"/>
      <c r="H46" s="196"/>
      <c r="I46" s="196"/>
      <c r="J46" s="196"/>
      <c r="K46" s="198"/>
    </row>
    <row r="47" spans="1:12" ht="13.2">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11"/>
      <c r="C51" s="111"/>
      <c r="D51" s="111"/>
      <c r="E51" s="111"/>
      <c r="F51" s="111"/>
      <c r="G51" s="111"/>
      <c r="H51" s="111"/>
      <c r="I51" s="111"/>
      <c r="J51" s="111"/>
      <c r="K51" s="198"/>
    </row>
    <row r="52" spans="1:11" ht="13.2">
      <c r="A52" s="196"/>
      <c r="B52" s="111"/>
      <c r="C52" s="111"/>
      <c r="D52" s="111"/>
      <c r="E52" s="111"/>
      <c r="F52" s="111"/>
      <c r="G52" s="111"/>
      <c r="H52" s="111"/>
      <c r="I52" s="111"/>
      <c r="J52" s="111"/>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97"/>
      <c r="C56" s="197"/>
      <c r="D56" s="197"/>
      <c r="E56" s="197"/>
      <c r="F56" s="197"/>
      <c r="G56" s="197"/>
      <c r="H56" s="197"/>
      <c r="I56" s="197"/>
      <c r="J56" s="197"/>
      <c r="K56" s="198"/>
    </row>
    <row r="57" spans="1:11" ht="13.2">
      <c r="A57" s="196"/>
      <c r="B57" s="197"/>
      <c r="C57" s="197"/>
      <c r="D57" s="197"/>
      <c r="E57" s="197"/>
      <c r="F57" s="197"/>
      <c r="G57" s="197"/>
      <c r="H57" s="197"/>
      <c r="I57" s="197"/>
      <c r="J57" s="197"/>
      <c r="K57" s="198"/>
    </row>
    <row r="58" spans="1:11" ht="13.2">
      <c r="A58" s="196"/>
      <c r="B58" s="200"/>
      <c r="C58" s="198"/>
      <c r="D58" s="198"/>
      <c r="E58" s="198"/>
      <c r="F58" s="198"/>
      <c r="G58" s="197"/>
      <c r="H58" s="197"/>
      <c r="I58" s="197"/>
      <c r="J58" s="197"/>
      <c r="K58" s="198"/>
    </row>
    <row r="59" spans="1:11" ht="13.2">
      <c r="A59" s="201"/>
      <c r="B59" s="202"/>
      <c r="C59" s="202"/>
      <c r="D59" s="202"/>
      <c r="E59" s="202"/>
      <c r="F59" s="202"/>
      <c r="G59" s="202"/>
      <c r="H59" s="197"/>
      <c r="I59" s="197"/>
      <c r="J59" s="197"/>
      <c r="K59" s="198"/>
    </row>
    <row r="60" spans="1:11" ht="13.2">
      <c r="A60" s="201"/>
      <c r="B60" s="202"/>
      <c r="C60" s="202"/>
      <c r="D60" s="202"/>
      <c r="E60" s="202"/>
      <c r="F60" s="202"/>
      <c r="G60" s="202"/>
      <c r="H60" s="197"/>
      <c r="I60" s="197"/>
      <c r="J60" s="197"/>
      <c r="K60" s="197"/>
    </row>
    <row r="61" spans="1:11" ht="13.2">
      <c r="A61" s="201"/>
      <c r="B61" s="202"/>
      <c r="C61" s="202"/>
      <c r="D61" s="202"/>
      <c r="E61" s="202"/>
      <c r="F61" s="202"/>
      <c r="G61" s="202"/>
      <c r="H61" s="197"/>
      <c r="I61" s="197"/>
      <c r="J61" s="197"/>
      <c r="K61"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20"/>
  <sheetViews>
    <sheetView showGridLines="0" view="pageBreakPreview" zoomScale="115" zoomScaleNormal="100" zoomScaleSheetLayoutView="115" workbookViewId="0">
      <selection activeCell="F52" sqref="F52"/>
    </sheetView>
  </sheetViews>
  <sheetFormatPr baseColWidth="10" defaultColWidth="9.28515625" defaultRowHeight="9.6"/>
  <cols>
    <col min="1" max="1" width="16.140625" style="589" customWidth="1"/>
    <col min="2" max="2" width="19.7109375" style="589" customWidth="1"/>
    <col min="3" max="3" width="12.85546875" style="589" bestFit="1" customWidth="1"/>
    <col min="4" max="4" width="57.42578125" style="589" customWidth="1"/>
    <col min="5" max="5" width="12.42578125" style="589" customWidth="1"/>
    <col min="6" max="6" width="10.42578125" style="589" customWidth="1"/>
    <col min="7" max="8" width="9.28515625" style="589" customWidth="1"/>
    <col min="9" max="16384" width="9.28515625" style="589"/>
  </cols>
  <sheetData>
    <row r="1" spans="1:9" ht="11.25" customHeight="1">
      <c r="A1" s="587" t="s">
        <v>362</v>
      </c>
      <c r="B1" s="588"/>
      <c r="C1" s="588"/>
      <c r="D1" s="588"/>
      <c r="E1" s="588"/>
      <c r="F1" s="588"/>
    </row>
    <row r="2" spans="1:9" ht="30" customHeight="1">
      <c r="A2" s="590" t="s">
        <v>248</v>
      </c>
      <c r="B2" s="591" t="s">
        <v>363</v>
      </c>
      <c r="C2" s="590" t="s">
        <v>352</v>
      </c>
      <c r="D2" s="592" t="s">
        <v>364</v>
      </c>
      <c r="E2" s="593" t="s">
        <v>365</v>
      </c>
      <c r="F2" s="593" t="s">
        <v>366</v>
      </c>
      <c r="G2" s="594"/>
      <c r="H2" s="595"/>
      <c r="I2" s="596"/>
    </row>
    <row r="3" spans="1:9" ht="81" customHeight="1">
      <c r="A3" s="599" t="s">
        <v>717</v>
      </c>
      <c r="B3" s="599" t="s">
        <v>718</v>
      </c>
      <c r="C3" s="597">
        <v>44532.684027777781</v>
      </c>
      <c r="D3" s="598" t="s">
        <v>719</v>
      </c>
      <c r="E3" s="599">
        <v>88.53</v>
      </c>
      <c r="F3" s="599"/>
      <c r="H3" s="594"/>
      <c r="I3" s="596"/>
    </row>
    <row r="4" spans="1:9" ht="69.599999999999994" customHeight="1">
      <c r="A4" s="599" t="s">
        <v>480</v>
      </c>
      <c r="B4" s="599" t="s">
        <v>720</v>
      </c>
      <c r="C4" s="597">
        <v>44533.571527777778</v>
      </c>
      <c r="D4" s="598" t="s">
        <v>721</v>
      </c>
      <c r="E4" s="599">
        <v>29.83</v>
      </c>
      <c r="F4" s="599"/>
      <c r="G4" s="600"/>
      <c r="H4" s="600"/>
      <c r="I4" s="601"/>
    </row>
    <row r="5" spans="1:9" ht="59.4" customHeight="1">
      <c r="A5" s="599" t="s">
        <v>641</v>
      </c>
      <c r="B5" s="599" t="s">
        <v>722</v>
      </c>
      <c r="C5" s="597">
        <v>44533.586111111108</v>
      </c>
      <c r="D5" s="598" t="s">
        <v>723</v>
      </c>
      <c r="E5" s="599">
        <v>9.2200000000000006</v>
      </c>
      <c r="F5" s="599"/>
      <c r="G5" s="600"/>
      <c r="H5" s="600"/>
      <c r="I5" s="602"/>
    </row>
    <row r="6" spans="1:9" ht="57" customHeight="1">
      <c r="A6" s="599" t="s">
        <v>642</v>
      </c>
      <c r="B6" s="599" t="s">
        <v>643</v>
      </c>
      <c r="C6" s="597">
        <v>44535.304861111108</v>
      </c>
      <c r="D6" s="598" t="s">
        <v>724</v>
      </c>
      <c r="E6" s="599">
        <v>1.21</v>
      </c>
      <c r="F6" s="599"/>
      <c r="G6" s="600"/>
      <c r="H6" s="600"/>
      <c r="I6" s="603"/>
    </row>
    <row r="7" spans="1:9" ht="63" customHeight="1">
      <c r="A7" s="599" t="s">
        <v>472</v>
      </c>
      <c r="B7" s="599" t="s">
        <v>625</v>
      </c>
      <c r="C7" s="597">
        <v>44538.10833333333</v>
      </c>
      <c r="D7" s="598" t="s">
        <v>725</v>
      </c>
      <c r="E7" s="599">
        <v>77</v>
      </c>
      <c r="F7" s="599"/>
      <c r="G7" s="600"/>
      <c r="H7" s="600"/>
      <c r="I7" s="604"/>
    </row>
    <row r="8" spans="1:9" ht="57" customHeight="1">
      <c r="A8" s="599" t="s">
        <v>472</v>
      </c>
      <c r="B8" s="599" t="s">
        <v>625</v>
      </c>
      <c r="C8" s="597">
        <v>44538.171527777777</v>
      </c>
      <c r="D8" s="598" t="s">
        <v>726</v>
      </c>
      <c r="E8" s="599">
        <v>4.45</v>
      </c>
      <c r="F8" s="599"/>
      <c r="G8" s="600"/>
      <c r="H8" s="600"/>
      <c r="I8" s="603"/>
    </row>
    <row r="9" spans="1:9" ht="55.2" customHeight="1">
      <c r="A9" s="599" t="s">
        <v>472</v>
      </c>
      <c r="B9" s="599" t="s">
        <v>625</v>
      </c>
      <c r="C9" s="597">
        <v>44538.177083333336</v>
      </c>
      <c r="D9" s="598" t="s">
        <v>727</v>
      </c>
      <c r="E9" s="605">
        <v>4.04</v>
      </c>
      <c r="F9" s="605"/>
      <c r="G9" s="600"/>
      <c r="H9" s="600"/>
      <c r="I9" s="603"/>
    </row>
    <row r="10" spans="1:9" ht="46.2" customHeight="1">
      <c r="A10" s="599" t="s">
        <v>622</v>
      </c>
      <c r="B10" s="599" t="s">
        <v>662</v>
      </c>
      <c r="C10" s="597">
        <v>44538.814583333333</v>
      </c>
      <c r="D10" s="598" t="s">
        <v>728</v>
      </c>
      <c r="E10" s="605">
        <v>7.5</v>
      </c>
      <c r="F10" s="605"/>
      <c r="G10" s="600"/>
      <c r="H10" s="600"/>
      <c r="I10" s="603"/>
    </row>
    <row r="11" spans="1:9" ht="47.4" customHeight="1">
      <c r="A11" s="599" t="s">
        <v>640</v>
      </c>
      <c r="B11" s="599" t="s">
        <v>729</v>
      </c>
      <c r="C11" s="597">
        <v>44539.131249999999</v>
      </c>
      <c r="D11" s="598" t="s">
        <v>730</v>
      </c>
      <c r="E11" s="605">
        <v>12.08</v>
      </c>
      <c r="F11" s="605"/>
      <c r="G11" s="600"/>
      <c r="H11" s="600"/>
      <c r="I11" s="603"/>
    </row>
    <row r="12" spans="1:9" ht="43.8" customHeight="1">
      <c r="A12" s="762" t="s">
        <v>731</v>
      </c>
      <c r="B12" s="762" t="s">
        <v>732</v>
      </c>
      <c r="C12" s="763">
        <v>44539.71597222222</v>
      </c>
      <c r="D12" s="764" t="s">
        <v>733</v>
      </c>
      <c r="E12" s="765">
        <v>1.93</v>
      </c>
      <c r="F12" s="765"/>
    </row>
    <row r="13" spans="1:9" ht="73.2" customHeight="1">
      <c r="A13" s="762" t="s">
        <v>472</v>
      </c>
      <c r="B13" s="762" t="s">
        <v>734</v>
      </c>
      <c r="C13" s="763">
        <v>44540.054861111108</v>
      </c>
      <c r="D13" s="764" t="s">
        <v>735</v>
      </c>
      <c r="E13" s="765">
        <v>18.100000000000001</v>
      </c>
      <c r="F13" s="765">
        <v>9.5500000000000007</v>
      </c>
    </row>
    <row r="14" spans="1:9" ht="53.4" customHeight="1">
      <c r="A14" s="762" t="s">
        <v>736</v>
      </c>
      <c r="B14" s="762" t="s">
        <v>737</v>
      </c>
      <c r="C14" s="763">
        <v>44540.703472222223</v>
      </c>
      <c r="D14" s="764" t="s">
        <v>738</v>
      </c>
      <c r="E14" s="765">
        <v>1.8</v>
      </c>
      <c r="F14" s="765"/>
    </row>
    <row r="15" spans="1:9" ht="54" customHeight="1">
      <c r="A15" s="762" t="s">
        <v>472</v>
      </c>
      <c r="B15" s="762" t="s">
        <v>664</v>
      </c>
      <c r="C15" s="763">
        <v>44542.024305555555</v>
      </c>
      <c r="D15" s="764" t="s">
        <v>739</v>
      </c>
      <c r="E15" s="765">
        <v>5.6</v>
      </c>
      <c r="F15" s="765"/>
    </row>
    <row r="16" spans="1:9">
      <c r="C16" s="606"/>
      <c r="E16" s="607"/>
      <c r="F16" s="607"/>
    </row>
    <row r="17" spans="3:6">
      <c r="C17" s="606"/>
      <c r="E17" s="607"/>
      <c r="F17" s="607"/>
    </row>
    <row r="18" spans="3:6">
      <c r="C18" s="606"/>
      <c r="E18" s="607"/>
      <c r="F18" s="607"/>
    </row>
    <row r="19" spans="3:6">
      <c r="C19" s="606"/>
      <c r="E19" s="607"/>
      <c r="F19" s="607"/>
    </row>
    <row r="20" spans="3:6">
      <c r="C20" s="606"/>
      <c r="E20" s="607"/>
      <c r="F20" s="607"/>
    </row>
    <row r="21" spans="3:6">
      <c r="C21" s="606"/>
      <c r="E21" s="607"/>
      <c r="F21" s="607"/>
    </row>
    <row r="22" spans="3:6">
      <c r="C22" s="606"/>
      <c r="E22" s="607"/>
      <c r="F22" s="607"/>
    </row>
    <row r="23" spans="3:6">
      <c r="C23" s="606"/>
      <c r="E23" s="607"/>
      <c r="F23" s="607"/>
    </row>
    <row r="24" spans="3:6">
      <c r="C24" s="606"/>
      <c r="E24" s="607"/>
      <c r="F24" s="607"/>
    </row>
    <row r="25" spans="3:6">
      <c r="C25" s="606"/>
      <c r="E25" s="607"/>
      <c r="F25" s="607"/>
    </row>
    <row r="26" spans="3:6">
      <c r="C26" s="606"/>
      <c r="E26" s="607"/>
      <c r="F26" s="607"/>
    </row>
    <row r="27" spans="3:6">
      <c r="C27" s="606"/>
      <c r="E27" s="607"/>
      <c r="F27" s="607"/>
    </row>
    <row r="28" spans="3:6">
      <c r="E28" s="607"/>
      <c r="F28" s="607"/>
    </row>
    <row r="29" spans="3:6">
      <c r="E29" s="607"/>
      <c r="F29" s="607"/>
    </row>
    <row r="30" spans="3:6">
      <c r="E30" s="607"/>
      <c r="F30" s="607"/>
    </row>
    <row r="31" spans="3:6">
      <c r="E31" s="607"/>
      <c r="F31" s="607"/>
    </row>
    <row r="32" spans="3:6">
      <c r="E32" s="607"/>
      <c r="F32" s="607"/>
    </row>
    <row r="33" spans="5:6">
      <c r="E33" s="607"/>
      <c r="F33" s="607"/>
    </row>
    <row r="34" spans="5:6">
      <c r="E34" s="607"/>
      <c r="F34" s="607"/>
    </row>
    <row r="35" spans="5:6">
      <c r="E35" s="607"/>
      <c r="F35" s="607"/>
    </row>
    <row r="36" spans="5:6">
      <c r="E36" s="607"/>
      <c r="F36" s="607"/>
    </row>
    <row r="37" spans="5:6">
      <c r="E37" s="607"/>
      <c r="F37" s="607"/>
    </row>
    <row r="38" spans="5:6">
      <c r="E38" s="607"/>
      <c r="F38" s="607"/>
    </row>
    <row r="39" spans="5:6">
      <c r="E39" s="607"/>
      <c r="F39" s="607"/>
    </row>
    <row r="40" spans="5:6">
      <c r="E40" s="607"/>
      <c r="F40" s="607"/>
    </row>
    <row r="41" spans="5:6">
      <c r="E41" s="607"/>
      <c r="F41" s="607"/>
    </row>
    <row r="42" spans="5:6">
      <c r="E42" s="607"/>
      <c r="F42" s="607"/>
    </row>
    <row r="43" spans="5:6">
      <c r="E43" s="607"/>
      <c r="F43" s="607"/>
    </row>
    <row r="44" spans="5:6">
      <c r="E44" s="607"/>
      <c r="F44" s="607"/>
    </row>
    <row r="45" spans="5:6">
      <c r="E45" s="607"/>
      <c r="F45" s="607"/>
    </row>
    <row r="46" spans="5:6">
      <c r="E46" s="607"/>
      <c r="F46" s="607"/>
    </row>
    <row r="47" spans="5:6">
      <c r="E47" s="607"/>
      <c r="F47" s="607"/>
    </row>
    <row r="48" spans="5:6">
      <c r="E48" s="607"/>
      <c r="F48" s="607"/>
    </row>
    <row r="49" spans="5:6">
      <c r="E49" s="607"/>
      <c r="F49" s="607"/>
    </row>
    <row r="50" spans="5:6">
      <c r="E50" s="607"/>
      <c r="F50" s="607"/>
    </row>
    <row r="51" spans="5:6">
      <c r="E51" s="607"/>
      <c r="F51" s="607"/>
    </row>
    <row r="52" spans="5:6">
      <c r="E52" s="607"/>
      <c r="F52" s="607"/>
    </row>
    <row r="53" spans="5:6">
      <c r="E53" s="607"/>
      <c r="F53" s="607"/>
    </row>
    <row r="54" spans="5:6">
      <c r="E54" s="607"/>
      <c r="F54" s="607"/>
    </row>
    <row r="55" spans="5:6">
      <c r="E55" s="607"/>
      <c r="F55" s="607"/>
    </row>
    <row r="56" spans="5:6">
      <c r="E56" s="607"/>
      <c r="F56" s="607"/>
    </row>
    <row r="57" spans="5:6">
      <c r="E57" s="607"/>
      <c r="F57" s="607"/>
    </row>
    <row r="58" spans="5:6">
      <c r="E58" s="607"/>
      <c r="F58" s="607"/>
    </row>
    <row r="59" spans="5:6">
      <c r="E59" s="607"/>
      <c r="F59" s="607"/>
    </row>
    <row r="60" spans="5:6">
      <c r="E60" s="607"/>
      <c r="F60" s="607"/>
    </row>
    <row r="61" spans="5:6">
      <c r="E61" s="607"/>
      <c r="F61" s="607"/>
    </row>
    <row r="62" spans="5:6">
      <c r="E62" s="607"/>
      <c r="F62" s="607"/>
    </row>
    <row r="63" spans="5:6">
      <c r="E63" s="607"/>
      <c r="F63" s="607"/>
    </row>
    <row r="64" spans="5:6">
      <c r="E64" s="607"/>
      <c r="F64" s="607"/>
    </row>
    <row r="65" spans="5:6">
      <c r="E65" s="607"/>
      <c r="F65" s="607"/>
    </row>
    <row r="66" spans="5:6">
      <c r="E66" s="607"/>
      <c r="F66" s="607"/>
    </row>
    <row r="67" spans="5:6">
      <c r="E67" s="607"/>
      <c r="F67" s="607"/>
    </row>
    <row r="68" spans="5:6">
      <c r="E68" s="607"/>
      <c r="F68" s="607"/>
    </row>
    <row r="69" spans="5:6">
      <c r="E69" s="607"/>
      <c r="F69" s="607"/>
    </row>
    <row r="70" spans="5:6">
      <c r="E70" s="607"/>
      <c r="F70" s="607"/>
    </row>
    <row r="71" spans="5:6">
      <c r="E71" s="607"/>
      <c r="F71" s="607"/>
    </row>
    <row r="72" spans="5:6">
      <c r="E72" s="607"/>
      <c r="F72" s="607"/>
    </row>
    <row r="73" spans="5:6">
      <c r="E73" s="607"/>
      <c r="F73" s="607"/>
    </row>
    <row r="74" spans="5:6">
      <c r="E74" s="607"/>
      <c r="F74" s="607"/>
    </row>
    <row r="75" spans="5:6">
      <c r="E75" s="607"/>
      <c r="F75" s="607"/>
    </row>
    <row r="76" spans="5:6">
      <c r="E76" s="607"/>
      <c r="F76" s="607"/>
    </row>
    <row r="77" spans="5:6">
      <c r="E77" s="607"/>
      <c r="F77" s="607"/>
    </row>
    <row r="78" spans="5:6">
      <c r="E78" s="607"/>
      <c r="F78" s="607"/>
    </row>
    <row r="79" spans="5:6">
      <c r="E79" s="607"/>
      <c r="F79" s="607"/>
    </row>
    <row r="80" spans="5:6">
      <c r="E80" s="607"/>
      <c r="F80" s="607"/>
    </row>
    <row r="81" spans="5:6">
      <c r="E81" s="607"/>
      <c r="F81" s="607"/>
    </row>
    <row r="82" spans="5:6">
      <c r="E82" s="607"/>
      <c r="F82" s="607"/>
    </row>
    <row r="83" spans="5:6">
      <c r="E83" s="607"/>
      <c r="F83" s="607"/>
    </row>
    <row r="84" spans="5:6">
      <c r="E84" s="607"/>
      <c r="F84" s="607"/>
    </row>
    <row r="85" spans="5:6">
      <c r="E85" s="607"/>
      <c r="F85" s="607"/>
    </row>
    <row r="86" spans="5:6">
      <c r="E86" s="607"/>
      <c r="F86" s="607"/>
    </row>
    <row r="87" spans="5:6">
      <c r="E87" s="607"/>
      <c r="F87" s="607"/>
    </row>
    <row r="88" spans="5:6">
      <c r="E88" s="607"/>
      <c r="F88" s="607"/>
    </row>
    <row r="89" spans="5:6">
      <c r="E89" s="607"/>
      <c r="F89" s="607"/>
    </row>
    <row r="90" spans="5:6">
      <c r="E90" s="607"/>
      <c r="F90" s="607"/>
    </row>
    <row r="91" spans="5:6">
      <c r="E91" s="607"/>
      <c r="F91" s="607"/>
    </row>
    <row r="92" spans="5:6">
      <c r="E92" s="607"/>
      <c r="F92" s="607"/>
    </row>
    <row r="93" spans="5:6">
      <c r="E93" s="607"/>
      <c r="F93" s="607"/>
    </row>
    <row r="94" spans="5:6">
      <c r="E94" s="607"/>
      <c r="F94" s="607"/>
    </row>
    <row r="95" spans="5:6">
      <c r="E95" s="607"/>
      <c r="F95" s="607"/>
    </row>
    <row r="96" spans="5:6">
      <c r="E96" s="607"/>
      <c r="F96" s="607"/>
    </row>
    <row r="97" spans="5:6">
      <c r="E97" s="607"/>
      <c r="F97" s="607"/>
    </row>
    <row r="98" spans="5:6">
      <c r="E98" s="607"/>
      <c r="F98" s="607"/>
    </row>
    <row r="99" spans="5:6">
      <c r="E99" s="607"/>
      <c r="F99" s="607"/>
    </row>
    <row r="100" spans="5:6">
      <c r="E100" s="607"/>
      <c r="F100" s="607"/>
    </row>
    <row r="101" spans="5:6">
      <c r="E101" s="607"/>
      <c r="F101" s="607"/>
    </row>
    <row r="102" spans="5:6">
      <c r="E102" s="607"/>
      <c r="F102" s="607"/>
    </row>
    <row r="103" spans="5:6">
      <c r="E103" s="607"/>
      <c r="F103" s="607"/>
    </row>
    <row r="104" spans="5:6">
      <c r="E104" s="607"/>
      <c r="F104" s="607"/>
    </row>
    <row r="105" spans="5:6">
      <c r="E105" s="607"/>
      <c r="F105" s="607"/>
    </row>
    <row r="106" spans="5:6">
      <c r="E106" s="607"/>
      <c r="F106" s="607"/>
    </row>
    <row r="107" spans="5:6">
      <c r="E107" s="607"/>
      <c r="F107" s="607"/>
    </row>
    <row r="108" spans="5:6">
      <c r="E108" s="607"/>
      <c r="F108" s="607"/>
    </row>
    <row r="109" spans="5:6">
      <c r="E109" s="607"/>
      <c r="F109" s="607"/>
    </row>
    <row r="110" spans="5:6">
      <c r="E110" s="607"/>
      <c r="F110" s="607"/>
    </row>
    <row r="111" spans="5:6">
      <c r="E111" s="607"/>
      <c r="F111" s="607"/>
    </row>
    <row r="112" spans="5:6">
      <c r="E112" s="607"/>
      <c r="F112" s="607"/>
    </row>
    <row r="113" spans="5:6">
      <c r="E113" s="607"/>
      <c r="F113" s="607"/>
    </row>
    <row r="114" spans="5:6">
      <c r="E114" s="607"/>
      <c r="F114" s="607"/>
    </row>
    <row r="115" spans="5:6">
      <c r="E115" s="607"/>
      <c r="F115" s="607"/>
    </row>
    <row r="116" spans="5:6">
      <c r="E116" s="607"/>
      <c r="F116" s="607"/>
    </row>
    <row r="117" spans="5:6">
      <c r="E117" s="607"/>
      <c r="F117" s="607"/>
    </row>
    <row r="118" spans="5:6">
      <c r="E118" s="607"/>
      <c r="F118" s="607"/>
    </row>
    <row r="119" spans="5:6">
      <c r="E119" s="607"/>
      <c r="F119" s="607"/>
    </row>
    <row r="120" spans="5:6">
      <c r="E120" s="607"/>
      <c r="F120" s="607"/>
    </row>
  </sheetData>
  <pageMargins left="0.45" right="0.40312500000000001" top="0.91304347826086951" bottom="0.62992125984251968" header="0.31496062992125984" footer="0.31496062992125984"/>
  <pageSetup paperSize="9" scale="90" orientation="portrait" r:id="rId1"/>
  <headerFooter>
    <oddHeader>&amp;R&amp;7Informe de la Operación Mensual - Diciembre 2021
INFSGI-MES-12-2021
21/02/2022
Versión: 02</oddHeader>
    <oddFooter>&amp;L&amp;7COES, 2021&amp;C25&amp;R&amp;7Dirección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82"/>
  <sheetViews>
    <sheetView showGridLines="0" view="pageBreakPreview" zoomScale="120" zoomScaleNormal="100" zoomScaleSheetLayoutView="120" zoomScalePageLayoutView="115" workbookViewId="0">
      <selection activeCell="F52" sqref="F52"/>
    </sheetView>
  </sheetViews>
  <sheetFormatPr baseColWidth="10" defaultColWidth="9.28515625" defaultRowHeight="9.6"/>
  <cols>
    <col min="1" max="1" width="16.140625" style="589" customWidth="1"/>
    <col min="2" max="2" width="19.7109375" style="589" customWidth="1"/>
    <col min="3" max="3" width="12.85546875" style="589" bestFit="1" customWidth="1"/>
    <col min="4" max="4" width="59.85546875" style="589" customWidth="1"/>
    <col min="5" max="5" width="11.7109375" style="589" customWidth="1"/>
    <col min="6" max="6" width="10.42578125" style="589" customWidth="1"/>
    <col min="7" max="8" width="9.28515625" style="589" customWidth="1"/>
    <col min="9" max="16384" width="9.28515625" style="589"/>
  </cols>
  <sheetData>
    <row r="1" spans="1:9" ht="11.25" customHeight="1">
      <c r="A1" s="587" t="s">
        <v>362</v>
      </c>
      <c r="B1" s="588"/>
      <c r="C1" s="588"/>
      <c r="D1" s="588"/>
      <c r="E1" s="588"/>
      <c r="F1" s="588"/>
    </row>
    <row r="2" spans="1:9" ht="30" customHeight="1">
      <c r="A2" s="590" t="s">
        <v>248</v>
      </c>
      <c r="B2" s="591" t="s">
        <v>363</v>
      </c>
      <c r="C2" s="590" t="s">
        <v>352</v>
      </c>
      <c r="D2" s="592" t="s">
        <v>364</v>
      </c>
      <c r="E2" s="593" t="s">
        <v>365</v>
      </c>
      <c r="F2" s="593" t="s">
        <v>366</v>
      </c>
      <c r="G2" s="594"/>
      <c r="H2" s="595"/>
      <c r="I2" s="596"/>
    </row>
    <row r="3" spans="1:9" ht="78" customHeight="1">
      <c r="A3" s="599" t="s">
        <v>624</v>
      </c>
      <c r="B3" s="599" t="s">
        <v>740</v>
      </c>
      <c r="C3" s="597">
        <v>44542.078472222223</v>
      </c>
      <c r="D3" s="598" t="s">
        <v>741</v>
      </c>
      <c r="E3" s="599">
        <v>11.91</v>
      </c>
      <c r="F3" s="599"/>
      <c r="G3" s="600"/>
      <c r="H3" s="600"/>
      <c r="I3" s="602"/>
    </row>
    <row r="4" spans="1:9" ht="63" customHeight="1">
      <c r="A4" s="599" t="s">
        <v>742</v>
      </c>
      <c r="B4" s="599" t="s">
        <v>743</v>
      </c>
      <c r="C4" s="597">
        <v>44542.575694444444</v>
      </c>
      <c r="D4" s="598" t="s">
        <v>744</v>
      </c>
      <c r="E4" s="599">
        <v>39.5</v>
      </c>
      <c r="F4" s="599"/>
      <c r="G4" s="600"/>
      <c r="H4" s="600"/>
      <c r="I4" s="603"/>
    </row>
    <row r="5" spans="1:9" ht="50.4" customHeight="1">
      <c r="A5" s="599" t="s">
        <v>472</v>
      </c>
      <c r="B5" s="599" t="s">
        <v>664</v>
      </c>
      <c r="C5" s="597">
        <v>44543.0625</v>
      </c>
      <c r="D5" s="598" t="s">
        <v>745</v>
      </c>
      <c r="E5" s="599">
        <v>4.6500000000000004</v>
      </c>
      <c r="F5" s="599"/>
      <c r="G5" s="600"/>
      <c r="H5" s="600"/>
      <c r="I5" s="604"/>
    </row>
    <row r="6" spans="1:9" ht="63" customHeight="1">
      <c r="A6" s="599" t="s">
        <v>746</v>
      </c>
      <c r="B6" s="599" t="s">
        <v>747</v>
      </c>
      <c r="C6" s="597">
        <v>44543.638194444444</v>
      </c>
      <c r="D6" s="598" t="s">
        <v>748</v>
      </c>
      <c r="E6" s="599">
        <v>6.83</v>
      </c>
      <c r="F6" s="599"/>
      <c r="G6" s="600"/>
      <c r="H6" s="600"/>
      <c r="I6" s="603"/>
    </row>
    <row r="7" spans="1:9" ht="43.2" customHeight="1">
      <c r="A7" s="599" t="s">
        <v>622</v>
      </c>
      <c r="B7" s="599" t="s">
        <v>662</v>
      </c>
      <c r="C7" s="597">
        <v>44543.757638888892</v>
      </c>
      <c r="D7" s="598" t="s">
        <v>749</v>
      </c>
      <c r="E7" s="599">
        <v>4.83</v>
      </c>
      <c r="F7" s="599"/>
      <c r="G7" s="600"/>
      <c r="H7" s="600"/>
      <c r="I7" s="603"/>
    </row>
    <row r="8" spans="1:9" ht="49.8" customHeight="1">
      <c r="A8" s="599" t="s">
        <v>622</v>
      </c>
      <c r="B8" s="599" t="s">
        <v>662</v>
      </c>
      <c r="C8" s="597">
        <v>44543.761111111111</v>
      </c>
      <c r="D8" s="598" t="s">
        <v>750</v>
      </c>
      <c r="E8" s="599">
        <v>4.83</v>
      </c>
      <c r="F8" s="599"/>
      <c r="G8" s="600"/>
      <c r="H8" s="600"/>
      <c r="I8" s="603"/>
    </row>
    <row r="9" spans="1:9" ht="79.2" customHeight="1">
      <c r="A9" s="599" t="s">
        <v>624</v>
      </c>
      <c r="B9" s="599" t="s">
        <v>740</v>
      </c>
      <c r="C9" s="597">
        <v>44544.086111111108</v>
      </c>
      <c r="D9" s="598" t="s">
        <v>751</v>
      </c>
      <c r="E9" s="599">
        <v>11</v>
      </c>
      <c r="F9" s="599"/>
      <c r="G9" s="600"/>
      <c r="H9" s="600"/>
      <c r="I9" s="603"/>
    </row>
    <row r="10" spans="1:9" ht="54.6" customHeight="1">
      <c r="A10" s="599" t="s">
        <v>472</v>
      </c>
      <c r="B10" s="599" t="s">
        <v>752</v>
      </c>
      <c r="C10" s="597">
        <v>44544.294444444444</v>
      </c>
      <c r="D10" s="598" t="s">
        <v>753</v>
      </c>
      <c r="E10" s="599">
        <v>15</v>
      </c>
      <c r="F10" s="599"/>
    </row>
    <row r="11" spans="1:9" ht="43.2" customHeight="1">
      <c r="A11" s="599" t="s">
        <v>622</v>
      </c>
      <c r="B11" s="599" t="s">
        <v>644</v>
      </c>
      <c r="C11" s="597">
        <v>44545.615277777775</v>
      </c>
      <c r="D11" s="598" t="s">
        <v>754</v>
      </c>
      <c r="E11" s="599">
        <v>1.57</v>
      </c>
      <c r="F11" s="599"/>
    </row>
    <row r="12" spans="1:9" ht="52.8" customHeight="1">
      <c r="A12" s="599" t="s">
        <v>624</v>
      </c>
      <c r="B12" s="599" t="s">
        <v>755</v>
      </c>
      <c r="C12" s="597">
        <v>44547.762499999997</v>
      </c>
      <c r="D12" s="598" t="s">
        <v>756</v>
      </c>
      <c r="E12" s="599">
        <v>0.7</v>
      </c>
      <c r="F12" s="599"/>
    </row>
    <row r="13" spans="1:9" ht="87.6" customHeight="1">
      <c r="A13" s="599" t="s">
        <v>95</v>
      </c>
      <c r="B13" s="599" t="s">
        <v>661</v>
      </c>
      <c r="C13" s="597">
        <v>44547.786111111112</v>
      </c>
      <c r="D13" s="598" t="s">
        <v>757</v>
      </c>
      <c r="E13" s="599">
        <v>28.65</v>
      </c>
      <c r="F13" s="599"/>
    </row>
    <row r="14" spans="1:9" ht="42.6" customHeight="1">
      <c r="A14" s="599" t="s">
        <v>758</v>
      </c>
      <c r="B14" s="599" t="s">
        <v>759</v>
      </c>
      <c r="C14" s="597">
        <v>44550.703472222223</v>
      </c>
      <c r="D14" s="598" t="s">
        <v>760</v>
      </c>
      <c r="E14" s="599">
        <v>1.5</v>
      </c>
      <c r="F14" s="599"/>
    </row>
    <row r="15" spans="1:9" ht="94.2" customHeight="1">
      <c r="A15" s="599" t="s">
        <v>761</v>
      </c>
      <c r="B15" s="599" t="s">
        <v>762</v>
      </c>
      <c r="C15" s="597">
        <v>44554.147222222222</v>
      </c>
      <c r="D15" s="598" t="s">
        <v>763</v>
      </c>
      <c r="E15" s="599">
        <v>28.31</v>
      </c>
      <c r="F15" s="599"/>
    </row>
    <row r="16" spans="1:9">
      <c r="E16" s="607"/>
      <c r="F16" s="607"/>
    </row>
    <row r="17" spans="5:6">
      <c r="E17" s="607"/>
      <c r="F17" s="607"/>
    </row>
    <row r="18" spans="5:6">
      <c r="E18" s="607"/>
      <c r="F18" s="607"/>
    </row>
    <row r="19" spans="5:6">
      <c r="E19" s="607"/>
      <c r="F19" s="607"/>
    </row>
    <row r="20" spans="5:6">
      <c r="E20" s="607"/>
      <c r="F20" s="607"/>
    </row>
    <row r="21" spans="5:6">
      <c r="E21" s="607"/>
      <c r="F21" s="607"/>
    </row>
    <row r="22" spans="5:6">
      <c r="E22" s="607"/>
      <c r="F22" s="607"/>
    </row>
    <row r="23" spans="5:6">
      <c r="E23" s="607"/>
      <c r="F23" s="607"/>
    </row>
    <row r="24" spans="5:6">
      <c r="E24" s="607"/>
      <c r="F24" s="607"/>
    </row>
    <row r="25" spans="5:6">
      <c r="E25" s="607"/>
      <c r="F25" s="607"/>
    </row>
    <row r="26" spans="5:6">
      <c r="E26" s="607"/>
      <c r="F26" s="607"/>
    </row>
    <row r="27" spans="5:6">
      <c r="E27" s="607"/>
      <c r="F27" s="607"/>
    </row>
    <row r="28" spans="5:6">
      <c r="E28" s="607"/>
      <c r="F28" s="607"/>
    </row>
    <row r="29" spans="5:6">
      <c r="E29" s="607"/>
      <c r="F29" s="607"/>
    </row>
    <row r="30" spans="5:6">
      <c r="E30" s="607"/>
      <c r="F30" s="607"/>
    </row>
    <row r="31" spans="5:6">
      <c r="E31" s="607"/>
      <c r="F31" s="607"/>
    </row>
    <row r="32" spans="5:6">
      <c r="E32" s="607"/>
      <c r="F32" s="607"/>
    </row>
    <row r="33" spans="5:6">
      <c r="E33" s="607"/>
      <c r="F33" s="607"/>
    </row>
    <row r="34" spans="5:6">
      <c r="E34" s="607"/>
      <c r="F34" s="607"/>
    </row>
    <row r="35" spans="5:6">
      <c r="E35" s="607"/>
      <c r="F35" s="607"/>
    </row>
    <row r="36" spans="5:6">
      <c r="E36" s="607"/>
      <c r="F36" s="607"/>
    </row>
    <row r="37" spans="5:6">
      <c r="E37" s="607"/>
      <c r="F37" s="607"/>
    </row>
    <row r="38" spans="5:6">
      <c r="E38" s="607"/>
      <c r="F38" s="607"/>
    </row>
    <row r="39" spans="5:6">
      <c r="E39" s="607"/>
      <c r="F39" s="607"/>
    </row>
    <row r="40" spans="5:6">
      <c r="E40" s="607"/>
      <c r="F40" s="607"/>
    </row>
    <row r="41" spans="5:6">
      <c r="E41" s="607"/>
      <c r="F41" s="607"/>
    </row>
    <row r="42" spans="5:6">
      <c r="E42" s="607"/>
      <c r="F42" s="607"/>
    </row>
    <row r="43" spans="5:6">
      <c r="E43" s="607"/>
      <c r="F43" s="607"/>
    </row>
    <row r="44" spans="5:6">
      <c r="E44" s="607"/>
      <c r="F44" s="607"/>
    </row>
    <row r="45" spans="5:6">
      <c r="E45" s="607"/>
      <c r="F45" s="607"/>
    </row>
    <row r="46" spans="5:6">
      <c r="E46" s="607"/>
      <c r="F46" s="607"/>
    </row>
    <row r="47" spans="5:6">
      <c r="E47" s="607"/>
      <c r="F47" s="607"/>
    </row>
    <row r="48" spans="5:6">
      <c r="E48" s="607"/>
      <c r="F48" s="607"/>
    </row>
    <row r="49" spans="5:6">
      <c r="E49" s="607"/>
      <c r="F49" s="607"/>
    </row>
    <row r="50" spans="5:6">
      <c r="E50" s="607"/>
      <c r="F50" s="607"/>
    </row>
    <row r="51" spans="5:6">
      <c r="E51" s="607"/>
      <c r="F51" s="607"/>
    </row>
    <row r="52" spans="5:6">
      <c r="E52" s="607"/>
      <c r="F52" s="607"/>
    </row>
    <row r="53" spans="5:6">
      <c r="E53" s="607"/>
      <c r="F53" s="607"/>
    </row>
    <row r="54" spans="5:6">
      <c r="E54" s="607"/>
      <c r="F54" s="607"/>
    </row>
    <row r="55" spans="5:6">
      <c r="E55" s="607"/>
      <c r="F55" s="607"/>
    </row>
    <row r="56" spans="5:6">
      <c r="E56" s="607"/>
      <c r="F56" s="607"/>
    </row>
    <row r="57" spans="5:6">
      <c r="E57" s="607"/>
      <c r="F57" s="607"/>
    </row>
    <row r="58" spans="5:6">
      <c r="E58" s="607"/>
      <c r="F58" s="607"/>
    </row>
    <row r="59" spans="5:6">
      <c r="E59" s="607"/>
      <c r="F59" s="607"/>
    </row>
    <row r="60" spans="5:6">
      <c r="E60" s="607"/>
      <c r="F60" s="607"/>
    </row>
    <row r="61" spans="5:6">
      <c r="E61" s="607"/>
      <c r="F61" s="607"/>
    </row>
    <row r="62" spans="5:6">
      <c r="E62" s="607"/>
      <c r="F62" s="607"/>
    </row>
    <row r="63" spans="5:6">
      <c r="E63" s="607"/>
      <c r="F63" s="607"/>
    </row>
    <row r="64" spans="5:6">
      <c r="E64" s="607"/>
      <c r="F64" s="607"/>
    </row>
    <row r="65" spans="5:6">
      <c r="E65" s="607"/>
      <c r="F65" s="607"/>
    </row>
    <row r="66" spans="5:6">
      <c r="E66" s="607"/>
      <c r="F66" s="607"/>
    </row>
    <row r="67" spans="5:6">
      <c r="E67" s="607"/>
      <c r="F67" s="607"/>
    </row>
    <row r="68" spans="5:6">
      <c r="E68" s="607"/>
      <c r="F68" s="607"/>
    </row>
    <row r="69" spans="5:6">
      <c r="E69" s="607"/>
      <c r="F69" s="607"/>
    </row>
    <row r="70" spans="5:6">
      <c r="E70" s="607"/>
      <c r="F70" s="607"/>
    </row>
    <row r="71" spans="5:6">
      <c r="E71" s="607"/>
      <c r="F71" s="607"/>
    </row>
    <row r="72" spans="5:6">
      <c r="E72" s="607"/>
      <c r="F72" s="607"/>
    </row>
    <row r="73" spans="5:6">
      <c r="E73" s="607"/>
      <c r="F73" s="607"/>
    </row>
    <row r="74" spans="5:6">
      <c r="E74" s="607"/>
      <c r="F74" s="607"/>
    </row>
    <row r="75" spans="5:6">
      <c r="E75" s="607"/>
      <c r="F75" s="607"/>
    </row>
    <row r="76" spans="5:6">
      <c r="E76" s="607"/>
      <c r="F76" s="607"/>
    </row>
    <row r="77" spans="5:6">
      <c r="E77" s="607"/>
      <c r="F77" s="607"/>
    </row>
    <row r="78" spans="5:6">
      <c r="E78" s="607"/>
      <c r="F78" s="607"/>
    </row>
    <row r="79" spans="5:6">
      <c r="E79" s="607"/>
      <c r="F79" s="607"/>
    </row>
    <row r="80" spans="5:6">
      <c r="E80" s="607"/>
      <c r="F80" s="607"/>
    </row>
    <row r="81" spans="5:6">
      <c r="E81" s="607"/>
      <c r="F81" s="607"/>
    </row>
    <row r="82" spans="5:6">
      <c r="E82" s="607"/>
      <c r="F82" s="607"/>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Diciembre 2021
INFSGI-MES-12-2021
21/02/2022
Versión: 02</oddHeader>
    <oddFooter>&amp;L&amp;7COES, 2021&amp;C26&amp;R&amp;7Dirección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82"/>
  <sheetViews>
    <sheetView showGridLines="0" view="pageBreakPreview" zoomScale="130" zoomScaleNormal="100" zoomScaleSheetLayoutView="130" zoomScalePageLayoutView="90" workbookViewId="0">
      <selection activeCell="F52" sqref="F52"/>
    </sheetView>
  </sheetViews>
  <sheetFormatPr baseColWidth="10" defaultColWidth="9.28515625" defaultRowHeight="9.6"/>
  <cols>
    <col min="1" max="1" width="16.140625" style="589" customWidth="1"/>
    <col min="2" max="2" width="19.7109375" style="589" customWidth="1"/>
    <col min="3" max="3" width="12.85546875" style="589" bestFit="1" customWidth="1"/>
    <col min="4" max="4" width="59.85546875" style="589" customWidth="1"/>
    <col min="5" max="5" width="11.7109375" style="589" customWidth="1"/>
    <col min="6" max="6" width="10.42578125" style="589" customWidth="1"/>
    <col min="7" max="8" width="9.28515625" style="589" customWidth="1"/>
    <col min="9" max="16384" width="9.28515625" style="589"/>
  </cols>
  <sheetData>
    <row r="1" spans="1:9" ht="11.25" customHeight="1">
      <c r="A1" s="587" t="s">
        <v>362</v>
      </c>
      <c r="B1" s="588"/>
      <c r="C1" s="588"/>
      <c r="D1" s="588"/>
      <c r="E1" s="588"/>
      <c r="F1" s="588"/>
    </row>
    <row r="2" spans="1:9" ht="30" customHeight="1">
      <c r="A2" s="590" t="s">
        <v>248</v>
      </c>
      <c r="B2" s="591" t="s">
        <v>363</v>
      </c>
      <c r="C2" s="590" t="s">
        <v>352</v>
      </c>
      <c r="D2" s="592" t="s">
        <v>364</v>
      </c>
      <c r="E2" s="593" t="s">
        <v>365</v>
      </c>
      <c r="F2" s="593" t="s">
        <v>366</v>
      </c>
      <c r="G2" s="594"/>
      <c r="H2" s="595"/>
      <c r="I2" s="596"/>
    </row>
    <row r="3" spans="1:9" ht="63.6" customHeight="1">
      <c r="A3" s="599" t="s">
        <v>761</v>
      </c>
      <c r="B3" s="599" t="s">
        <v>762</v>
      </c>
      <c r="C3" s="597">
        <v>44554.183333333334</v>
      </c>
      <c r="D3" s="598" t="s">
        <v>764</v>
      </c>
      <c r="E3" s="599">
        <v>26.94</v>
      </c>
      <c r="F3" s="599"/>
      <c r="G3" s="600"/>
      <c r="H3" s="600"/>
      <c r="I3" s="602"/>
    </row>
    <row r="4" spans="1:9" ht="48.6" customHeight="1">
      <c r="A4" s="599" t="s">
        <v>761</v>
      </c>
      <c r="B4" s="599" t="s">
        <v>765</v>
      </c>
      <c r="C4" s="597">
        <v>44555.609027777777</v>
      </c>
      <c r="D4" s="598" t="s">
        <v>766</v>
      </c>
      <c r="E4" s="599"/>
      <c r="F4" s="599">
        <v>45.44</v>
      </c>
      <c r="G4" s="600"/>
      <c r="H4" s="600"/>
      <c r="I4" s="603"/>
    </row>
    <row r="5" spans="1:9" ht="53.4" customHeight="1">
      <c r="A5" s="599" t="s">
        <v>767</v>
      </c>
      <c r="B5" s="599" t="s">
        <v>768</v>
      </c>
      <c r="C5" s="597">
        <v>44556.520138888889</v>
      </c>
      <c r="D5" s="598" t="s">
        <v>769</v>
      </c>
      <c r="E5" s="599">
        <v>6</v>
      </c>
      <c r="F5" s="599"/>
      <c r="G5" s="600"/>
      <c r="H5" s="600"/>
      <c r="I5" s="604"/>
    </row>
    <row r="6" spans="1:9" ht="55.2" customHeight="1">
      <c r="A6" s="599" t="s">
        <v>480</v>
      </c>
      <c r="B6" s="599" t="s">
        <v>770</v>
      </c>
      <c r="C6" s="597">
        <v>44557.604166666664</v>
      </c>
      <c r="D6" s="598" t="s">
        <v>771</v>
      </c>
      <c r="E6" s="599">
        <v>7.2</v>
      </c>
      <c r="F6" s="599"/>
      <c r="G6" s="600"/>
      <c r="H6" s="600"/>
      <c r="I6" s="603"/>
    </row>
    <row r="7" spans="1:9" ht="51.6" customHeight="1">
      <c r="A7" s="599" t="s">
        <v>772</v>
      </c>
      <c r="B7" s="599" t="s">
        <v>773</v>
      </c>
      <c r="C7" s="597">
        <v>44557.604166666664</v>
      </c>
      <c r="D7" s="598" t="s">
        <v>774</v>
      </c>
      <c r="E7" s="599">
        <v>7.2</v>
      </c>
      <c r="F7" s="599"/>
      <c r="G7" s="600"/>
      <c r="H7" s="600"/>
      <c r="I7" s="603"/>
    </row>
    <row r="8" spans="1:9" ht="62.4" customHeight="1">
      <c r="A8" s="599" t="s">
        <v>480</v>
      </c>
      <c r="B8" s="599" t="s">
        <v>720</v>
      </c>
      <c r="C8" s="597">
        <v>44558.643750000003</v>
      </c>
      <c r="D8" s="598" t="s">
        <v>775</v>
      </c>
      <c r="E8" s="599">
        <v>32.22</v>
      </c>
      <c r="F8" s="599"/>
      <c r="G8" s="600"/>
      <c r="H8" s="600"/>
      <c r="I8" s="603"/>
    </row>
    <row r="9" spans="1:9" ht="69.599999999999994" customHeight="1">
      <c r="A9" s="599" t="s">
        <v>660</v>
      </c>
      <c r="B9" s="599" t="s">
        <v>776</v>
      </c>
      <c r="C9" s="597">
        <v>44558.897222222222</v>
      </c>
      <c r="D9" s="598" t="s">
        <v>777</v>
      </c>
      <c r="E9" s="599">
        <v>28.89</v>
      </c>
      <c r="F9" s="599">
        <v>10.6</v>
      </c>
      <c r="G9" s="600"/>
      <c r="H9" s="600"/>
      <c r="I9" s="603"/>
    </row>
    <row r="10" spans="1:9" ht="126.6" customHeight="1">
      <c r="A10" s="599" t="s">
        <v>480</v>
      </c>
      <c r="B10" s="599" t="s">
        <v>663</v>
      </c>
      <c r="C10" s="597">
        <v>44559.137499999997</v>
      </c>
      <c r="D10" s="598" t="s">
        <v>778</v>
      </c>
      <c r="E10" s="599">
        <v>5.5</v>
      </c>
      <c r="F10" s="599"/>
    </row>
    <row r="11" spans="1:9" ht="55.8" customHeight="1">
      <c r="A11" s="599" t="s">
        <v>480</v>
      </c>
      <c r="B11" s="599" t="s">
        <v>779</v>
      </c>
      <c r="C11" s="597">
        <v>44559.694444444445</v>
      </c>
      <c r="D11" s="598" t="s">
        <v>780</v>
      </c>
      <c r="E11" s="599">
        <v>12.69</v>
      </c>
      <c r="F11" s="599"/>
    </row>
    <row r="12" spans="1:9" ht="49.8" customHeight="1">
      <c r="A12" s="599" t="s">
        <v>480</v>
      </c>
      <c r="B12" s="599" t="s">
        <v>779</v>
      </c>
      <c r="C12" s="597">
        <v>44559.791666666664</v>
      </c>
      <c r="D12" s="598" t="s">
        <v>781</v>
      </c>
      <c r="E12" s="599">
        <v>6.25</v>
      </c>
      <c r="F12" s="599"/>
    </row>
    <row r="13" spans="1:9" ht="47.4" customHeight="1">
      <c r="A13" s="599" t="s">
        <v>622</v>
      </c>
      <c r="B13" s="599" t="s">
        <v>644</v>
      </c>
      <c r="C13" s="597">
        <v>44560.579861111109</v>
      </c>
      <c r="D13" s="598" t="s">
        <v>782</v>
      </c>
      <c r="E13" s="599">
        <v>1.35</v>
      </c>
      <c r="F13" s="599"/>
    </row>
    <row r="14" spans="1:9" ht="46.8" customHeight="1">
      <c r="A14" s="599" t="s">
        <v>622</v>
      </c>
      <c r="B14" s="599" t="s">
        <v>623</v>
      </c>
      <c r="C14" s="597">
        <v>44560.640972222223</v>
      </c>
      <c r="D14" s="598" t="s">
        <v>783</v>
      </c>
      <c r="E14" s="599">
        <v>8.52</v>
      </c>
      <c r="F14" s="599"/>
    </row>
    <row r="15" spans="1:9" ht="49.2" customHeight="1">
      <c r="A15" s="599" t="s">
        <v>480</v>
      </c>
      <c r="B15" s="599" t="s">
        <v>784</v>
      </c>
      <c r="C15" s="597">
        <v>44560.866666666669</v>
      </c>
      <c r="D15" s="598" t="s">
        <v>785</v>
      </c>
      <c r="E15" s="599">
        <v>0.67</v>
      </c>
      <c r="F15" s="599"/>
    </row>
    <row r="16" spans="1:9">
      <c r="E16" s="607"/>
      <c r="F16" s="607"/>
    </row>
    <row r="17" spans="5:6">
      <c r="E17" s="607"/>
      <c r="F17" s="607"/>
    </row>
    <row r="18" spans="5:6">
      <c r="E18" s="607"/>
      <c r="F18" s="607"/>
    </row>
    <row r="19" spans="5:6">
      <c r="E19" s="607"/>
      <c r="F19" s="607"/>
    </row>
    <row r="20" spans="5:6">
      <c r="E20" s="607"/>
      <c r="F20" s="607"/>
    </row>
    <row r="21" spans="5:6">
      <c r="E21" s="607"/>
      <c r="F21" s="607"/>
    </row>
    <row r="22" spans="5:6">
      <c r="E22" s="607"/>
      <c r="F22" s="607"/>
    </row>
    <row r="23" spans="5:6">
      <c r="E23" s="607"/>
      <c r="F23" s="607"/>
    </row>
    <row r="24" spans="5:6">
      <c r="E24" s="607"/>
      <c r="F24" s="607"/>
    </row>
    <row r="25" spans="5:6">
      <c r="E25" s="607"/>
      <c r="F25" s="607"/>
    </row>
    <row r="26" spans="5:6">
      <c r="E26" s="607"/>
      <c r="F26" s="607"/>
    </row>
    <row r="27" spans="5:6">
      <c r="E27" s="607"/>
      <c r="F27" s="607"/>
    </row>
    <row r="28" spans="5:6">
      <c r="E28" s="607"/>
      <c r="F28" s="607"/>
    </row>
    <row r="29" spans="5:6">
      <c r="E29" s="607"/>
      <c r="F29" s="607"/>
    </row>
    <row r="30" spans="5:6">
      <c r="E30" s="607"/>
      <c r="F30" s="607"/>
    </row>
    <row r="31" spans="5:6">
      <c r="E31" s="607"/>
      <c r="F31" s="607"/>
    </row>
    <row r="32" spans="5:6">
      <c r="E32" s="607"/>
      <c r="F32" s="607"/>
    </row>
    <row r="33" spans="5:6">
      <c r="E33" s="607"/>
      <c r="F33" s="607"/>
    </row>
    <row r="34" spans="5:6">
      <c r="E34" s="607"/>
      <c r="F34" s="607"/>
    </row>
    <row r="35" spans="5:6">
      <c r="E35" s="607"/>
      <c r="F35" s="607"/>
    </row>
    <row r="36" spans="5:6">
      <c r="E36" s="607"/>
      <c r="F36" s="607"/>
    </row>
    <row r="37" spans="5:6">
      <c r="E37" s="607"/>
      <c r="F37" s="607"/>
    </row>
    <row r="38" spans="5:6">
      <c r="E38" s="607"/>
      <c r="F38" s="607"/>
    </row>
    <row r="39" spans="5:6">
      <c r="E39" s="607"/>
      <c r="F39" s="607"/>
    </row>
    <row r="40" spans="5:6">
      <c r="E40" s="607"/>
      <c r="F40" s="607"/>
    </row>
    <row r="41" spans="5:6">
      <c r="E41" s="607"/>
      <c r="F41" s="607"/>
    </row>
    <row r="42" spans="5:6">
      <c r="E42" s="607"/>
      <c r="F42" s="607"/>
    </row>
    <row r="43" spans="5:6">
      <c r="E43" s="607"/>
      <c r="F43" s="607"/>
    </row>
    <row r="44" spans="5:6">
      <c r="E44" s="607"/>
      <c r="F44" s="607"/>
    </row>
    <row r="45" spans="5:6">
      <c r="E45" s="607"/>
      <c r="F45" s="607"/>
    </row>
    <row r="46" spans="5:6">
      <c r="E46" s="607"/>
      <c r="F46" s="607"/>
    </row>
    <row r="47" spans="5:6">
      <c r="E47" s="607"/>
      <c r="F47" s="607"/>
    </row>
    <row r="48" spans="5:6">
      <c r="E48" s="607"/>
      <c r="F48" s="607"/>
    </row>
    <row r="49" spans="5:6">
      <c r="E49" s="607"/>
      <c r="F49" s="607"/>
    </row>
    <row r="50" spans="5:6">
      <c r="E50" s="607"/>
      <c r="F50" s="607"/>
    </row>
    <row r="51" spans="5:6">
      <c r="E51" s="607"/>
      <c r="F51" s="607"/>
    </row>
    <row r="52" spans="5:6">
      <c r="E52" s="607"/>
      <c r="F52" s="607"/>
    </row>
    <row r="53" spans="5:6">
      <c r="E53" s="607"/>
      <c r="F53" s="607"/>
    </row>
    <row r="54" spans="5:6">
      <c r="E54" s="607"/>
      <c r="F54" s="607"/>
    </row>
    <row r="55" spans="5:6">
      <c r="E55" s="607"/>
      <c r="F55" s="607"/>
    </row>
    <row r="56" spans="5:6">
      <c r="E56" s="607"/>
      <c r="F56" s="607"/>
    </row>
    <row r="57" spans="5:6">
      <c r="E57" s="607"/>
      <c r="F57" s="607"/>
    </row>
    <row r="58" spans="5:6">
      <c r="E58" s="607"/>
      <c r="F58" s="607"/>
    </row>
    <row r="59" spans="5:6">
      <c r="E59" s="607"/>
      <c r="F59" s="607"/>
    </row>
    <row r="60" spans="5:6">
      <c r="E60" s="607"/>
      <c r="F60" s="607"/>
    </row>
    <row r="61" spans="5:6">
      <c r="E61" s="607"/>
      <c r="F61" s="607"/>
    </row>
    <row r="62" spans="5:6">
      <c r="E62" s="607"/>
      <c r="F62" s="607"/>
    </row>
    <row r="63" spans="5:6">
      <c r="E63" s="607"/>
      <c r="F63" s="607"/>
    </row>
    <row r="64" spans="5:6">
      <c r="E64" s="607"/>
      <c r="F64" s="607"/>
    </row>
    <row r="65" spans="5:6">
      <c r="E65" s="607"/>
      <c r="F65" s="607"/>
    </row>
    <row r="66" spans="5:6">
      <c r="E66" s="607"/>
      <c r="F66" s="607"/>
    </row>
    <row r="67" spans="5:6">
      <c r="E67" s="607"/>
      <c r="F67" s="607"/>
    </row>
    <row r="68" spans="5:6">
      <c r="E68" s="607"/>
      <c r="F68" s="607"/>
    </row>
    <row r="69" spans="5:6">
      <c r="E69" s="607"/>
      <c r="F69" s="607"/>
    </row>
    <row r="70" spans="5:6">
      <c r="E70" s="607"/>
      <c r="F70" s="607"/>
    </row>
    <row r="71" spans="5:6">
      <c r="E71" s="607"/>
      <c r="F71" s="607"/>
    </row>
    <row r="72" spans="5:6">
      <c r="E72" s="607"/>
      <c r="F72" s="607"/>
    </row>
    <row r="73" spans="5:6">
      <c r="E73" s="607"/>
      <c r="F73" s="607"/>
    </row>
    <row r="74" spans="5:6">
      <c r="E74" s="607"/>
      <c r="F74" s="607"/>
    </row>
    <row r="75" spans="5:6">
      <c r="E75" s="607"/>
      <c r="F75" s="607"/>
    </row>
    <row r="76" spans="5:6">
      <c r="E76" s="607"/>
      <c r="F76" s="607"/>
    </row>
    <row r="77" spans="5:6">
      <c r="E77" s="607"/>
      <c r="F77" s="607"/>
    </row>
    <row r="78" spans="5:6">
      <c r="E78" s="607"/>
      <c r="F78" s="607"/>
    </row>
    <row r="79" spans="5:6">
      <c r="E79" s="607"/>
      <c r="F79" s="607"/>
    </row>
    <row r="80" spans="5:6">
      <c r="E80" s="607"/>
      <c r="F80" s="607"/>
    </row>
    <row r="81" spans="5:6">
      <c r="E81" s="607"/>
      <c r="F81" s="607"/>
    </row>
    <row r="82" spans="5:6">
      <c r="E82" s="607"/>
      <c r="F82" s="607"/>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Diciembre 2021
INFSGI-MES-12-2021
21/02/2022
Versión: 02</oddHeader>
    <oddFooter>&amp;L&amp;7COES, 2021&amp;C27&amp;R&amp;7Dirección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F52" sqref="F52"/>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7"/>
    <col min="15" max="16" width="10.140625" style="277" bestFit="1" customWidth="1"/>
    <col min="17" max="17" width="11.42578125" style="277" customWidth="1"/>
    <col min="18" max="18" width="9.28515625" style="277"/>
    <col min="19" max="22" width="9.28515625" style="754"/>
    <col min="23" max="23" width="9.28515625" style="297"/>
    <col min="24" max="16384" width="9.28515625" style="46"/>
  </cols>
  <sheetData>
    <row r="1" spans="1:17" ht="27.75" customHeight="1">
      <c r="A1" s="825" t="s">
        <v>22</v>
      </c>
      <c r="B1" s="825"/>
      <c r="C1" s="825"/>
      <c r="D1" s="825"/>
      <c r="E1" s="825"/>
      <c r="F1" s="825"/>
      <c r="G1" s="825"/>
      <c r="H1" s="825"/>
      <c r="I1" s="825"/>
      <c r="J1" s="825"/>
      <c r="K1" s="825"/>
      <c r="L1" s="825"/>
      <c r="M1" s="825"/>
      <c r="N1" s="767"/>
      <c r="O1" s="767"/>
      <c r="P1" s="767"/>
      <c r="Q1" s="767"/>
    </row>
    <row r="2" spans="1:17" ht="11.25" customHeight="1">
      <c r="A2" s="41"/>
      <c r="B2" s="40"/>
      <c r="C2" s="65"/>
      <c r="D2" s="65"/>
      <c r="E2" s="65"/>
      <c r="F2" s="65"/>
      <c r="G2" s="65"/>
      <c r="H2" s="65"/>
      <c r="I2" s="65"/>
      <c r="J2" s="65"/>
      <c r="K2" s="40"/>
      <c r="L2" s="40"/>
      <c r="M2" s="40"/>
      <c r="N2" s="767"/>
      <c r="O2" s="767"/>
      <c r="P2" s="767"/>
      <c r="Q2" s="767"/>
    </row>
    <row r="3" spans="1:17" ht="21.75" customHeight="1">
      <c r="A3" s="40"/>
      <c r="B3" s="42"/>
      <c r="C3" s="832" t="str">
        <f>+UPPER(Q4)&amp;" "&amp;Q5</f>
        <v>DICIEMBRE 2021</v>
      </c>
      <c r="D3" s="825"/>
      <c r="E3" s="825"/>
      <c r="F3" s="825"/>
      <c r="G3" s="825"/>
      <c r="H3" s="825"/>
      <c r="I3" s="825"/>
      <c r="J3" s="825"/>
      <c r="K3" s="40"/>
      <c r="L3" s="40"/>
      <c r="M3" s="40"/>
      <c r="N3" s="767"/>
      <c r="O3" s="767"/>
      <c r="P3" s="767"/>
      <c r="Q3" s="767"/>
    </row>
    <row r="4" spans="1:17" ht="11.25" customHeight="1">
      <c r="A4" s="40"/>
      <c r="B4" s="42"/>
      <c r="C4" s="40"/>
      <c r="D4" s="40"/>
      <c r="E4" s="40"/>
      <c r="F4" s="40"/>
      <c r="G4" s="40"/>
      <c r="H4" s="40"/>
      <c r="I4" s="40"/>
      <c r="J4" s="40"/>
      <c r="K4" s="40"/>
      <c r="L4" s="40"/>
      <c r="M4" s="40"/>
      <c r="N4" s="768"/>
      <c r="O4" s="768"/>
      <c r="P4" s="767" t="s">
        <v>210</v>
      </c>
      <c r="Q4" s="769" t="s">
        <v>665</v>
      </c>
    </row>
    <row r="5" spans="1:17" ht="11.25" customHeight="1">
      <c r="A5" s="47"/>
      <c r="B5" s="48"/>
      <c r="C5" s="49"/>
      <c r="D5" s="49"/>
      <c r="E5" s="49"/>
      <c r="F5" s="49"/>
      <c r="G5" s="49"/>
      <c r="H5" s="49"/>
      <c r="I5" s="49"/>
      <c r="J5" s="49"/>
      <c r="K5" s="49"/>
      <c r="L5" s="49"/>
      <c r="M5" s="40"/>
      <c r="N5" s="768"/>
      <c r="O5" s="768"/>
      <c r="P5" s="767" t="s">
        <v>211</v>
      </c>
      <c r="Q5" s="768">
        <v>2021</v>
      </c>
    </row>
    <row r="6" spans="1:17" ht="17.25" customHeight="1">
      <c r="A6" s="60" t="s">
        <v>397</v>
      </c>
      <c r="B6" s="40"/>
      <c r="C6" s="40"/>
      <c r="D6" s="40"/>
      <c r="E6" s="40"/>
      <c r="F6" s="40"/>
      <c r="G6" s="40"/>
      <c r="H6" s="40"/>
      <c r="I6" s="40"/>
      <c r="J6" s="40"/>
      <c r="K6" s="40"/>
      <c r="L6" s="40"/>
      <c r="M6" s="40"/>
      <c r="N6" s="767"/>
      <c r="O6" s="767"/>
      <c r="P6" s="767"/>
      <c r="Q6" s="770">
        <v>44531</v>
      </c>
    </row>
    <row r="7" spans="1:17" ht="11.25" customHeight="1">
      <c r="A7" s="40"/>
      <c r="B7" s="40"/>
      <c r="C7" s="40"/>
      <c r="D7" s="40"/>
      <c r="E7" s="40"/>
      <c r="F7" s="40"/>
      <c r="G7" s="40"/>
      <c r="H7" s="40"/>
      <c r="I7" s="40"/>
      <c r="J7" s="40"/>
      <c r="K7" s="40"/>
      <c r="L7" s="40"/>
      <c r="M7" s="40"/>
      <c r="N7" s="767"/>
      <c r="O7" s="767"/>
      <c r="P7" s="767"/>
      <c r="Q7" s="767">
        <v>31</v>
      </c>
    </row>
    <row r="8" spans="1:17" ht="11.25" customHeight="1">
      <c r="A8" s="43"/>
      <c r="B8" s="43"/>
      <c r="C8" s="43"/>
      <c r="D8" s="43"/>
      <c r="E8" s="43"/>
      <c r="F8" s="43"/>
      <c r="G8" s="43"/>
      <c r="H8" s="43"/>
      <c r="I8" s="43"/>
      <c r="J8" s="43"/>
      <c r="K8" s="43"/>
      <c r="L8" s="43"/>
      <c r="M8" s="43"/>
      <c r="N8" s="771"/>
      <c r="O8" s="771"/>
      <c r="P8" s="771"/>
      <c r="Q8" s="771"/>
    </row>
    <row r="9" spans="1:17" ht="14.25" customHeight="1">
      <c r="A9" s="40" t="str">
        <f>"1.1. Producción de energía eléctrica en "&amp;LOWER(Q4)&amp;" "&amp;Q5&amp;" en comparación al mismo mes del año anterior"</f>
        <v>1.1. Producción de energía eléctrica en diciembre 2021 en comparación al mismo mes del año anterior</v>
      </c>
      <c r="B9" s="40"/>
      <c r="C9" s="40"/>
      <c r="D9" s="40"/>
      <c r="E9" s="40"/>
      <c r="F9" s="40"/>
      <c r="G9" s="40"/>
      <c r="H9" s="40"/>
      <c r="I9" s="40"/>
      <c r="J9" s="40"/>
      <c r="K9" s="40"/>
      <c r="L9" s="40"/>
      <c r="M9" s="40"/>
      <c r="N9" s="767"/>
      <c r="O9" s="767"/>
      <c r="P9" s="767"/>
      <c r="Q9" s="767"/>
    </row>
    <row r="10" spans="1:17" ht="11.25" customHeight="1">
      <c r="A10" s="47"/>
      <c r="B10" s="44"/>
      <c r="C10" s="44"/>
      <c r="D10" s="44"/>
      <c r="E10" s="44"/>
      <c r="F10" s="44"/>
      <c r="G10" s="44"/>
      <c r="H10" s="44"/>
      <c r="I10" s="44"/>
      <c r="J10" s="44"/>
      <c r="K10" s="44"/>
      <c r="L10" s="44"/>
      <c r="M10" s="44"/>
      <c r="N10" s="768"/>
      <c r="O10" s="768"/>
      <c r="P10" s="768"/>
      <c r="Q10" s="768"/>
    </row>
    <row r="11" spans="1:17" ht="11.25" customHeight="1">
      <c r="A11" s="50"/>
      <c r="B11" s="50"/>
      <c r="C11" s="50"/>
      <c r="D11" s="50"/>
      <c r="E11" s="50"/>
      <c r="F11" s="50"/>
      <c r="G11" s="50"/>
      <c r="H11" s="50"/>
      <c r="I11" s="50"/>
      <c r="J11" s="50"/>
      <c r="K11" s="50"/>
      <c r="L11" s="50"/>
      <c r="M11" s="50"/>
      <c r="N11" s="772"/>
      <c r="O11" s="772"/>
      <c r="P11" s="772"/>
      <c r="Q11" s="772"/>
    </row>
    <row r="12" spans="1:17" ht="27" customHeight="1">
      <c r="A12" s="62" t="s">
        <v>23</v>
      </c>
      <c r="B12" s="831" t="s">
        <v>789</v>
      </c>
      <c r="C12" s="831"/>
      <c r="D12" s="831"/>
      <c r="E12" s="831"/>
      <c r="F12" s="831"/>
      <c r="G12" s="831"/>
      <c r="H12" s="831"/>
      <c r="I12" s="831"/>
      <c r="J12" s="831"/>
      <c r="K12" s="831"/>
      <c r="L12" s="831"/>
      <c r="M12" s="831"/>
      <c r="N12" s="768"/>
      <c r="O12" s="768"/>
      <c r="P12" s="768"/>
      <c r="Q12" s="768"/>
    </row>
    <row r="13" spans="1:17" ht="12.75" customHeight="1">
      <c r="A13" s="40"/>
      <c r="B13" s="64"/>
      <c r="C13" s="64"/>
      <c r="D13" s="64"/>
      <c r="E13" s="64"/>
      <c r="F13" s="64"/>
      <c r="G13" s="64"/>
      <c r="H13" s="64"/>
      <c r="I13" s="64"/>
      <c r="J13" s="64"/>
      <c r="K13" s="64"/>
      <c r="L13" s="64"/>
      <c r="M13" s="44"/>
      <c r="N13" s="768"/>
      <c r="O13" s="768"/>
      <c r="P13" s="768"/>
      <c r="Q13" s="768"/>
    </row>
    <row r="14" spans="1:17" ht="28.5" customHeight="1">
      <c r="A14" s="62" t="s">
        <v>23</v>
      </c>
      <c r="B14" s="831" t="s">
        <v>790</v>
      </c>
      <c r="C14" s="831"/>
      <c r="D14" s="831"/>
      <c r="E14" s="831"/>
      <c r="F14" s="831"/>
      <c r="G14" s="831"/>
      <c r="H14" s="831"/>
      <c r="I14" s="831"/>
      <c r="J14" s="831"/>
      <c r="K14" s="831"/>
      <c r="L14" s="831"/>
      <c r="M14" s="831"/>
      <c r="N14" s="768"/>
      <c r="O14" s="768"/>
      <c r="P14" s="768"/>
      <c r="Q14" s="768"/>
    </row>
    <row r="15" spans="1:17" ht="15" customHeight="1">
      <c r="A15" s="63"/>
      <c r="B15" s="64"/>
      <c r="C15" s="64"/>
      <c r="D15" s="64"/>
      <c r="E15" s="64"/>
      <c r="F15" s="64"/>
      <c r="G15" s="64"/>
      <c r="H15" s="64"/>
      <c r="I15" s="64"/>
      <c r="J15" s="64"/>
      <c r="K15" s="64"/>
      <c r="L15" s="64"/>
      <c r="M15" s="44"/>
      <c r="N15" s="768"/>
      <c r="O15" s="768"/>
      <c r="P15" s="768"/>
      <c r="Q15" s="768"/>
    </row>
    <row r="16" spans="1:17" ht="59.25" customHeight="1">
      <c r="A16" s="62" t="s">
        <v>23</v>
      </c>
      <c r="B16" s="831" t="s">
        <v>791</v>
      </c>
      <c r="C16" s="831"/>
      <c r="D16" s="831"/>
      <c r="E16" s="831"/>
      <c r="F16" s="831"/>
      <c r="G16" s="831"/>
      <c r="H16" s="831"/>
      <c r="I16" s="831"/>
      <c r="J16" s="831"/>
      <c r="K16" s="831"/>
      <c r="L16" s="831"/>
      <c r="M16" s="831"/>
      <c r="N16" s="768"/>
      <c r="O16" s="768"/>
      <c r="P16" s="768"/>
      <c r="Q16" s="768"/>
    </row>
    <row r="17" spans="1:18" ht="17.25" customHeight="1">
      <c r="A17" s="44"/>
      <c r="B17" s="44"/>
      <c r="C17" s="44"/>
      <c r="D17" s="44"/>
      <c r="E17" s="44"/>
      <c r="F17" s="44"/>
      <c r="G17" s="44"/>
      <c r="H17" s="44"/>
      <c r="I17" s="44"/>
      <c r="J17" s="44"/>
      <c r="K17" s="44"/>
      <c r="L17" s="44"/>
      <c r="M17" s="44"/>
      <c r="N17" s="768"/>
      <c r="O17" s="768"/>
      <c r="P17" s="768"/>
      <c r="Q17" s="768"/>
    </row>
    <row r="18" spans="1:18" ht="25.5" customHeight="1">
      <c r="A18" s="61" t="s">
        <v>23</v>
      </c>
      <c r="B18" s="830" t="s">
        <v>666</v>
      </c>
      <c r="C18" s="830"/>
      <c r="D18" s="830"/>
      <c r="E18" s="830"/>
      <c r="F18" s="830"/>
      <c r="G18" s="830"/>
      <c r="H18" s="830"/>
      <c r="I18" s="830"/>
      <c r="J18" s="830"/>
      <c r="K18" s="830"/>
      <c r="L18" s="830"/>
      <c r="M18" s="830"/>
      <c r="N18" s="768"/>
      <c r="O18" s="768"/>
      <c r="P18" s="768"/>
      <c r="Q18" s="768"/>
    </row>
    <row r="19" spans="1:18" ht="11.25" customHeight="1">
      <c r="A19" s="44"/>
      <c r="B19" s="44"/>
      <c r="C19" s="44"/>
      <c r="D19" s="44"/>
      <c r="E19" s="44"/>
      <c r="F19" s="44"/>
      <c r="G19" s="44"/>
      <c r="H19" s="44"/>
      <c r="I19" s="44"/>
      <c r="J19" s="44"/>
      <c r="K19" s="44"/>
      <c r="L19" s="44"/>
      <c r="M19" s="44"/>
      <c r="N19" s="768"/>
      <c r="O19" s="768"/>
      <c r="P19" s="768"/>
      <c r="Q19" s="768"/>
    </row>
    <row r="20" spans="1:18" ht="15.75" customHeight="1">
      <c r="A20" s="44"/>
      <c r="B20" s="44"/>
      <c r="C20" s="829" t="str">
        <f>+UPPER(Q4)&amp;" "&amp;Q5</f>
        <v>DICIEMBRE 2021</v>
      </c>
      <c r="D20" s="829"/>
      <c r="E20" s="829"/>
      <c r="F20" s="40"/>
      <c r="G20" s="40"/>
      <c r="H20" s="40"/>
      <c r="I20" s="829" t="str">
        <f>+UPPER(Q4)&amp;" "&amp;Q5-1</f>
        <v>DICIEMBRE 2020</v>
      </c>
      <c r="J20" s="829"/>
      <c r="K20" s="829"/>
      <c r="L20" s="44"/>
      <c r="M20" s="44"/>
      <c r="Q20" s="768"/>
    </row>
    <row r="21" spans="1:18" ht="11.25" customHeight="1">
      <c r="A21" s="44"/>
      <c r="B21" s="44"/>
      <c r="C21" s="44"/>
      <c r="D21" s="44"/>
      <c r="E21" s="44"/>
      <c r="F21" s="44"/>
      <c r="G21" s="44"/>
      <c r="H21" s="44"/>
      <c r="I21" s="44"/>
      <c r="J21" s="44"/>
      <c r="K21" s="44"/>
      <c r="L21" s="44"/>
      <c r="M21" s="44"/>
      <c r="Q21" s="768"/>
    </row>
    <row r="22" spans="1:18" ht="11.25" customHeight="1">
      <c r="A22" s="51"/>
      <c r="B22" s="52"/>
      <c r="C22" s="52"/>
      <c r="D22" s="52"/>
      <c r="E22" s="52"/>
      <c r="F22" s="52"/>
      <c r="G22" s="52"/>
      <c r="H22" s="52"/>
      <c r="I22" s="52"/>
      <c r="J22" s="52"/>
      <c r="K22" s="52"/>
      <c r="L22" s="52"/>
      <c r="M22" s="52"/>
      <c r="N22" s="773" t="s">
        <v>31</v>
      </c>
      <c r="O22" s="774"/>
      <c r="P22" s="774"/>
    </row>
    <row r="23" spans="1:18" ht="11.25" customHeight="1">
      <c r="A23" s="51"/>
      <c r="B23" s="52"/>
      <c r="C23" s="52"/>
      <c r="D23" s="52"/>
      <c r="E23" s="52"/>
      <c r="F23" s="52"/>
      <c r="G23" s="52"/>
      <c r="H23" s="52"/>
      <c r="I23" s="52"/>
      <c r="J23" s="52"/>
      <c r="K23" s="52"/>
      <c r="L23" s="52"/>
      <c r="M23" s="52"/>
      <c r="N23" s="773" t="s">
        <v>24</v>
      </c>
      <c r="O23" s="775">
        <v>2942.2881527525005</v>
      </c>
      <c r="P23" s="775">
        <v>2747.8717605600013</v>
      </c>
      <c r="Q23" s="776"/>
    </row>
    <row r="24" spans="1:18" ht="11.25" customHeight="1">
      <c r="A24" s="44"/>
      <c r="B24" s="44"/>
      <c r="C24" s="44"/>
      <c r="D24" s="44"/>
      <c r="E24" s="43"/>
      <c r="F24" s="44"/>
      <c r="G24" s="44"/>
      <c r="H24" s="44"/>
      <c r="I24" s="44"/>
      <c r="J24" s="44"/>
      <c r="K24" s="44"/>
      <c r="L24" s="44"/>
      <c r="M24" s="43"/>
      <c r="N24" s="776" t="s">
        <v>25</v>
      </c>
      <c r="O24" s="777">
        <v>1491.1456843575002</v>
      </c>
      <c r="P24" s="777">
        <v>1578.4128581125003</v>
      </c>
      <c r="Q24" s="778"/>
      <c r="R24" s="778"/>
    </row>
    <row r="25" spans="1:18" ht="11.25" customHeight="1">
      <c r="A25" s="44"/>
      <c r="B25" s="44"/>
      <c r="C25" s="44"/>
      <c r="D25" s="44"/>
      <c r="E25" s="44"/>
      <c r="F25" s="44"/>
      <c r="G25" s="44"/>
      <c r="H25" s="44"/>
      <c r="I25" s="44"/>
      <c r="J25" s="53"/>
      <c r="K25" s="53"/>
      <c r="L25" s="44"/>
      <c r="M25" s="44"/>
      <c r="N25" s="776" t="s">
        <v>26</v>
      </c>
      <c r="O25" s="777">
        <v>5.8992881600000002</v>
      </c>
      <c r="P25" s="777">
        <v>0</v>
      </c>
      <c r="Q25" s="773"/>
    </row>
    <row r="26" spans="1:18" ht="11.25" customHeight="1">
      <c r="A26" s="44"/>
      <c r="B26" s="44"/>
      <c r="C26" s="44"/>
      <c r="D26" s="44"/>
      <c r="E26" s="44"/>
      <c r="F26" s="44"/>
      <c r="G26" s="44"/>
      <c r="H26" s="44"/>
      <c r="I26" s="44"/>
      <c r="J26" s="53"/>
      <c r="K26" s="53"/>
      <c r="L26" s="44"/>
      <c r="M26" s="44"/>
      <c r="N26" s="773" t="s">
        <v>27</v>
      </c>
      <c r="O26" s="775">
        <v>1.4685850899999999</v>
      </c>
      <c r="P26" s="775">
        <v>3.0961315425000002</v>
      </c>
      <c r="Q26" s="773"/>
    </row>
    <row r="27" spans="1:18" ht="11.25" customHeight="1">
      <c r="A27" s="44"/>
      <c r="B27" s="44"/>
      <c r="C27" s="44"/>
      <c r="D27" s="44"/>
      <c r="E27" s="44"/>
      <c r="F27" s="44"/>
      <c r="G27" s="44"/>
      <c r="H27" s="44"/>
      <c r="I27" s="44"/>
      <c r="J27" s="53"/>
      <c r="K27" s="44"/>
      <c r="L27" s="44"/>
      <c r="M27" s="44"/>
      <c r="N27" s="773" t="s">
        <v>28</v>
      </c>
      <c r="O27" s="775">
        <v>28.574972872500002</v>
      </c>
      <c r="P27" s="775">
        <v>32.999778742500006</v>
      </c>
      <c r="Q27" s="773"/>
    </row>
    <row r="28" spans="1:18" ht="11.25" customHeight="1">
      <c r="A28" s="44"/>
      <c r="B28" s="44"/>
      <c r="C28" s="53"/>
      <c r="D28" s="53"/>
      <c r="E28" s="53"/>
      <c r="F28" s="53"/>
      <c r="G28" s="53"/>
      <c r="H28" s="53"/>
      <c r="I28" s="53"/>
      <c r="J28" s="53"/>
      <c r="K28" s="53"/>
      <c r="L28" s="44"/>
      <c r="M28" s="44"/>
      <c r="N28" s="773" t="s">
        <v>29</v>
      </c>
      <c r="O28" s="775">
        <v>144.32565196250002</v>
      </c>
      <c r="P28" s="775">
        <v>147.22592473</v>
      </c>
      <c r="Q28" s="773"/>
    </row>
    <row r="29" spans="1:18" ht="11.25" customHeight="1">
      <c r="A29" s="44"/>
      <c r="B29" s="44"/>
      <c r="C29" s="53"/>
      <c r="D29" s="53"/>
      <c r="E29" s="53"/>
      <c r="F29" s="53"/>
      <c r="G29" s="53"/>
      <c r="H29" s="53"/>
      <c r="I29" s="53"/>
      <c r="J29" s="53"/>
      <c r="K29" s="53"/>
      <c r="L29" s="44"/>
      <c r="M29" s="44"/>
      <c r="N29" s="773" t="s">
        <v>30</v>
      </c>
      <c r="O29" s="775">
        <v>73.559578087499986</v>
      </c>
      <c r="P29" s="775">
        <v>73.650183339999998</v>
      </c>
      <c r="Q29" s="773"/>
    </row>
    <row r="30" spans="1:18" ht="11.25" customHeight="1">
      <c r="A30" s="44"/>
      <c r="B30" s="44"/>
      <c r="C30" s="53"/>
      <c r="D30" s="53"/>
      <c r="E30" s="53"/>
      <c r="F30" s="53"/>
      <c r="G30" s="53"/>
      <c r="H30" s="53"/>
      <c r="I30" s="53"/>
      <c r="J30" s="53"/>
      <c r="K30" s="53"/>
      <c r="L30" s="44"/>
      <c r="M30" s="44"/>
      <c r="N30" s="773"/>
      <c r="O30" s="773"/>
      <c r="P30" s="773"/>
      <c r="Q30" s="773"/>
    </row>
    <row r="31" spans="1:18" ht="11.25" customHeight="1">
      <c r="A31" s="44"/>
      <c r="B31" s="44"/>
      <c r="C31" s="53"/>
      <c r="D31" s="53"/>
      <c r="E31" s="53"/>
      <c r="F31" s="53"/>
      <c r="G31" s="53"/>
      <c r="H31" s="53"/>
      <c r="I31" s="53"/>
      <c r="J31" s="53"/>
      <c r="K31" s="53"/>
      <c r="L31" s="44"/>
      <c r="M31" s="44"/>
      <c r="O31" s="686"/>
      <c r="P31" s="686"/>
      <c r="Q31" s="779"/>
    </row>
    <row r="32" spans="1:18" ht="11.25" customHeight="1">
      <c r="A32" s="44"/>
      <c r="B32" s="44"/>
      <c r="C32" s="53"/>
      <c r="D32" s="53"/>
      <c r="E32" s="53"/>
      <c r="F32" s="53"/>
      <c r="G32" s="53"/>
      <c r="H32" s="53"/>
      <c r="I32" s="53"/>
      <c r="J32" s="53"/>
      <c r="K32" s="53"/>
      <c r="L32" s="44"/>
      <c r="M32" s="44"/>
      <c r="Q32" s="768"/>
    </row>
    <row r="33" spans="1:17" ht="11.25" customHeight="1">
      <c r="A33" s="44"/>
      <c r="B33" s="44"/>
      <c r="C33" s="53"/>
      <c r="D33" s="53"/>
      <c r="E33" s="53"/>
      <c r="F33" s="53"/>
      <c r="G33" s="53"/>
      <c r="H33" s="53"/>
      <c r="I33" s="53"/>
      <c r="J33" s="53"/>
      <c r="K33" s="53"/>
      <c r="L33" s="44"/>
      <c r="M33" s="44"/>
      <c r="Q33" s="768"/>
    </row>
    <row r="34" spans="1:17" ht="11.25" customHeight="1">
      <c r="A34" s="44"/>
      <c r="B34" s="44"/>
      <c r="C34" s="53"/>
      <c r="D34" s="53"/>
      <c r="E34" s="53"/>
      <c r="F34" s="53"/>
      <c r="G34" s="53"/>
      <c r="H34" s="53"/>
      <c r="I34" s="53"/>
      <c r="J34" s="53"/>
      <c r="K34" s="53"/>
      <c r="L34" s="44"/>
      <c r="M34" s="44"/>
      <c r="Q34" s="768"/>
    </row>
    <row r="35" spans="1:17" ht="11.25" customHeight="1">
      <c r="A35" s="54"/>
      <c r="B35" s="54"/>
      <c r="C35" s="55"/>
      <c r="D35" s="55"/>
      <c r="E35" s="55"/>
      <c r="F35" s="55"/>
      <c r="G35" s="55"/>
      <c r="H35" s="55"/>
      <c r="I35" s="55"/>
      <c r="J35" s="54"/>
      <c r="K35" s="54"/>
      <c r="L35" s="54"/>
      <c r="M35" s="54"/>
      <c r="Q35" s="768"/>
    </row>
    <row r="36" spans="1:17" ht="11.25" customHeight="1">
      <c r="A36" s="54"/>
      <c r="B36" s="54"/>
      <c r="C36" s="55"/>
      <c r="D36" s="55"/>
      <c r="E36" s="55"/>
      <c r="F36" s="55"/>
      <c r="G36" s="55"/>
      <c r="H36" s="55"/>
      <c r="I36" s="55"/>
      <c r="J36" s="54"/>
      <c r="K36" s="54"/>
      <c r="L36" s="54"/>
      <c r="M36" s="54"/>
      <c r="Q36" s="768"/>
    </row>
    <row r="37" spans="1:17" ht="11.25" customHeight="1">
      <c r="A37" s="54"/>
      <c r="B37" s="54"/>
      <c r="C37" s="55"/>
      <c r="D37" s="55"/>
      <c r="E37" s="55"/>
      <c r="F37" s="55"/>
      <c r="G37" s="55"/>
      <c r="H37" s="55"/>
      <c r="I37" s="55"/>
      <c r="J37" s="54"/>
      <c r="K37" s="54"/>
      <c r="L37" s="54"/>
      <c r="M37" s="54"/>
      <c r="N37" s="768"/>
      <c r="O37" s="768"/>
      <c r="P37" s="768"/>
      <c r="Q37" s="768"/>
    </row>
    <row r="38" spans="1:17" ht="11.25" customHeight="1">
      <c r="A38" s="54"/>
      <c r="B38" s="54"/>
      <c r="C38" s="55"/>
      <c r="D38" s="55"/>
      <c r="E38" s="55"/>
      <c r="F38" s="55"/>
      <c r="G38" s="55"/>
      <c r="H38" s="55"/>
      <c r="I38" s="55"/>
      <c r="J38" s="54"/>
      <c r="K38" s="54"/>
      <c r="L38" s="54"/>
      <c r="M38" s="54"/>
      <c r="N38" s="768"/>
      <c r="O38" s="768"/>
      <c r="P38" s="768"/>
      <c r="Q38" s="768"/>
    </row>
    <row r="39" spans="1:17" ht="11.25" customHeight="1">
      <c r="A39" s="54"/>
      <c r="B39" s="54"/>
      <c r="C39" s="55"/>
      <c r="D39" s="55"/>
      <c r="E39" s="55"/>
      <c r="F39" s="55"/>
      <c r="G39" s="55"/>
      <c r="H39" s="55"/>
      <c r="I39" s="55"/>
      <c r="J39" s="54"/>
      <c r="K39" s="54"/>
      <c r="L39" s="54"/>
      <c r="M39" s="54"/>
      <c r="N39" s="768"/>
      <c r="O39" s="768"/>
      <c r="P39" s="768"/>
      <c r="Q39" s="768"/>
    </row>
    <row r="40" spans="1:17" ht="11.25" customHeight="1">
      <c r="A40" s="54"/>
      <c r="B40" s="54"/>
      <c r="C40" s="55"/>
      <c r="D40" s="55"/>
      <c r="E40" s="55"/>
      <c r="F40" s="55"/>
      <c r="G40" s="55"/>
      <c r="H40" s="55"/>
      <c r="I40" s="55"/>
      <c r="J40" s="54"/>
      <c r="K40" s="54"/>
      <c r="L40" s="54"/>
      <c r="M40" s="54"/>
      <c r="N40" s="768"/>
      <c r="O40" s="768"/>
      <c r="P40" s="768"/>
      <c r="Q40" s="768"/>
    </row>
    <row r="41" spans="1:17" ht="11.25" customHeight="1">
      <c r="A41" s="54"/>
      <c r="B41" s="54"/>
      <c r="C41" s="54"/>
      <c r="D41" s="55"/>
      <c r="E41" s="55"/>
      <c r="F41" s="55"/>
      <c r="G41" s="55"/>
      <c r="H41" s="54"/>
      <c r="I41" s="54"/>
      <c r="J41" s="54"/>
      <c r="K41" s="54"/>
      <c r="L41" s="54"/>
      <c r="M41" s="54"/>
      <c r="N41" s="768"/>
      <c r="O41" s="768"/>
      <c r="P41" s="768"/>
      <c r="Q41" s="768"/>
    </row>
    <row r="42" spans="1:17" ht="11.25" customHeight="1">
      <c r="A42" s="54"/>
      <c r="B42" s="54"/>
      <c r="C42" s="55"/>
      <c r="D42" s="55"/>
      <c r="E42" s="55"/>
      <c r="F42" s="55"/>
      <c r="G42" s="55"/>
      <c r="H42" s="55"/>
      <c r="I42" s="55"/>
      <c r="J42" s="54"/>
      <c r="K42" s="54"/>
      <c r="L42" s="54"/>
      <c r="M42" s="54"/>
      <c r="N42" s="768"/>
      <c r="O42" s="768"/>
      <c r="P42" s="768"/>
      <c r="Q42" s="768"/>
    </row>
    <row r="43" spans="1:17" ht="11.25" customHeight="1">
      <c r="A43" s="54"/>
      <c r="B43" s="54"/>
      <c r="C43" s="55"/>
      <c r="D43" s="55"/>
      <c r="E43" s="55"/>
      <c r="F43" s="55"/>
      <c r="G43" s="55"/>
      <c r="H43" s="55"/>
      <c r="I43" s="55"/>
      <c r="J43" s="54"/>
      <c r="K43" s="54"/>
      <c r="L43" s="54"/>
      <c r="M43" s="54"/>
      <c r="N43" s="768"/>
      <c r="O43" s="768"/>
      <c r="P43" s="768"/>
      <c r="Q43" s="768"/>
    </row>
    <row r="44" spans="1:17" ht="11.25" customHeight="1">
      <c r="A44" s="54"/>
      <c r="B44" s="54"/>
      <c r="C44" s="55"/>
      <c r="D44" s="55"/>
      <c r="E44" s="55"/>
      <c r="F44" s="55"/>
      <c r="G44" s="55"/>
      <c r="H44" s="55"/>
      <c r="I44" s="55"/>
      <c r="J44" s="54"/>
      <c r="K44" s="54"/>
      <c r="L44" s="54"/>
      <c r="M44" s="54"/>
      <c r="N44" s="768"/>
      <c r="O44" s="768"/>
      <c r="P44" s="768"/>
      <c r="Q44" s="768"/>
    </row>
    <row r="45" spans="1:17" ht="11.25" customHeight="1">
      <c r="A45" s="54"/>
      <c r="B45" s="54"/>
      <c r="C45" s="55"/>
      <c r="D45" s="55"/>
      <c r="E45" s="55"/>
      <c r="F45" s="55"/>
      <c r="G45" s="55"/>
      <c r="H45" s="55"/>
      <c r="I45" s="55"/>
      <c r="J45" s="54"/>
      <c r="K45" s="54"/>
      <c r="L45" s="54"/>
      <c r="M45" s="54"/>
      <c r="N45" s="768"/>
      <c r="O45" s="768"/>
      <c r="P45" s="768"/>
      <c r="Q45" s="768"/>
    </row>
    <row r="46" spans="1:17" ht="11.25" customHeight="1">
      <c r="A46" s="54"/>
      <c r="B46" s="54"/>
      <c r="C46" s="54"/>
      <c r="D46" s="54"/>
      <c r="E46" s="54"/>
      <c r="F46" s="54"/>
      <c r="G46" s="54"/>
      <c r="H46" s="54"/>
      <c r="I46" s="54"/>
      <c r="J46" s="54"/>
      <c r="K46" s="54"/>
      <c r="L46" s="54"/>
      <c r="M46" s="54"/>
      <c r="N46" s="768"/>
      <c r="O46" s="768"/>
      <c r="P46" s="768"/>
      <c r="Q46" s="768"/>
    </row>
    <row r="47" spans="1:17" ht="16.5" customHeight="1">
      <c r="A47" s="54"/>
      <c r="B47" s="828" t="str">
        <f>"Total = "&amp;TEXT(ROUND(SUM(O23:O29),2),"0 000,00")&amp;" GWh"</f>
        <v>Total = 4 687,26 GWh</v>
      </c>
      <c r="C47" s="828"/>
      <c r="D47" s="828"/>
      <c r="E47" s="828"/>
      <c r="F47" s="54"/>
      <c r="G47" s="54"/>
      <c r="H47" s="827" t="str">
        <f>"Total = "&amp;TEXT(ROUND(SUM(P23:P29),2),"0 000,00")&amp;" GWh"</f>
        <v>Total = 4 583,26 GWh</v>
      </c>
      <c r="I47" s="827"/>
      <c r="J47" s="827"/>
      <c r="K47" s="827"/>
      <c r="L47" s="54"/>
      <c r="M47" s="54"/>
      <c r="N47" s="768"/>
      <c r="O47" s="768"/>
      <c r="P47" s="768"/>
      <c r="Q47" s="768"/>
    </row>
    <row r="48" spans="1:17" ht="11.25" customHeight="1">
      <c r="H48" s="54"/>
      <c r="I48" s="54"/>
      <c r="J48" s="54"/>
      <c r="K48" s="54"/>
      <c r="L48" s="54"/>
      <c r="M48" s="54"/>
      <c r="N48" s="768"/>
      <c r="O48" s="768"/>
      <c r="P48" s="768"/>
      <c r="Q48" s="768"/>
    </row>
    <row r="49" spans="1:17" ht="11.25" customHeight="1">
      <c r="B49" s="826" t="str">
        <f>"Gráfico 1: Comparación de producción mensual de electricidad en "&amp;Q4&amp;" por tipo de recurso energético."</f>
        <v>Gráfico 1: Comparación de producción mensual de electricidad en diciembre por tipo de recurso energético.</v>
      </c>
      <c r="C49" s="826"/>
      <c r="D49" s="826"/>
      <c r="E49" s="826"/>
      <c r="F49" s="826"/>
      <c r="G49" s="826"/>
      <c r="H49" s="826"/>
      <c r="I49" s="826"/>
      <c r="J49" s="826"/>
      <c r="K49" s="826"/>
      <c r="L49" s="826"/>
      <c r="M49" s="228"/>
      <c r="N49" s="780"/>
      <c r="O49" s="768"/>
      <c r="P49" s="768"/>
      <c r="Q49" s="768"/>
    </row>
    <row r="50" spans="1:17" ht="11.25" customHeight="1">
      <c r="B50" s="586"/>
      <c r="C50" s="586"/>
      <c r="D50" s="586"/>
      <c r="E50" s="586"/>
      <c r="F50" s="586"/>
      <c r="G50" s="586"/>
      <c r="H50" s="586"/>
      <c r="I50" s="586"/>
      <c r="J50" s="586"/>
      <c r="K50" s="586"/>
      <c r="L50" s="586"/>
      <c r="M50" s="228"/>
      <c r="N50" s="780"/>
      <c r="O50" s="768"/>
      <c r="P50" s="768"/>
      <c r="Q50" s="768"/>
    </row>
    <row r="51" spans="1:17" ht="21.75" customHeight="1">
      <c r="B51" s="823"/>
      <c r="C51" s="824"/>
      <c r="D51" s="824"/>
      <c r="E51" s="824"/>
      <c r="F51" s="824"/>
      <c r="G51" s="824"/>
      <c r="H51" s="824"/>
      <c r="I51" s="824"/>
      <c r="J51" s="824"/>
      <c r="K51" s="824"/>
      <c r="L51" s="824"/>
      <c r="M51" s="824"/>
      <c r="N51" s="780"/>
      <c r="O51" s="768"/>
      <c r="P51" s="768"/>
      <c r="Q51" s="768"/>
    </row>
    <row r="52" spans="1:17" ht="11.25" customHeight="1">
      <c r="A52" s="54"/>
      <c r="B52" s="54"/>
      <c r="C52" s="45"/>
      <c r="D52" s="45"/>
      <c r="E52" s="54"/>
      <c r="F52" s="54"/>
      <c r="G52" s="54"/>
      <c r="H52" s="54"/>
      <c r="I52" s="54"/>
      <c r="J52" s="54"/>
      <c r="K52" s="54"/>
      <c r="L52" s="54"/>
      <c r="M52" s="54"/>
      <c r="N52" s="768"/>
      <c r="O52" s="768"/>
      <c r="P52" s="768"/>
      <c r="Q52" s="768"/>
    </row>
    <row r="53" spans="1:17" ht="11.25" customHeight="1">
      <c r="A53" s="54"/>
      <c r="B53" s="54"/>
      <c r="C53" s="54"/>
      <c r="D53" s="54"/>
      <c r="E53" s="54"/>
      <c r="F53" s="54"/>
      <c r="G53" s="54"/>
      <c r="H53" s="54"/>
      <c r="I53" s="54"/>
      <c r="J53" s="54"/>
      <c r="K53" s="54"/>
      <c r="L53" s="54"/>
      <c r="M53" s="54"/>
      <c r="N53" s="768"/>
      <c r="O53" s="768"/>
      <c r="P53" s="768"/>
      <c r="Q53" s="768"/>
    </row>
    <row r="54" spans="1:17" ht="11.25" customHeight="1">
      <c r="A54" s="54"/>
      <c r="B54" s="54"/>
      <c r="C54" s="54"/>
      <c r="D54" s="54"/>
      <c r="E54" s="54"/>
      <c r="F54" s="54"/>
      <c r="G54" s="54"/>
      <c r="H54" s="54"/>
      <c r="I54" s="54"/>
      <c r="J54" s="54"/>
      <c r="K54" s="54"/>
      <c r="L54" s="54"/>
      <c r="M54" s="54"/>
      <c r="N54" s="768"/>
      <c r="O54" s="768"/>
      <c r="P54" s="768"/>
      <c r="Q54" s="768"/>
    </row>
    <row r="55" spans="1:17" ht="11.25" customHeight="1">
      <c r="A55" s="54"/>
      <c r="B55" s="54"/>
      <c r="C55" s="54"/>
      <c r="D55" s="54"/>
      <c r="E55" s="54"/>
      <c r="F55" s="54"/>
      <c r="G55" s="54"/>
      <c r="H55" s="54"/>
      <c r="I55" s="54"/>
      <c r="J55" s="54"/>
      <c r="K55" s="54"/>
      <c r="L55" s="54"/>
      <c r="M55" s="54"/>
      <c r="N55" s="768"/>
      <c r="O55" s="768"/>
      <c r="P55" s="768"/>
      <c r="Q55" s="76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Diciembre 2021
INFSGI-MES-12-2021
21/02/2022
Versión: 02</oddHeader>
    <oddFooter>&amp;LCOES, 2021&amp;C1&amp;RDirección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F52" sqref="F52"/>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9"/>
  <sheetViews>
    <sheetView showGridLines="0" view="pageBreakPreview" topLeftCell="A21" zoomScale="115" zoomScaleNormal="100" zoomScaleSheetLayoutView="115" workbookViewId="0">
      <selection activeCell="E29" sqref="E29"/>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54"/>
    <col min="12" max="12" width="18.7109375" style="277" bestFit="1" customWidth="1"/>
    <col min="13" max="14" width="9.28515625" style="277"/>
    <col min="15" max="16" width="9.28515625" style="754"/>
    <col min="17" max="17" width="9.28515625" style="746"/>
    <col min="18" max="16384" width="9.28515625" style="46"/>
  </cols>
  <sheetData>
    <row r="2" spans="1:11" ht="16.5" customHeight="1">
      <c r="A2" s="837" t="s">
        <v>486</v>
      </c>
      <c r="B2" s="837"/>
      <c r="C2" s="837"/>
      <c r="D2" s="837"/>
      <c r="E2" s="837"/>
      <c r="F2" s="837"/>
      <c r="G2" s="837"/>
      <c r="H2" s="837"/>
      <c r="I2" s="837"/>
      <c r="J2" s="837"/>
      <c r="K2" s="783"/>
    </row>
    <row r="3" spans="1:11" ht="12" customHeight="1">
      <c r="A3" s="137"/>
      <c r="B3" s="209"/>
      <c r="C3" s="219"/>
      <c r="D3" s="220"/>
      <c r="E3" s="220"/>
      <c r="F3" s="221"/>
      <c r="G3" s="222"/>
      <c r="H3" s="222"/>
      <c r="I3" s="172"/>
      <c r="J3" s="221"/>
    </row>
    <row r="4" spans="1:11" ht="11.25" customHeight="1">
      <c r="A4" s="187" t="s">
        <v>439</v>
      </c>
      <c r="B4" s="209"/>
      <c r="C4" s="219"/>
      <c r="D4" s="220"/>
      <c r="E4" s="220"/>
      <c r="F4" s="221"/>
      <c r="G4" s="222"/>
      <c r="H4" s="222"/>
      <c r="I4" s="172"/>
      <c r="J4" s="221"/>
      <c r="K4" s="753"/>
    </row>
    <row r="5" spans="1:11" ht="11.25" customHeight="1">
      <c r="A5" s="187"/>
      <c r="B5" s="209"/>
      <c r="C5" s="219"/>
      <c r="D5" s="220"/>
      <c r="E5" s="220"/>
      <c r="F5" s="221"/>
      <c r="G5" s="222"/>
      <c r="H5" s="222"/>
      <c r="I5" s="172"/>
      <c r="J5" s="221"/>
      <c r="K5" s="753"/>
    </row>
    <row r="6" spans="1:11" ht="22.5" customHeight="1">
      <c r="A6" s="621" t="s">
        <v>460</v>
      </c>
      <c r="B6" s="622" t="s">
        <v>212</v>
      </c>
      <c r="C6" s="622" t="s">
        <v>461</v>
      </c>
      <c r="D6" s="622" t="s">
        <v>462</v>
      </c>
      <c r="E6" s="622" t="s">
        <v>463</v>
      </c>
      <c r="F6" s="623" t="s">
        <v>464</v>
      </c>
      <c r="G6" s="624" t="s">
        <v>465</v>
      </c>
      <c r="H6" s="623" t="s">
        <v>466</v>
      </c>
      <c r="I6" s="624" t="s">
        <v>467</v>
      </c>
      <c r="J6" s="625" t="s">
        <v>508</v>
      </c>
      <c r="K6" s="753"/>
    </row>
    <row r="7" spans="1:11" ht="21.75" customHeight="1">
      <c r="A7" s="728" t="s">
        <v>513</v>
      </c>
      <c r="B7" s="632" t="s">
        <v>38</v>
      </c>
      <c r="C7" s="632" t="s">
        <v>482</v>
      </c>
      <c r="D7" s="632" t="s">
        <v>500</v>
      </c>
      <c r="E7" s="632" t="s">
        <v>483</v>
      </c>
      <c r="F7" s="633" t="s">
        <v>485</v>
      </c>
      <c r="G7" s="634">
        <v>34.799999999999997</v>
      </c>
      <c r="H7" s="781">
        <v>18.37</v>
      </c>
      <c r="I7" s="781">
        <v>18.37</v>
      </c>
      <c r="J7" s="636" t="s">
        <v>509</v>
      </c>
      <c r="K7" s="753"/>
    </row>
    <row r="8" spans="1:11" ht="21.75" customHeight="1">
      <c r="A8" s="728" t="s">
        <v>514</v>
      </c>
      <c r="B8" s="632" t="s">
        <v>38</v>
      </c>
      <c r="C8" s="632" t="s">
        <v>482</v>
      </c>
      <c r="D8" s="632" t="s">
        <v>481</v>
      </c>
      <c r="E8" s="632" t="s">
        <v>484</v>
      </c>
      <c r="F8" s="633" t="s">
        <v>485</v>
      </c>
      <c r="G8" s="634">
        <v>34.799999999999997</v>
      </c>
      <c r="H8" s="781">
        <v>18.37</v>
      </c>
      <c r="I8" s="781">
        <v>18.37</v>
      </c>
      <c r="J8" s="636" t="s">
        <v>509</v>
      </c>
      <c r="K8" s="753"/>
    </row>
    <row r="9" spans="1:11" ht="21.75" customHeight="1">
      <c r="A9" s="728" t="s">
        <v>504</v>
      </c>
      <c r="B9" s="632" t="s">
        <v>36</v>
      </c>
      <c r="C9" s="632" t="s">
        <v>44</v>
      </c>
      <c r="D9" s="632" t="s">
        <v>579</v>
      </c>
      <c r="E9" s="632" t="s">
        <v>580</v>
      </c>
      <c r="F9" s="633" t="s">
        <v>581</v>
      </c>
      <c r="G9" s="634">
        <v>13.8</v>
      </c>
      <c r="H9" s="781">
        <v>31.25</v>
      </c>
      <c r="I9" s="781">
        <v>31.25</v>
      </c>
      <c r="J9" s="636" t="s">
        <v>582</v>
      </c>
      <c r="K9" s="753"/>
    </row>
    <row r="10" spans="1:11" ht="21.75" customHeight="1">
      <c r="A10" s="728" t="s">
        <v>504</v>
      </c>
      <c r="B10" s="632" t="s">
        <v>36</v>
      </c>
      <c r="C10" s="632" t="s">
        <v>44</v>
      </c>
      <c r="D10" s="632" t="s">
        <v>579</v>
      </c>
      <c r="E10" s="632" t="s">
        <v>580</v>
      </c>
      <c r="F10" s="633" t="s">
        <v>585</v>
      </c>
      <c r="G10" s="634">
        <v>13.8</v>
      </c>
      <c r="H10" s="781">
        <v>31.23</v>
      </c>
      <c r="I10" s="781">
        <v>31.23</v>
      </c>
      <c r="J10" s="636" t="s">
        <v>586</v>
      </c>
      <c r="K10" s="753"/>
    </row>
    <row r="11" spans="1:11" ht="21.75" customHeight="1">
      <c r="A11" s="728" t="s">
        <v>504</v>
      </c>
      <c r="B11" s="632" t="s">
        <v>36</v>
      </c>
      <c r="C11" s="632" t="s">
        <v>44</v>
      </c>
      <c r="D11" s="632" t="s">
        <v>579</v>
      </c>
      <c r="E11" s="632" t="s">
        <v>580</v>
      </c>
      <c r="F11" s="633" t="s">
        <v>588</v>
      </c>
      <c r="G11" s="634">
        <v>13.8</v>
      </c>
      <c r="H11" s="781">
        <v>31.28</v>
      </c>
      <c r="I11" s="781">
        <v>31.28</v>
      </c>
      <c r="J11" s="636" t="s">
        <v>589</v>
      </c>
      <c r="K11" s="753"/>
    </row>
    <row r="12" spans="1:11" ht="21.75" customHeight="1">
      <c r="A12" s="728" t="s">
        <v>603</v>
      </c>
      <c r="B12" s="632" t="s">
        <v>36</v>
      </c>
      <c r="C12" s="632" t="s">
        <v>44</v>
      </c>
      <c r="D12" s="632" t="s">
        <v>598</v>
      </c>
      <c r="E12" s="632" t="s">
        <v>599</v>
      </c>
      <c r="F12" s="633" t="s">
        <v>585</v>
      </c>
      <c r="G12" s="634">
        <v>2.4</v>
      </c>
      <c r="H12" s="781">
        <v>1.22</v>
      </c>
      <c r="I12" s="781">
        <v>1.22</v>
      </c>
      <c r="J12" s="636" t="s">
        <v>601</v>
      </c>
      <c r="K12" s="753"/>
    </row>
    <row r="13" spans="1:11" ht="21.75" customHeight="1">
      <c r="A13" s="728" t="s">
        <v>603</v>
      </c>
      <c r="B13" s="632" t="s">
        <v>36</v>
      </c>
      <c r="C13" s="632" t="s">
        <v>44</v>
      </c>
      <c r="D13" s="632" t="s">
        <v>598</v>
      </c>
      <c r="E13" s="632" t="s">
        <v>600</v>
      </c>
      <c r="F13" s="633" t="s">
        <v>585</v>
      </c>
      <c r="G13" s="634">
        <v>2.4</v>
      </c>
      <c r="H13" s="781">
        <v>1.7</v>
      </c>
      <c r="I13" s="781">
        <v>1.7</v>
      </c>
      <c r="J13" s="636" t="s">
        <v>601</v>
      </c>
      <c r="K13" s="753"/>
    </row>
    <row r="14" spans="1:11" ht="21.75" customHeight="1">
      <c r="A14" s="728" t="s">
        <v>604</v>
      </c>
      <c r="B14" s="632" t="s">
        <v>30</v>
      </c>
      <c r="C14" s="632" t="s">
        <v>616</v>
      </c>
      <c r="D14" s="632" t="s">
        <v>617</v>
      </c>
      <c r="E14" s="632" t="s">
        <v>618</v>
      </c>
      <c r="F14" s="633" t="s">
        <v>620</v>
      </c>
      <c r="G14" s="634">
        <v>0.4</v>
      </c>
      <c r="H14" s="781">
        <v>1.2949999999999999</v>
      </c>
      <c r="I14" s="781">
        <v>1.2949999999999999</v>
      </c>
      <c r="J14" s="636" t="s">
        <v>619</v>
      </c>
      <c r="K14" s="753"/>
    </row>
    <row r="15" spans="1:11" ht="15" customHeight="1">
      <c r="A15" s="626" t="s">
        <v>42</v>
      </c>
      <c r="B15" s="627"/>
      <c r="C15" s="627"/>
      <c r="D15" s="627"/>
      <c r="E15" s="628"/>
      <c r="F15" s="629"/>
      <c r="G15" s="630"/>
      <c r="H15" s="782">
        <f>+SUM(H7:H14)</f>
        <v>134.71499999999997</v>
      </c>
      <c r="I15" s="782">
        <f>+SUM(I7:I14)</f>
        <v>134.71499999999997</v>
      </c>
      <c r="J15" s="631"/>
      <c r="K15" s="753"/>
    </row>
    <row r="16" spans="1:11" ht="15" customHeight="1">
      <c r="A16" s="137"/>
      <c r="B16" s="209"/>
      <c r="C16" s="219"/>
      <c r="D16" s="220"/>
      <c r="E16" s="220"/>
      <c r="F16" s="221"/>
      <c r="G16" s="222"/>
      <c r="H16" s="222"/>
      <c r="I16" s="172"/>
      <c r="J16" s="221"/>
      <c r="K16" s="753"/>
    </row>
    <row r="17" spans="1:17" ht="15.75" customHeight="1">
      <c r="A17" s="637"/>
      <c r="K17" s="784"/>
    </row>
    <row r="18" spans="1:17" s="223" customFormat="1" ht="15.75" customHeight="1">
      <c r="A18" s="722"/>
      <c r="B18" s="717"/>
      <c r="C18" s="717"/>
      <c r="D18" s="717"/>
      <c r="E18" s="717"/>
      <c r="F18" s="718"/>
      <c r="G18" s="719"/>
      <c r="K18" s="785"/>
      <c r="L18" s="745"/>
      <c r="M18" s="745"/>
      <c r="N18" s="745"/>
      <c r="O18" s="786"/>
      <c r="P18" s="786"/>
      <c r="Q18" s="747"/>
    </row>
    <row r="19" spans="1:17" s="223" customFormat="1" ht="20.399999999999999" customHeight="1">
      <c r="K19" s="785"/>
      <c r="L19" s="745"/>
      <c r="M19" s="745"/>
      <c r="N19" s="745"/>
      <c r="O19" s="786"/>
      <c r="P19" s="786"/>
      <c r="Q19" s="747"/>
    </row>
    <row r="20" spans="1:17" s="223" customFormat="1" ht="12.6" customHeight="1">
      <c r="K20" s="785"/>
      <c r="L20" s="745" t="s">
        <v>511</v>
      </c>
      <c r="M20" s="749">
        <f>+I9+I10+I13+I11+I12</f>
        <v>96.68</v>
      </c>
      <c r="N20" s="745"/>
      <c r="O20" s="786"/>
      <c r="P20" s="786"/>
      <c r="Q20" s="747"/>
    </row>
    <row r="21" spans="1:17" s="223" customFormat="1" ht="13.2" customHeight="1">
      <c r="H21" s="46"/>
      <c r="I21" s="46"/>
      <c r="J21" s="46"/>
      <c r="K21" s="785"/>
      <c r="L21" s="745" t="s">
        <v>515</v>
      </c>
      <c r="M21" s="745"/>
      <c r="N21" s="745"/>
      <c r="O21" s="786"/>
      <c r="P21" s="786"/>
      <c r="Q21" s="747"/>
    </row>
    <row r="22" spans="1:17" s="223" customFormat="1" ht="13.2" customHeight="1">
      <c r="H22" s="720"/>
      <c r="I22" s="720"/>
      <c r="J22" s="721"/>
      <c r="K22" s="785"/>
      <c r="L22" s="745" t="s">
        <v>512</v>
      </c>
      <c r="M22" s="745">
        <v>36.74</v>
      </c>
      <c r="N22" s="745"/>
      <c r="O22" s="786"/>
      <c r="P22" s="786"/>
      <c r="Q22" s="747"/>
    </row>
    <row r="23" spans="1:17" s="223" customFormat="1" ht="13.2" customHeight="1">
      <c r="H23" s="720"/>
      <c r="I23" s="720"/>
      <c r="J23" s="721"/>
      <c r="K23" s="785"/>
      <c r="L23" s="745" t="s">
        <v>510</v>
      </c>
      <c r="M23" s="745">
        <v>1.2949999999999999</v>
      </c>
      <c r="N23" s="745"/>
      <c r="O23" s="786"/>
      <c r="P23" s="786"/>
      <c r="Q23" s="747"/>
    </row>
    <row r="24" spans="1:17" s="223" customFormat="1" ht="13.2" customHeight="1">
      <c r="H24" s="720"/>
      <c r="I24" s="720"/>
      <c r="J24" s="721"/>
      <c r="K24" s="785"/>
      <c r="L24" s="745"/>
      <c r="M24" s="745"/>
      <c r="N24" s="745"/>
      <c r="O24" s="786"/>
      <c r="P24" s="786"/>
      <c r="Q24" s="747"/>
    </row>
    <row r="25" spans="1:17" s="223" customFormat="1" ht="10.199999999999999" customHeight="1">
      <c r="A25" s="187" t="s">
        <v>590</v>
      </c>
      <c r="B25" s="581"/>
      <c r="C25" s="581"/>
      <c r="D25" s="581"/>
      <c r="E25" s="581"/>
      <c r="F25" s="582"/>
      <c r="G25" s="583"/>
      <c r="H25" s="584"/>
      <c r="I25" s="584"/>
      <c r="J25" s="585"/>
      <c r="K25" s="785"/>
      <c r="L25" s="745"/>
      <c r="M25" s="745"/>
      <c r="N25" s="745"/>
      <c r="O25" s="786"/>
      <c r="P25" s="786"/>
      <c r="Q25" s="747"/>
    </row>
    <row r="26" spans="1:17" s="223" customFormat="1" ht="10.199999999999999" customHeight="1">
      <c r="A26" s="580"/>
      <c r="B26" s="581"/>
      <c r="C26" s="581"/>
      <c r="D26" s="581"/>
      <c r="E26" s="581"/>
      <c r="F26" s="582"/>
      <c r="G26" s="583"/>
      <c r="H26" s="584"/>
      <c r="I26" s="584"/>
      <c r="J26" s="585"/>
      <c r="K26" s="785"/>
      <c r="L26" s="745"/>
      <c r="M26" s="745"/>
      <c r="N26" s="745"/>
      <c r="O26" s="786"/>
      <c r="P26" s="786"/>
      <c r="Q26" s="747"/>
    </row>
    <row r="27" spans="1:17" s="223" customFormat="1" ht="27.6" customHeight="1">
      <c r="A27" s="621" t="s">
        <v>460</v>
      </c>
      <c r="B27" s="622" t="s">
        <v>212</v>
      </c>
      <c r="C27" s="622" t="s">
        <v>461</v>
      </c>
      <c r="D27" s="622" t="s">
        <v>462</v>
      </c>
      <c r="E27" s="622" t="s">
        <v>463</v>
      </c>
      <c r="F27" s="623" t="s">
        <v>464</v>
      </c>
      <c r="G27" s="624" t="s">
        <v>465</v>
      </c>
      <c r="H27" s="623" t="s">
        <v>466</v>
      </c>
      <c r="I27" s="624" t="s">
        <v>467</v>
      </c>
      <c r="J27" s="625" t="s">
        <v>508</v>
      </c>
      <c r="K27" s="785"/>
      <c r="L27" s="745"/>
      <c r="M27" s="745"/>
      <c r="N27" s="745"/>
      <c r="O27" s="786"/>
      <c r="P27" s="786"/>
      <c r="Q27" s="747"/>
    </row>
    <row r="28" spans="1:17" s="223" customFormat="1" ht="27" customHeight="1">
      <c r="A28" s="728" t="s">
        <v>89</v>
      </c>
      <c r="B28" s="632" t="s">
        <v>37</v>
      </c>
      <c r="C28" s="632" t="s">
        <v>591</v>
      </c>
      <c r="D28" s="632" t="s">
        <v>592</v>
      </c>
      <c r="E28" s="632" t="s">
        <v>593</v>
      </c>
      <c r="F28" s="633" t="s">
        <v>594</v>
      </c>
      <c r="G28" s="634">
        <v>10</v>
      </c>
      <c r="H28" s="635">
        <v>18.68</v>
      </c>
      <c r="I28" s="635">
        <v>16.559999999999999</v>
      </c>
      <c r="J28" s="750" t="s">
        <v>595</v>
      </c>
      <c r="K28" s="785"/>
      <c r="L28" s="745"/>
      <c r="M28" s="745"/>
      <c r="N28" s="745"/>
      <c r="O28" s="786"/>
      <c r="P28" s="786"/>
      <c r="Q28" s="747"/>
    </row>
    <row r="29" spans="1:17" s="223" customFormat="1" ht="19.8" customHeight="1">
      <c r="A29" s="728" t="s">
        <v>417</v>
      </c>
      <c r="B29" s="632" t="s">
        <v>36</v>
      </c>
      <c r="C29" s="632" t="s">
        <v>44</v>
      </c>
      <c r="D29" s="632" t="s">
        <v>579</v>
      </c>
      <c r="E29" s="632" t="s">
        <v>609</v>
      </c>
      <c r="F29" s="633" t="s">
        <v>594</v>
      </c>
      <c r="G29" s="634">
        <v>6.9</v>
      </c>
      <c r="H29" s="635">
        <v>15</v>
      </c>
      <c r="I29" s="635">
        <v>13.17</v>
      </c>
      <c r="J29" s="750" t="s">
        <v>610</v>
      </c>
      <c r="K29" s="785"/>
      <c r="L29" s="745"/>
      <c r="M29" s="745"/>
      <c r="N29" s="745"/>
      <c r="O29" s="786"/>
      <c r="P29" s="786"/>
      <c r="Q29" s="747"/>
    </row>
    <row r="30" spans="1:17" s="223" customFormat="1" ht="13.95" customHeight="1">
      <c r="A30" s="580"/>
      <c r="B30" s="581"/>
      <c r="C30" s="581"/>
      <c r="D30" s="581"/>
      <c r="E30" s="581"/>
      <c r="F30" s="582"/>
      <c r="G30" s="583"/>
      <c r="H30" s="584"/>
      <c r="I30" s="584"/>
      <c r="J30" s="585"/>
      <c r="K30" s="785"/>
      <c r="L30" s="745"/>
      <c r="M30" s="745"/>
      <c r="N30" s="745"/>
      <c r="O30" s="786"/>
      <c r="P30" s="786"/>
      <c r="Q30" s="747"/>
    </row>
    <row r="31" spans="1:17" ht="11.25" customHeight="1">
      <c r="A31" s="187" t="s">
        <v>499</v>
      </c>
      <c r="B31" s="132"/>
      <c r="C31" s="224"/>
      <c r="D31" s="132"/>
      <c r="E31" s="132"/>
      <c r="F31" s="132"/>
      <c r="G31" s="132"/>
      <c r="H31" s="132"/>
      <c r="I31" s="132"/>
      <c r="J31" s="132"/>
      <c r="K31" s="787"/>
    </row>
    <row r="32" spans="1:17" ht="11.25" customHeight="1">
      <c r="B32" s="132"/>
      <c r="C32" s="224"/>
      <c r="D32" s="132"/>
      <c r="E32" s="132"/>
      <c r="F32" s="132"/>
      <c r="G32" s="132"/>
      <c r="H32" s="132"/>
      <c r="I32" s="132"/>
      <c r="J32" s="132"/>
      <c r="K32" s="787"/>
    </row>
    <row r="33" spans="1:15" ht="21" customHeight="1">
      <c r="B33" s="835" t="s">
        <v>216</v>
      </c>
      <c r="C33" s="836"/>
      <c r="D33" s="361" t="str">
        <f>UPPER('1. Resumen'!Q4)&amp;" "&amp;'1. Resumen'!Q5</f>
        <v>DICIEMBRE 2021</v>
      </c>
      <c r="E33" s="361" t="str">
        <f>UPPER('1. Resumen'!Q4)&amp;" "&amp;'1. Resumen'!Q5-1</f>
        <v>DICIEMBRE 2020</v>
      </c>
      <c r="F33" s="362" t="s">
        <v>217</v>
      </c>
      <c r="G33" s="225"/>
      <c r="H33" s="225"/>
      <c r="I33" s="132"/>
      <c r="J33" s="132"/>
    </row>
    <row r="34" spans="1:15" ht="9.75" customHeight="1">
      <c r="B34" s="838" t="s">
        <v>213</v>
      </c>
      <c r="C34" s="839"/>
      <c r="D34" s="351">
        <v>5261.9382474999966</v>
      </c>
      <c r="E34" s="352">
        <v>5180.2582474999972</v>
      </c>
      <c r="F34" s="723">
        <f>+D34/E34-1</f>
        <v>1.5767553681212298E-2</v>
      </c>
      <c r="G34" s="225"/>
      <c r="H34" s="225"/>
      <c r="I34" s="132"/>
      <c r="J34" s="132"/>
      <c r="K34" s="787"/>
    </row>
    <row r="35" spans="1:15" ht="9.75" customHeight="1">
      <c r="B35" s="840" t="s">
        <v>214</v>
      </c>
      <c r="C35" s="841"/>
      <c r="D35" s="353">
        <v>7490.5944999999983</v>
      </c>
      <c r="E35" s="354">
        <v>7509.2744999999986</v>
      </c>
      <c r="F35" s="724">
        <f>+D35/E35-1</f>
        <v>-2.487590512239235E-3</v>
      </c>
      <c r="G35" s="226"/>
      <c r="H35" s="226"/>
      <c r="M35" s="748"/>
      <c r="N35" s="748"/>
      <c r="O35" s="788"/>
    </row>
    <row r="36" spans="1:15" ht="9.75" customHeight="1">
      <c r="B36" s="842" t="s">
        <v>215</v>
      </c>
      <c r="C36" s="843"/>
      <c r="D36" s="355">
        <f>+E36</f>
        <v>412.2</v>
      </c>
      <c r="E36" s="356">
        <v>412.2</v>
      </c>
      <c r="F36" s="725">
        <f>+D36/E36-1</f>
        <v>0</v>
      </c>
      <c r="G36" s="226"/>
      <c r="H36" s="226"/>
    </row>
    <row r="37" spans="1:15" ht="9.75" customHeight="1">
      <c r="B37" s="844" t="s">
        <v>80</v>
      </c>
      <c r="C37" s="845"/>
      <c r="D37" s="357">
        <v>286.315</v>
      </c>
      <c r="E37" s="358">
        <v>285.02</v>
      </c>
      <c r="F37" s="726">
        <f>+D37/E37-1</f>
        <v>4.5435408041540892E-3</v>
      </c>
      <c r="G37" s="226"/>
      <c r="H37" s="226"/>
    </row>
    <row r="38" spans="1:15" ht="10.5" customHeight="1">
      <c r="B38" s="833" t="s">
        <v>197</v>
      </c>
      <c r="C38" s="834"/>
      <c r="D38" s="359">
        <f>+SUM(D34:D37)</f>
        <v>13451.047747499995</v>
      </c>
      <c r="E38" s="359">
        <f>+SUM(E34:E37)</f>
        <v>13386.752747499997</v>
      </c>
      <c r="F38" s="727">
        <f>+D38/E38-1</f>
        <v>4.8028824624406496E-3</v>
      </c>
      <c r="G38" s="322"/>
      <c r="H38" s="226"/>
    </row>
    <row r="39" spans="1:15" ht="11.25" customHeight="1">
      <c r="B39" s="268" t="str">
        <f>"Cuadro N° 2: Comparación de la potencia instalada en el SEIN al término de "&amp;'1. Resumen'!Q4&amp;" "&amp;'1. Resumen'!Q5-1&amp;" y "&amp;'1. Resumen'!Q4&amp;" "&amp;'1. Resumen'!Q5</f>
        <v>Cuadro N° 2: Comparación de la potencia instalada en el SEIN al término de diciembre 2020 y diciembre 2021</v>
      </c>
      <c r="C39" s="225"/>
      <c r="D39" s="225"/>
      <c r="E39" s="225"/>
      <c r="F39" s="225"/>
      <c r="G39" s="225"/>
      <c r="H39" s="225"/>
      <c r="I39" s="132"/>
      <c r="J39" s="132"/>
      <c r="K39" s="787"/>
    </row>
    <row r="40" spans="1:15" ht="9" customHeight="1">
      <c r="B40" s="268"/>
      <c r="C40" s="225"/>
      <c r="D40" s="225"/>
      <c r="E40" s="225"/>
      <c r="F40" s="225"/>
      <c r="G40" s="225"/>
      <c r="H40" s="225"/>
      <c r="I40" s="132"/>
      <c r="J40" s="132"/>
      <c r="K40" s="787"/>
    </row>
    <row r="41" spans="1:15" ht="25.5" customHeight="1">
      <c r="B41" s="268"/>
      <c r="C41" s="225"/>
      <c r="D41" s="225"/>
      <c r="E41" s="225"/>
      <c r="F41" s="225"/>
      <c r="G41" s="225"/>
      <c r="H41" s="225"/>
      <c r="I41" s="132"/>
      <c r="J41" s="132"/>
      <c r="K41" s="787"/>
    </row>
    <row r="42" spans="1:15" ht="11.25" customHeight="1">
      <c r="B42" s="268"/>
      <c r="C42" s="225"/>
      <c r="D42" s="225"/>
      <c r="E42" s="225"/>
      <c r="F42" s="225"/>
      <c r="G42" s="225"/>
      <c r="H42" s="225"/>
      <c r="I42" s="132"/>
      <c r="J42" s="132"/>
      <c r="K42" s="787"/>
    </row>
    <row r="43" spans="1:15" ht="11.25" customHeight="1">
      <c r="A43" s="132"/>
      <c r="C43" s="226"/>
      <c r="D43" s="225"/>
      <c r="E43" s="225"/>
      <c r="F43" s="225"/>
      <c r="G43" s="225"/>
      <c r="H43" s="225"/>
      <c r="I43" s="132"/>
      <c r="J43" s="132"/>
      <c r="K43" s="787"/>
    </row>
    <row r="44" spans="1:15" ht="3.6" customHeight="1">
      <c r="A44" s="132"/>
      <c r="B44" s="132"/>
      <c r="C44" s="132"/>
      <c r="D44" s="132"/>
      <c r="E44" s="132"/>
      <c r="F44" s="132"/>
      <c r="G44" s="132"/>
      <c r="H44" s="132"/>
      <c r="I44" s="132"/>
      <c r="J44" s="132"/>
    </row>
    <row r="45" spans="1:15" hidden="1">
      <c r="A45" s="132"/>
      <c r="B45" s="132"/>
      <c r="C45" s="132"/>
      <c r="D45" s="132"/>
      <c r="E45" s="132"/>
      <c r="F45" s="132"/>
      <c r="G45" s="132"/>
      <c r="H45" s="132"/>
      <c r="I45" s="132"/>
      <c r="J45" s="132"/>
    </row>
    <row r="46" spans="1:15">
      <c r="A46" s="132"/>
      <c r="B46" s="132"/>
      <c r="C46" s="132"/>
      <c r="D46" s="132"/>
      <c r="E46" s="132"/>
      <c r="F46" s="132"/>
      <c r="G46" s="132"/>
      <c r="H46" s="132"/>
      <c r="I46" s="132"/>
      <c r="J46" s="132"/>
    </row>
    <row r="47" spans="1:15" ht="13.5" customHeight="1">
      <c r="A47" s="132"/>
      <c r="B47" s="132"/>
      <c r="C47" s="132"/>
      <c r="D47" s="132"/>
      <c r="E47" s="132"/>
      <c r="F47" s="132"/>
      <c r="G47" s="132"/>
      <c r="H47" s="132"/>
      <c r="I47" s="132"/>
      <c r="J47" s="132"/>
    </row>
    <row r="48" spans="1:15" ht="19.5" customHeight="1">
      <c r="A48" s="132"/>
      <c r="B48" s="132"/>
      <c r="C48" s="132"/>
      <c r="D48" s="132"/>
      <c r="E48" s="132"/>
      <c r="F48" s="132"/>
      <c r="G48" s="132"/>
      <c r="H48" s="132"/>
      <c r="I48" s="132"/>
      <c r="J48" s="132"/>
    </row>
    <row r="49" spans="1:10" ht="24" customHeight="1">
      <c r="A49" s="321" t="str">
        <f>"Gráfico N° 3: Comparación de la potencia instalada en el SEIN al término de "&amp;'1. Resumen'!Q4&amp;" "&amp;'1. Resumen'!Q5-1&amp;" y "&amp;'1. Resumen'!Q4&amp;" "&amp;'1. Resumen'!Q5</f>
        <v>Gráfico N° 3: Comparación de la potencia instalada en el SEIN al término de diciembre 2020 y diciembre 2021</v>
      </c>
      <c r="C49" s="132"/>
      <c r="D49" s="132"/>
      <c r="E49" s="132"/>
      <c r="F49" s="132"/>
      <c r="G49" s="132"/>
      <c r="H49" s="132"/>
      <c r="I49" s="132"/>
      <c r="J49" s="132"/>
    </row>
  </sheetData>
  <mergeCells count="7">
    <mergeCell ref="B38:C38"/>
    <mergeCell ref="B33:C33"/>
    <mergeCell ref="A2:J2"/>
    <mergeCell ref="B34:C34"/>
    <mergeCell ref="B35:C35"/>
    <mergeCell ref="B36:C36"/>
    <mergeCell ref="B37:C3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F52" sqref="F52"/>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50" t="s">
        <v>219</v>
      </c>
      <c r="B2" s="850"/>
      <c r="C2" s="850"/>
      <c r="D2" s="850"/>
      <c r="E2" s="850"/>
      <c r="F2" s="850"/>
      <c r="G2" s="850"/>
      <c r="H2" s="850"/>
      <c r="I2" s="850"/>
      <c r="J2" s="850"/>
      <c r="K2" s="850"/>
    </row>
    <row r="3" spans="1:11" ht="11.25" customHeight="1">
      <c r="A3" s="83"/>
      <c r="B3" s="84"/>
      <c r="C3" s="85"/>
      <c r="D3" s="86"/>
      <c r="E3" s="86"/>
      <c r="F3" s="86"/>
      <c r="G3" s="86"/>
      <c r="H3" s="83"/>
      <c r="I3" s="83"/>
      <c r="J3" s="83"/>
      <c r="K3" s="87"/>
    </row>
    <row r="4" spans="1:11" ht="11.25" customHeight="1">
      <c r="A4" s="851" t="str">
        <f>+"3.1. PRODUCCIÓN POR TIPO DE GENERACIÓN (GWh)"</f>
        <v>3.1. PRODUCCIÓN POR TIPO DE GENERACIÓN (GWh)</v>
      </c>
      <c r="B4" s="851"/>
      <c r="C4" s="851"/>
      <c r="D4" s="851"/>
      <c r="E4" s="851"/>
      <c r="F4" s="851"/>
      <c r="G4" s="851"/>
      <c r="H4" s="851"/>
      <c r="I4" s="851"/>
      <c r="J4" s="851"/>
      <c r="K4" s="851"/>
    </row>
    <row r="5" spans="1:11" ht="11.25" customHeight="1">
      <c r="A5" s="54"/>
      <c r="B5" s="88"/>
      <c r="C5" s="89"/>
      <c r="D5" s="90"/>
      <c r="E5" s="90"/>
      <c r="F5" s="90"/>
      <c r="G5" s="90"/>
      <c r="H5" s="91"/>
      <c r="I5" s="83"/>
      <c r="J5" s="83"/>
      <c r="K5" s="92"/>
    </row>
    <row r="6" spans="1:11" ht="18" customHeight="1">
      <c r="A6" s="848" t="s">
        <v>32</v>
      </c>
      <c r="B6" s="852" t="s">
        <v>33</v>
      </c>
      <c r="C6" s="853"/>
      <c r="D6" s="853"/>
      <c r="E6" s="853" t="s">
        <v>34</v>
      </c>
      <c r="F6" s="853"/>
      <c r="G6" s="854" t="str">
        <f>"Generación Acumulada a "&amp;'1. Resumen'!Q4</f>
        <v>Generación Acumulada a diciembre</v>
      </c>
      <c r="H6" s="854"/>
      <c r="I6" s="854"/>
      <c r="J6" s="854"/>
      <c r="K6" s="855"/>
    </row>
    <row r="7" spans="1:11" ht="32.25" customHeight="1">
      <c r="A7" s="849"/>
      <c r="B7" s="363">
        <f>+C7-30</f>
        <v>44473</v>
      </c>
      <c r="C7" s="363">
        <f>+D7-28</f>
        <v>44503</v>
      </c>
      <c r="D7" s="363">
        <f>+'1. Resumen'!Q6</f>
        <v>44531</v>
      </c>
      <c r="E7" s="363">
        <f>+D7-365</f>
        <v>44166</v>
      </c>
      <c r="F7" s="364" t="s">
        <v>35</v>
      </c>
      <c r="G7" s="365">
        <v>2021</v>
      </c>
      <c r="H7" s="365">
        <v>2020</v>
      </c>
      <c r="I7" s="364" t="s">
        <v>487</v>
      </c>
      <c r="J7" s="365">
        <v>2019</v>
      </c>
      <c r="K7" s="366" t="s">
        <v>455</v>
      </c>
    </row>
    <row r="8" spans="1:11" ht="15" customHeight="1">
      <c r="A8" s="116" t="s">
        <v>36</v>
      </c>
      <c r="B8" s="305">
        <v>2250.4857331849998</v>
      </c>
      <c r="C8" s="301">
        <v>2397.5286883825001</v>
      </c>
      <c r="D8" s="306">
        <v>2942.2881527525005</v>
      </c>
      <c r="E8" s="305">
        <v>2747.8717605600013</v>
      </c>
      <c r="F8" s="234">
        <f>IF(E8=0,"",D8/E8-1)</f>
        <v>7.0751624942234637E-2</v>
      </c>
      <c r="G8" s="313">
        <v>30664.412630418999</v>
      </c>
      <c r="H8" s="301">
        <v>29317.562410899998</v>
      </c>
      <c r="I8" s="238">
        <f>IF(H8=0,"",G8/H8-1)</f>
        <v>4.594004783352168E-2</v>
      </c>
      <c r="J8" s="305">
        <v>30168.429254412509</v>
      </c>
      <c r="K8" s="234">
        <f t="shared" ref="K8:K15" si="0">IF(J8=0,"",H8/J8-1)</f>
        <v>-2.8203882818594539E-2</v>
      </c>
    </row>
    <row r="9" spans="1:11" ht="15" customHeight="1">
      <c r="A9" s="117" t="s">
        <v>37</v>
      </c>
      <c r="B9" s="307">
        <v>2113.1400845124999</v>
      </c>
      <c r="C9" s="244">
        <v>1903.0767166925004</v>
      </c>
      <c r="D9" s="308">
        <v>1527.0885304800001</v>
      </c>
      <c r="E9" s="307">
        <v>1614.5087683975</v>
      </c>
      <c r="F9" s="235">
        <f t="shared" ref="F9:F15" si="1">IF(E9=0,"",D9/E9-1)</f>
        <v>-5.4146647964179118E-2</v>
      </c>
      <c r="G9" s="314">
        <v>20723.380587247499</v>
      </c>
      <c r="H9" s="244">
        <v>17288.021226845005</v>
      </c>
      <c r="I9" s="239">
        <f t="shared" ref="I9:I15" si="2">IF(H9=0,"",G9/H9-1)</f>
        <v>0.19871327755359491</v>
      </c>
      <c r="J9" s="307">
        <v>20312.826648202503</v>
      </c>
      <c r="K9" s="235">
        <f t="shared" si="0"/>
        <v>-0.14891110300619659</v>
      </c>
    </row>
    <row r="10" spans="1:11" ht="15" customHeight="1">
      <c r="A10" s="118" t="s">
        <v>38</v>
      </c>
      <c r="B10" s="309">
        <v>174.44814286999997</v>
      </c>
      <c r="C10" s="245">
        <v>159.58530474500003</v>
      </c>
      <c r="D10" s="310">
        <v>144.32565196250002</v>
      </c>
      <c r="E10" s="309">
        <v>147.22592473</v>
      </c>
      <c r="F10" s="236">
        <f>IF(E10=0,"",D10/E10-1)</f>
        <v>-1.9699470543783959E-2</v>
      </c>
      <c r="G10" s="315">
        <v>1800.6359014000002</v>
      </c>
      <c r="H10" s="245">
        <v>1803.1959296025</v>
      </c>
      <c r="I10" s="240">
        <f t="shared" si="2"/>
        <v>-1.4197171591132651E-3</v>
      </c>
      <c r="J10" s="309">
        <v>1646.1619703125</v>
      </c>
      <c r="K10" s="236">
        <f t="shared" si="0"/>
        <v>9.5393990459024636E-2</v>
      </c>
    </row>
    <row r="11" spans="1:11" ht="15" customHeight="1">
      <c r="A11" s="117" t="s">
        <v>30</v>
      </c>
      <c r="B11" s="307">
        <v>80.826964455000009</v>
      </c>
      <c r="C11" s="244">
        <v>76.359484742500001</v>
      </c>
      <c r="D11" s="308">
        <v>73.559578087499986</v>
      </c>
      <c r="E11" s="307">
        <v>73.650183339999998</v>
      </c>
      <c r="F11" s="235">
        <f>IF(E11=0,"",D11/E11-1)</f>
        <v>-1.2302108208168683E-3</v>
      </c>
      <c r="G11" s="314">
        <v>801.91851950750004</v>
      </c>
      <c r="H11" s="244">
        <v>777.86027249749998</v>
      </c>
      <c r="I11" s="239">
        <f t="shared" si="2"/>
        <v>3.0928751423125789E-2</v>
      </c>
      <c r="J11" s="307">
        <v>761.72576047749976</v>
      </c>
      <c r="K11" s="235">
        <f t="shared" si="0"/>
        <v>2.1181523400082947E-2</v>
      </c>
    </row>
    <row r="12" spans="1:11" ht="15" customHeight="1">
      <c r="A12" s="145" t="s">
        <v>42</v>
      </c>
      <c r="B12" s="311">
        <f>+SUM(B8:B11)</f>
        <v>4618.9009250224999</v>
      </c>
      <c r="C12" s="302">
        <f t="shared" ref="C12:D12" si="3">+SUM(C8:C11)</f>
        <v>4536.550194562501</v>
      </c>
      <c r="D12" s="312">
        <f t="shared" si="3"/>
        <v>4687.2619132825012</v>
      </c>
      <c r="E12" s="311">
        <f>+SUM(E8:E11)</f>
        <v>4583.2566370275008</v>
      </c>
      <c r="F12" s="237">
        <f>IF(E12=0,"",D12/E12-1)</f>
        <v>2.2692440003196923E-2</v>
      </c>
      <c r="G12" s="311">
        <f>+SUM(G8:G11)</f>
        <v>53990.347638573992</v>
      </c>
      <c r="H12" s="302">
        <f t="shared" ref="H12:J12" si="4">+SUM(H8:H11)</f>
        <v>49186.639839845004</v>
      </c>
      <c r="I12" s="241">
        <f>IF(H12=0,"",G12/H12-1)</f>
        <v>9.7662857523306723E-2</v>
      </c>
      <c r="J12" s="311">
        <f t="shared" si="4"/>
        <v>52889.143633405016</v>
      </c>
      <c r="K12" s="237">
        <f t="shared" si="0"/>
        <v>-7.0004986641937106E-2</v>
      </c>
    </row>
    <row r="13" spans="1:11" ht="15" customHeight="1">
      <c r="A13" s="112"/>
      <c r="B13" s="112"/>
      <c r="C13" s="112"/>
      <c r="D13" s="112"/>
      <c r="E13" s="112"/>
      <c r="F13" s="114"/>
      <c r="G13" s="112"/>
      <c r="H13" s="112"/>
      <c r="I13" s="613"/>
      <c r="J13" s="113"/>
      <c r="K13" s="114" t="str">
        <f t="shared" si="0"/>
        <v/>
      </c>
    </row>
    <row r="14" spans="1:11" ht="15" customHeight="1">
      <c r="A14" s="119" t="s">
        <v>39</v>
      </c>
      <c r="B14" s="232">
        <v>0</v>
      </c>
      <c r="C14" s="233">
        <v>0</v>
      </c>
      <c r="D14" s="304">
        <v>3.9812734000000001</v>
      </c>
      <c r="E14" s="232">
        <v>0</v>
      </c>
      <c r="F14" s="120" t="str">
        <f>IF(E14=0,"",D14/E14-1)</f>
        <v/>
      </c>
      <c r="G14" s="232">
        <v>43.009668510000004</v>
      </c>
      <c r="H14" s="233">
        <v>37.447757109999998</v>
      </c>
      <c r="I14" s="123">
        <f t="shared" si="2"/>
        <v>0.14852455338412685</v>
      </c>
      <c r="J14" s="232">
        <v>60.050445310000001</v>
      </c>
      <c r="K14" s="120">
        <f t="shared" si="0"/>
        <v>-0.37639501394731623</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0</v>
      </c>
      <c r="C16" s="243">
        <f t="shared" ref="C16:E16" si="5">+C15-C14</f>
        <v>0</v>
      </c>
      <c r="D16" s="243">
        <f t="shared" si="5"/>
        <v>-3.9812734000000001</v>
      </c>
      <c r="E16" s="242">
        <f t="shared" si="5"/>
        <v>0</v>
      </c>
      <c r="F16" s="122"/>
      <c r="G16" s="242">
        <f t="shared" ref="G16:H16" si="6">+G15-G14</f>
        <v>-43.009668510000004</v>
      </c>
      <c r="H16" s="243">
        <f t="shared" si="6"/>
        <v>-37.447757109999998</v>
      </c>
      <c r="I16" s="124"/>
      <c r="J16" s="242">
        <f>+J15-J14</f>
        <v>-60.050445310000001</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6"/>
      <c r="C42" s="846"/>
      <c r="D42" s="846"/>
      <c r="E42" s="93"/>
      <c r="F42" s="93"/>
      <c r="G42" s="847"/>
      <c r="H42" s="847"/>
      <c r="I42" s="847"/>
      <c r="J42" s="847"/>
      <c r="K42" s="84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diciembre</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Diciembre 2021
INFSGI-MES-12-2021
21/02/2022
Versión: 02</oddHeader>
    <oddFooter>&amp;L&amp;7COES, 2021&amp;C3&amp;R&amp;7Dirección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F52" sqref="F52"/>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56" t="str">
        <f>+"3.2. PRODUCCIÓN POR TIPO DE RECURSO ENERGÉTICO (GWh)"</f>
        <v>3.2. PRODUCCIÓN POR TIPO DE RECURSO ENERGÉTICO (GWh)</v>
      </c>
      <c r="B2" s="856"/>
      <c r="C2" s="856"/>
      <c r="D2" s="856"/>
      <c r="E2" s="856"/>
      <c r="F2" s="856"/>
      <c r="G2" s="856"/>
      <c r="H2" s="856"/>
      <c r="I2" s="856"/>
      <c r="J2" s="856"/>
      <c r="K2" s="856"/>
    </row>
    <row r="3" spans="1:12" ht="18.75" customHeight="1">
      <c r="A3" s="126"/>
      <c r="B3" s="127"/>
      <c r="C3" s="128"/>
      <c r="D3" s="129"/>
      <c r="E3" s="129"/>
      <c r="F3" s="129"/>
      <c r="G3" s="130"/>
      <c r="H3" s="130"/>
      <c r="I3" s="130"/>
      <c r="J3" s="126"/>
      <c r="K3" s="126"/>
      <c r="L3" s="36"/>
    </row>
    <row r="4" spans="1:12" ht="14.25" customHeight="1">
      <c r="A4" s="860" t="s">
        <v>43</v>
      </c>
      <c r="B4" s="857" t="s">
        <v>33</v>
      </c>
      <c r="C4" s="858"/>
      <c r="D4" s="858"/>
      <c r="E4" s="858" t="s">
        <v>34</v>
      </c>
      <c r="F4" s="858"/>
      <c r="G4" s="859" t="str">
        <f>+'3. Tipo Generación'!G6:K6</f>
        <v>Generación Acumulada a diciembre</v>
      </c>
      <c r="H4" s="859"/>
      <c r="I4" s="859"/>
      <c r="J4" s="859"/>
      <c r="K4" s="859"/>
      <c r="L4" s="131"/>
    </row>
    <row r="5" spans="1:12" ht="26.25" customHeight="1">
      <c r="A5" s="860"/>
      <c r="B5" s="367">
        <f>+'3. Tipo Generación'!B7</f>
        <v>44473</v>
      </c>
      <c r="C5" s="367">
        <f>+'3. Tipo Generación'!C7</f>
        <v>44503</v>
      </c>
      <c r="D5" s="367">
        <f>+'3. Tipo Generación'!D7</f>
        <v>44531</v>
      </c>
      <c r="E5" s="367">
        <f>+'3. Tipo Generación'!E7</f>
        <v>44166</v>
      </c>
      <c r="F5" s="368" t="s">
        <v>35</v>
      </c>
      <c r="G5" s="369">
        <v>2021</v>
      </c>
      <c r="H5" s="369">
        <v>2020</v>
      </c>
      <c r="I5" s="368" t="s">
        <v>487</v>
      </c>
      <c r="J5" s="369">
        <v>2019</v>
      </c>
      <c r="K5" s="368" t="s">
        <v>455</v>
      </c>
      <c r="L5" s="19"/>
    </row>
    <row r="6" spans="1:12" ht="11.25" customHeight="1">
      <c r="A6" s="139" t="s">
        <v>44</v>
      </c>
      <c r="B6" s="279">
        <v>2250.4857331849998</v>
      </c>
      <c r="C6" s="280">
        <v>2397.5286883825001</v>
      </c>
      <c r="D6" s="281">
        <v>2942.2881527525005</v>
      </c>
      <c r="E6" s="279">
        <v>2747.8717605600013</v>
      </c>
      <c r="F6" s="249">
        <f>IF(E6=0,"",D6/E6-1)</f>
        <v>7.0751624942234637E-2</v>
      </c>
      <c r="G6" s="279">
        <v>30664.412630418999</v>
      </c>
      <c r="H6" s="280">
        <v>29317.562410899998</v>
      </c>
      <c r="I6" s="249">
        <f t="shared" ref="I6:I16" si="0">IF(H6=0,"",G6/H6-1)</f>
        <v>4.594004783352168E-2</v>
      </c>
      <c r="J6" s="279">
        <v>30168.429254412509</v>
      </c>
      <c r="K6" s="249">
        <f>IF(J6=0,"",H6/J6-1)</f>
        <v>-2.8203882818594539E-2</v>
      </c>
      <c r="L6" s="24"/>
    </row>
    <row r="7" spans="1:12" ht="11.25" customHeight="1">
      <c r="A7" s="140" t="s">
        <v>50</v>
      </c>
      <c r="B7" s="282">
        <v>1979.5457025975002</v>
      </c>
      <c r="C7" s="244">
        <v>1797.8799037850004</v>
      </c>
      <c r="D7" s="283">
        <v>1428.8409266925</v>
      </c>
      <c r="E7" s="282">
        <v>1512.5081529175004</v>
      </c>
      <c r="F7" s="250">
        <f t="shared" ref="F7:F18" si="1">IF(E7=0,"",D7/E7-1)</f>
        <v>-5.531687618583303E-2</v>
      </c>
      <c r="G7" s="282">
        <v>19366.858032284999</v>
      </c>
      <c r="H7" s="244">
        <v>16221.763358342501</v>
      </c>
      <c r="I7" s="250">
        <f t="shared" si="0"/>
        <v>0.19388118322691739</v>
      </c>
      <c r="J7" s="282">
        <v>18924.906565627032</v>
      </c>
      <c r="K7" s="250">
        <f t="shared" ref="K7:K19" si="2">IF(J7=0,"",H7/J7-1)</f>
        <v>-0.14283522076638422</v>
      </c>
      <c r="L7" s="22"/>
    </row>
    <row r="8" spans="1:12" ht="11.25" customHeight="1">
      <c r="A8" s="141" t="s">
        <v>51</v>
      </c>
      <c r="B8" s="284">
        <v>67.945526812500006</v>
      </c>
      <c r="C8" s="245">
        <v>63.106733195000004</v>
      </c>
      <c r="D8" s="285">
        <v>60.695053249999994</v>
      </c>
      <c r="E8" s="284">
        <v>63.907956690000006</v>
      </c>
      <c r="F8" s="324">
        <f t="shared" si="1"/>
        <v>-5.0273919029909298E-2</v>
      </c>
      <c r="G8" s="284">
        <v>724.35646725999993</v>
      </c>
      <c r="H8" s="245">
        <v>622.39824454250004</v>
      </c>
      <c r="I8" s="324">
        <f t="shared" si="0"/>
        <v>0.16381508722352733</v>
      </c>
      <c r="J8" s="284">
        <v>618.79252751499996</v>
      </c>
      <c r="K8" s="324">
        <f t="shared" si="2"/>
        <v>5.8270209596424927E-3</v>
      </c>
      <c r="L8" s="22"/>
    </row>
    <row r="9" spans="1:12" ht="11.25" customHeight="1">
      <c r="A9" s="140" t="s">
        <v>52</v>
      </c>
      <c r="B9" s="282">
        <v>23.349061807500004</v>
      </c>
      <c r="C9" s="244">
        <v>4.6644430350000006</v>
      </c>
      <c r="D9" s="283">
        <v>1.6097044149999999</v>
      </c>
      <c r="E9" s="282">
        <v>1.996748505</v>
      </c>
      <c r="F9" s="250"/>
      <c r="G9" s="282">
        <v>218.93550600749995</v>
      </c>
      <c r="H9" s="244">
        <v>73.956694942500008</v>
      </c>
      <c r="I9" s="250">
        <f t="shared" si="0"/>
        <v>1.9603203087660739</v>
      </c>
      <c r="J9" s="282">
        <v>323.70749704750006</v>
      </c>
      <c r="K9" s="250">
        <f t="shared" si="2"/>
        <v>-0.77153233824656287</v>
      </c>
      <c r="L9" s="22"/>
    </row>
    <row r="10" spans="1:12" ht="11.25" customHeight="1">
      <c r="A10" s="141" t="s">
        <v>53</v>
      </c>
      <c r="B10" s="284">
        <v>0</v>
      </c>
      <c r="C10" s="245">
        <v>0</v>
      </c>
      <c r="D10" s="285">
        <v>0</v>
      </c>
      <c r="E10" s="284">
        <v>0</v>
      </c>
      <c r="F10" s="324" t="str">
        <f t="shared" si="1"/>
        <v/>
      </c>
      <c r="G10" s="284">
        <v>0</v>
      </c>
      <c r="H10" s="245">
        <v>0</v>
      </c>
      <c r="I10" s="324" t="str">
        <f t="shared" si="0"/>
        <v/>
      </c>
      <c r="J10" s="284">
        <v>0</v>
      </c>
      <c r="K10" s="324" t="str">
        <f t="shared" si="2"/>
        <v/>
      </c>
      <c r="L10" s="22"/>
    </row>
    <row r="11" spans="1:12" ht="11.25" customHeight="1">
      <c r="A11" s="140" t="s">
        <v>26</v>
      </c>
      <c r="B11" s="282">
        <v>1.2422653575</v>
      </c>
      <c r="C11" s="244">
        <v>0</v>
      </c>
      <c r="D11" s="283">
        <v>5.8992881600000002</v>
      </c>
      <c r="E11" s="282">
        <v>0</v>
      </c>
      <c r="F11" s="250" t="str">
        <f t="shared" si="1"/>
        <v/>
      </c>
      <c r="G11" s="282">
        <v>28.600194885000001</v>
      </c>
      <c r="H11" s="244">
        <v>13.023314237500001</v>
      </c>
      <c r="I11" s="250">
        <f t="shared" si="0"/>
        <v>1.1960765411501111</v>
      </c>
      <c r="J11" s="282">
        <v>36.149195487499995</v>
      </c>
      <c r="K11" s="250">
        <f t="shared" si="2"/>
        <v>-0.63973432708887468</v>
      </c>
      <c r="L11" s="24"/>
    </row>
    <row r="12" spans="1:12" ht="11.25" customHeight="1">
      <c r="A12" s="141" t="s">
        <v>45</v>
      </c>
      <c r="B12" s="284">
        <v>0.44063515999999997</v>
      </c>
      <c r="C12" s="245">
        <v>1.3970749375</v>
      </c>
      <c r="D12" s="285">
        <v>0.52959690000000004</v>
      </c>
      <c r="E12" s="284">
        <v>1.3010617725</v>
      </c>
      <c r="F12" s="324">
        <f t="shared" si="1"/>
        <v>-0.59295022635060923</v>
      </c>
      <c r="G12" s="284">
        <v>7.6434154775000005</v>
      </c>
      <c r="H12" s="245">
        <v>8.6585097225000016</v>
      </c>
      <c r="I12" s="324">
        <f t="shared" si="0"/>
        <v>-0.1172366004697295</v>
      </c>
      <c r="J12" s="284">
        <v>47.179359552499989</v>
      </c>
      <c r="K12" s="324">
        <f t="shared" si="2"/>
        <v>-0.81647674312185115</v>
      </c>
      <c r="L12" s="22"/>
    </row>
    <row r="13" spans="1:12" ht="11.25" customHeight="1">
      <c r="A13" s="140" t="s">
        <v>46</v>
      </c>
      <c r="B13" s="282">
        <v>0</v>
      </c>
      <c r="C13" s="244">
        <v>0</v>
      </c>
      <c r="D13" s="283">
        <v>0</v>
      </c>
      <c r="E13" s="282">
        <v>0</v>
      </c>
      <c r="F13" s="250" t="str">
        <f>IF(E13=0,"",D13/E13-1)</f>
        <v/>
      </c>
      <c r="G13" s="282">
        <v>0</v>
      </c>
      <c r="H13" s="244">
        <v>0</v>
      </c>
      <c r="I13" s="250" t="str">
        <f t="shared" si="0"/>
        <v/>
      </c>
      <c r="J13" s="282">
        <v>0.282469725</v>
      </c>
      <c r="K13" s="250">
        <f t="shared" si="2"/>
        <v>-1</v>
      </c>
      <c r="L13" s="22"/>
    </row>
    <row r="14" spans="1:12" ht="11.25" customHeight="1">
      <c r="A14" s="141" t="s">
        <v>47</v>
      </c>
      <c r="B14" s="284">
        <v>3.2080604925</v>
      </c>
      <c r="C14" s="245">
        <v>1.4081270349999999</v>
      </c>
      <c r="D14" s="285">
        <v>0.93898818999999989</v>
      </c>
      <c r="E14" s="284">
        <v>1.79506977</v>
      </c>
      <c r="F14" s="324">
        <f>IF(E14=0,"",D14/E14-1)</f>
        <v>-0.47690713436726206</v>
      </c>
      <c r="G14" s="284">
        <v>21.294846657500003</v>
      </c>
      <c r="H14" s="245">
        <v>43.784422135</v>
      </c>
      <c r="I14" s="324">
        <f t="shared" si="0"/>
        <v>-0.51364330921527634</v>
      </c>
      <c r="J14" s="284">
        <v>109.86808108046878</v>
      </c>
      <c r="K14" s="324">
        <f t="shared" si="2"/>
        <v>-0.60148187076343196</v>
      </c>
      <c r="L14" s="22"/>
    </row>
    <row r="15" spans="1:12" ht="11.25" customHeight="1">
      <c r="A15" s="140" t="s">
        <v>48</v>
      </c>
      <c r="B15" s="282">
        <v>30.65419786</v>
      </c>
      <c r="C15" s="244">
        <v>28.865742305000001</v>
      </c>
      <c r="D15" s="283">
        <v>23.252673597499999</v>
      </c>
      <c r="E15" s="282">
        <v>24.962695205000003</v>
      </c>
      <c r="F15" s="250">
        <f t="shared" si="1"/>
        <v>-6.8503084040279716E-2</v>
      </c>
      <c r="G15" s="282">
        <v>276.82038679249996</v>
      </c>
      <c r="H15" s="244">
        <v>244.06263210500001</v>
      </c>
      <c r="I15" s="250">
        <f>IF(H15=0,"",G15/H15-1)</f>
        <v>0.13421864053898669</v>
      </c>
      <c r="J15" s="282">
        <v>186.31921590500002</v>
      </c>
      <c r="K15" s="250">
        <f t="shared" si="2"/>
        <v>0.30991659083323997</v>
      </c>
      <c r="L15" s="22"/>
    </row>
    <row r="16" spans="1:12" ht="11.25" customHeight="1">
      <c r="A16" s="141" t="s">
        <v>49</v>
      </c>
      <c r="B16" s="284">
        <v>6.7546344249999999</v>
      </c>
      <c r="C16" s="245">
        <v>5.7546923999999997</v>
      </c>
      <c r="D16" s="285">
        <v>5.3222992749999998</v>
      </c>
      <c r="E16" s="284">
        <v>8.0370835375000009</v>
      </c>
      <c r="F16" s="324">
        <f t="shared" si="1"/>
        <v>-0.33778226266196765</v>
      </c>
      <c r="G16" s="284">
        <v>78.8717378825</v>
      </c>
      <c r="H16" s="245">
        <v>60.374050817499999</v>
      </c>
      <c r="I16" s="324">
        <f t="shared" si="0"/>
        <v>0.30638472679123718</v>
      </c>
      <c r="J16" s="284">
        <v>65.621736262499994</v>
      </c>
      <c r="K16" s="324">
        <f t="shared" si="2"/>
        <v>-7.9968707685639573E-2</v>
      </c>
      <c r="L16" s="22"/>
    </row>
    <row r="17" spans="1:12" ht="11.25" customHeight="1">
      <c r="A17" s="140" t="s">
        <v>30</v>
      </c>
      <c r="B17" s="282">
        <v>80.826964455000009</v>
      </c>
      <c r="C17" s="244">
        <v>76.359484742500001</v>
      </c>
      <c r="D17" s="283">
        <v>73.559578087499986</v>
      </c>
      <c r="E17" s="282">
        <v>73.650183339999998</v>
      </c>
      <c r="F17" s="250">
        <f t="shared" si="1"/>
        <v>-1.2302108208168683E-3</v>
      </c>
      <c r="G17" s="282">
        <v>801.91851950750004</v>
      </c>
      <c r="H17" s="244">
        <v>777.86027249749998</v>
      </c>
      <c r="I17" s="250">
        <f>IF(H17=0,"",G17/H17-1)</f>
        <v>3.0928751423125789E-2</v>
      </c>
      <c r="J17" s="282">
        <v>761.72576047749976</v>
      </c>
      <c r="K17" s="250">
        <f t="shared" si="2"/>
        <v>2.1181523400082947E-2</v>
      </c>
      <c r="L17" s="22"/>
    </row>
    <row r="18" spans="1:12" ht="11.25" customHeight="1">
      <c r="A18" s="141" t="s">
        <v>29</v>
      </c>
      <c r="B18" s="284">
        <v>174.44814286999997</v>
      </c>
      <c r="C18" s="245">
        <v>159.58530474500003</v>
      </c>
      <c r="D18" s="285">
        <v>144.32565196250002</v>
      </c>
      <c r="E18" s="284">
        <v>147.22592473</v>
      </c>
      <c r="F18" s="324">
        <f t="shared" si="1"/>
        <v>-1.9699470543783959E-2</v>
      </c>
      <c r="G18" s="284">
        <v>1800.6359014000002</v>
      </c>
      <c r="H18" s="245">
        <v>1803.1959296025</v>
      </c>
      <c r="I18" s="324">
        <f>IF(H18=0,"",G18/H18-1)</f>
        <v>-1.4197171591132651E-3</v>
      </c>
      <c r="J18" s="284">
        <v>1646.1619703125</v>
      </c>
      <c r="K18" s="324">
        <f t="shared" si="2"/>
        <v>9.5393990459024636E-2</v>
      </c>
      <c r="L18" s="22"/>
    </row>
    <row r="19" spans="1:12" ht="11.25" customHeight="1">
      <c r="A19" s="146" t="s">
        <v>42</v>
      </c>
      <c r="B19" s="286">
        <f>SUM(B6:B18)</f>
        <v>4618.9009250225017</v>
      </c>
      <c r="C19" s="287">
        <f>SUM(C6:C18)</f>
        <v>4536.5501945625001</v>
      </c>
      <c r="D19" s="569">
        <f>SUM(D6:D18)</f>
        <v>4687.2619132824993</v>
      </c>
      <c r="E19" s="286">
        <f>SUM(E6:E18)</f>
        <v>4583.2566370275017</v>
      </c>
      <c r="F19" s="325">
        <f>IF(E19=0,"",D19/E19-1)</f>
        <v>2.2692440003196257E-2</v>
      </c>
      <c r="G19" s="286">
        <f>SUM(G6:G18)</f>
        <v>53990.347638574</v>
      </c>
      <c r="H19" s="287">
        <f>SUM(H6:H18)</f>
        <v>49186.639839845004</v>
      </c>
      <c r="I19" s="325">
        <f>IF(H19=0,"",G19/H19-1)</f>
        <v>9.7662857523306945E-2</v>
      </c>
      <c r="J19" s="286">
        <f>SUM(J6:J18)</f>
        <v>52889.143633405023</v>
      </c>
      <c r="K19" s="325">
        <f t="shared" si="2"/>
        <v>-7.0004986641937217E-2</v>
      </c>
      <c r="L19" s="30"/>
    </row>
    <row r="20" spans="1:12" ht="11.25" customHeight="1">
      <c r="A20" s="22"/>
      <c r="B20" s="22"/>
      <c r="C20" s="22"/>
      <c r="D20" s="22"/>
      <c r="E20" s="22"/>
      <c r="F20" s="22"/>
      <c r="G20" s="22"/>
      <c r="H20" s="22"/>
      <c r="I20" s="22"/>
      <c r="J20" s="22"/>
      <c r="K20" s="22"/>
      <c r="L20" s="22"/>
    </row>
    <row r="21" spans="1:12" ht="11.25" customHeight="1">
      <c r="A21" s="142" t="s">
        <v>39</v>
      </c>
      <c r="B21" s="232">
        <v>0</v>
      </c>
      <c r="C21" s="233">
        <v>0</v>
      </c>
      <c r="D21" s="304">
        <v>3.9812734000000001</v>
      </c>
      <c r="E21" s="553">
        <v>0</v>
      </c>
      <c r="F21" s="120" t="str">
        <f>IF(E21=0,"",D21/E21-1)</f>
        <v/>
      </c>
      <c r="G21" s="232">
        <v>43.009668510000004</v>
      </c>
      <c r="H21" s="303">
        <v>37.447757109999998</v>
      </c>
      <c r="I21" s="123">
        <f>IF(H21=0,"",G21/H21-1)</f>
        <v>0.14852455338412685</v>
      </c>
      <c r="J21" s="232">
        <v>60.050445310000001</v>
      </c>
      <c r="K21" s="120">
        <f>IF(J21=0,"",H21/J21-1)</f>
        <v>-0.37639501394731623</v>
      </c>
      <c r="L21" s="22"/>
    </row>
    <row r="22" spans="1:12" ht="11.25" customHeight="1">
      <c r="A22" s="143" t="s">
        <v>40</v>
      </c>
      <c r="B22" s="229">
        <v>0</v>
      </c>
      <c r="C22" s="230">
        <v>0</v>
      </c>
      <c r="D22" s="231">
        <v>0</v>
      </c>
      <c r="E22" s="554">
        <v>0</v>
      </c>
      <c r="F22" s="552" t="str">
        <f>IF(E22=0,"",D22/E22-1)</f>
        <v/>
      </c>
      <c r="G22" s="229">
        <v>0</v>
      </c>
      <c r="H22" s="230">
        <v>0</v>
      </c>
      <c r="I22" s="115" t="str">
        <f>IF(H22=0,"",G22/H22-1)</f>
        <v/>
      </c>
      <c r="J22" s="229">
        <v>0</v>
      </c>
      <c r="K22" s="121" t="str">
        <f>IF(J22=0,"",H22/J22-1)</f>
        <v/>
      </c>
      <c r="L22" s="22"/>
    </row>
    <row r="23" spans="1:12" ht="23.25" customHeight="1">
      <c r="A23" s="144" t="s">
        <v>41</v>
      </c>
      <c r="B23" s="242">
        <f>+B22-B21</f>
        <v>0</v>
      </c>
      <c r="C23" s="243">
        <f>+C22-C21</f>
        <v>0</v>
      </c>
      <c r="D23" s="326">
        <f>+D22-D21</f>
        <v>-3.9812734000000001</v>
      </c>
      <c r="E23" s="555">
        <f>+E22-E21</f>
        <v>0</v>
      </c>
      <c r="F23" s="243"/>
      <c r="G23" s="242">
        <f>+G22-G21</f>
        <v>-43.009668510000004</v>
      </c>
      <c r="H23" s="243">
        <f>+H22-H21</f>
        <v>-37.447757109999998</v>
      </c>
      <c r="I23" s="124"/>
      <c r="J23" s="242">
        <f>+J22-J21</f>
        <v>-60.050445310000001</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diciembre.</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Diciembre 2021
INFSGI-MES-12-2021
21/02/2022
Versión: 02</oddHeader>
    <oddFooter>&amp;L&amp;7COES, 2021&amp;C4&amp;R&amp;7Dirección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F52" sqref="F52"/>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0"/>
  </cols>
  <sheetData>
    <row r="1" spans="1:12" ht="11.25" customHeight="1"/>
    <row r="2" spans="1:12" ht="11.25" customHeight="1">
      <c r="A2" s="862" t="s">
        <v>228</v>
      </c>
      <c r="B2" s="862"/>
      <c r="C2" s="862"/>
      <c r="D2" s="862"/>
      <c r="E2" s="862"/>
      <c r="F2" s="862"/>
      <c r="G2" s="862"/>
      <c r="H2" s="862"/>
      <c r="I2" s="862"/>
      <c r="J2" s="862"/>
      <c r="K2" s="862"/>
      <c r="L2" s="441"/>
    </row>
    <row r="3" spans="1:12" ht="11.25" customHeight="1">
      <c r="A3" s="74"/>
      <c r="B3" s="73"/>
      <c r="C3" s="73"/>
      <c r="D3" s="73"/>
      <c r="E3" s="73"/>
      <c r="F3" s="73"/>
      <c r="G3" s="73"/>
      <c r="H3" s="73"/>
      <c r="I3" s="73"/>
      <c r="J3" s="73"/>
      <c r="K3" s="73"/>
      <c r="L3" s="441"/>
    </row>
    <row r="4" spans="1:12" ht="15.75" customHeight="1">
      <c r="A4" s="860" t="s">
        <v>224</v>
      </c>
      <c r="B4" s="857" t="s">
        <v>33</v>
      </c>
      <c r="C4" s="858"/>
      <c r="D4" s="858"/>
      <c r="E4" s="858" t="s">
        <v>34</v>
      </c>
      <c r="F4" s="858"/>
      <c r="G4" s="859" t="str">
        <f>+'4. Tipo Recurso'!G4:K4</f>
        <v>Generación Acumulada a diciembre</v>
      </c>
      <c r="H4" s="859"/>
      <c r="I4" s="859"/>
      <c r="J4" s="859"/>
      <c r="K4" s="859"/>
      <c r="L4" s="442"/>
    </row>
    <row r="5" spans="1:12" ht="29.25" customHeight="1">
      <c r="A5" s="860"/>
      <c r="B5" s="367">
        <f>+'4. Tipo Recurso'!B5</f>
        <v>44473</v>
      </c>
      <c r="C5" s="367">
        <f>+'4. Tipo Recurso'!C5</f>
        <v>44503</v>
      </c>
      <c r="D5" s="367">
        <f>+'4. Tipo Recurso'!D5</f>
        <v>44531</v>
      </c>
      <c r="E5" s="367">
        <f>+'4. Tipo Recurso'!E5</f>
        <v>44166</v>
      </c>
      <c r="F5" s="367" t="s">
        <v>35</v>
      </c>
      <c r="G5" s="369">
        <v>2021</v>
      </c>
      <c r="H5" s="369">
        <v>2020</v>
      </c>
      <c r="I5" s="368" t="s">
        <v>487</v>
      </c>
      <c r="J5" s="369">
        <v>2019</v>
      </c>
      <c r="K5" s="368" t="s">
        <v>455</v>
      </c>
      <c r="L5" s="443"/>
    </row>
    <row r="6" spans="1:12" ht="11.25" customHeight="1">
      <c r="A6" s="139" t="s">
        <v>44</v>
      </c>
      <c r="B6" s="279">
        <v>162.02183462999997</v>
      </c>
      <c r="C6" s="280">
        <v>195.22719574249999</v>
      </c>
      <c r="D6" s="281">
        <v>241.74531752999999</v>
      </c>
      <c r="E6" s="279">
        <v>231.41479590500001</v>
      </c>
      <c r="F6" s="249">
        <f t="shared" ref="F6:F11" si="0">IF(E6=0,"",D6/E6-1)</f>
        <v>4.4640713592232206E-2</v>
      </c>
      <c r="G6" s="279">
        <v>2319.2021281764951</v>
      </c>
      <c r="H6" s="280">
        <v>2085.0540282825</v>
      </c>
      <c r="I6" s="253">
        <f t="shared" ref="I6:I11" si="1">IF(H6=0,"",G6/H6-1)</f>
        <v>0.11229833698212</v>
      </c>
      <c r="J6" s="279">
        <v>1845.1128347400004</v>
      </c>
      <c r="K6" s="249">
        <f t="shared" ref="K6:K11" si="2">IF(J6=0,"",H6/J6-1)</f>
        <v>0.13004147444256997</v>
      </c>
      <c r="L6" s="444"/>
    </row>
    <row r="7" spans="1:12" ht="11.25" customHeight="1">
      <c r="A7" s="140" t="s">
        <v>38</v>
      </c>
      <c r="B7" s="282">
        <v>174.44814286999997</v>
      </c>
      <c r="C7" s="244">
        <v>159.58530474500003</v>
      </c>
      <c r="D7" s="283">
        <v>144.32565196250002</v>
      </c>
      <c r="E7" s="282">
        <v>147.22592473</v>
      </c>
      <c r="F7" s="250">
        <f t="shared" si="0"/>
        <v>-1.9699470543783959E-2</v>
      </c>
      <c r="G7" s="282">
        <v>1800.6359014000002</v>
      </c>
      <c r="H7" s="244">
        <v>1803.1959296025</v>
      </c>
      <c r="I7" s="239">
        <f t="shared" si="1"/>
        <v>-1.4197171591132651E-3</v>
      </c>
      <c r="J7" s="282">
        <v>1646.1619703125</v>
      </c>
      <c r="K7" s="250">
        <f t="shared" si="2"/>
        <v>9.5393990459024636E-2</v>
      </c>
      <c r="L7" s="444"/>
    </row>
    <row r="8" spans="1:12" ht="11.25" customHeight="1">
      <c r="A8" s="247" t="s">
        <v>30</v>
      </c>
      <c r="B8" s="332">
        <v>80.826964455000009</v>
      </c>
      <c r="C8" s="288">
        <v>76.359484742500001</v>
      </c>
      <c r="D8" s="333">
        <v>73.559578087499986</v>
      </c>
      <c r="E8" s="332">
        <v>73.650183339999998</v>
      </c>
      <c r="F8" s="251">
        <f t="shared" si="0"/>
        <v>-1.2302108208168683E-3</v>
      </c>
      <c r="G8" s="332">
        <v>801.91851950750004</v>
      </c>
      <c r="H8" s="288">
        <v>777.86027249749998</v>
      </c>
      <c r="I8" s="246">
        <f t="shared" si="1"/>
        <v>3.0928751423125789E-2</v>
      </c>
      <c r="J8" s="332">
        <v>761.72576047749976</v>
      </c>
      <c r="K8" s="251">
        <f t="shared" si="2"/>
        <v>2.1181523400082947E-2</v>
      </c>
      <c r="L8" s="444"/>
    </row>
    <row r="9" spans="1:12" ht="11.25" customHeight="1">
      <c r="A9" s="140" t="s">
        <v>48</v>
      </c>
      <c r="B9" s="282">
        <v>30.65419786</v>
      </c>
      <c r="C9" s="244">
        <v>28.865742305000001</v>
      </c>
      <c r="D9" s="283">
        <v>23.252673597499999</v>
      </c>
      <c r="E9" s="282">
        <v>24.962695205000003</v>
      </c>
      <c r="F9" s="250">
        <f t="shared" si="0"/>
        <v>-6.8503084040279716E-2</v>
      </c>
      <c r="G9" s="282">
        <v>276.82038679249996</v>
      </c>
      <c r="H9" s="244">
        <v>244.06263210500001</v>
      </c>
      <c r="I9" s="239">
        <f t="shared" si="1"/>
        <v>0.13421864053898669</v>
      </c>
      <c r="J9" s="282">
        <v>186.31921590500002</v>
      </c>
      <c r="K9" s="250">
        <f t="shared" si="2"/>
        <v>0.30991659083323997</v>
      </c>
      <c r="L9" s="445"/>
    </row>
    <row r="10" spans="1:12" ht="11.25" customHeight="1">
      <c r="A10" s="248" t="s">
        <v>49</v>
      </c>
      <c r="B10" s="334">
        <v>6.7546344249999999</v>
      </c>
      <c r="C10" s="335">
        <v>5.7546923999999997</v>
      </c>
      <c r="D10" s="336">
        <v>5.3222992749999998</v>
      </c>
      <c r="E10" s="334">
        <v>8.0370835375000009</v>
      </c>
      <c r="F10" s="252">
        <f t="shared" si="0"/>
        <v>-0.33778226266196765</v>
      </c>
      <c r="G10" s="334">
        <v>78.8717378825</v>
      </c>
      <c r="H10" s="335">
        <v>60.374050817499999</v>
      </c>
      <c r="I10" s="254">
        <f t="shared" si="1"/>
        <v>0.30638472679123718</v>
      </c>
      <c r="J10" s="334">
        <v>65.621736262499994</v>
      </c>
      <c r="K10" s="252">
        <f t="shared" si="2"/>
        <v>-7.9968707685639573E-2</v>
      </c>
      <c r="L10" s="444"/>
    </row>
    <row r="11" spans="1:12" ht="11.25" customHeight="1">
      <c r="A11" s="255" t="s">
        <v>221</v>
      </c>
      <c r="B11" s="316">
        <f>+B6+B7+B8+B9+B10</f>
        <v>454.70577423999993</v>
      </c>
      <c r="C11" s="317">
        <f t="shared" ref="C11:D11" si="3">+C6+C7+C8+C9+C10</f>
        <v>465.79241993500005</v>
      </c>
      <c r="D11" s="318">
        <f t="shared" si="3"/>
        <v>488.20552045249997</v>
      </c>
      <c r="E11" s="319">
        <f>+E6+E7+E8+E9+E10</f>
        <v>485.29068271749998</v>
      </c>
      <c r="F11" s="256">
        <f t="shared" si="0"/>
        <v>6.0063748157654917E-3</v>
      </c>
      <c r="G11" s="330">
        <f>+G6+G7+G8+G9+G10</f>
        <v>5277.4486737589959</v>
      </c>
      <c r="H11" s="331">
        <f>+H6+H7+H8+H9+H10</f>
        <v>4970.5469133050001</v>
      </c>
      <c r="I11" s="257">
        <f t="shared" si="1"/>
        <v>6.1744062737340011E-2</v>
      </c>
      <c r="J11" s="330">
        <f>+J6+J7+J8+J9+J10</f>
        <v>4504.9415176975008</v>
      </c>
      <c r="K11" s="256">
        <f t="shared" si="2"/>
        <v>0.10335437070123676</v>
      </c>
      <c r="L11" s="442"/>
    </row>
    <row r="12" spans="1:12" ht="24.75" customHeight="1">
      <c r="A12" s="258" t="s">
        <v>222</v>
      </c>
      <c r="B12" s="259">
        <f>B11/'4. Tipo Recurso'!B19</f>
        <v>9.8444582731071414E-2</v>
      </c>
      <c r="C12" s="567">
        <f>C11/'4. Tipo Recurso'!C19</f>
        <v>0.10267546923503633</v>
      </c>
      <c r="D12" s="448">
        <f>D11/'4. Tipo Recurso'!D19</f>
        <v>0.10415580129393892</v>
      </c>
      <c r="E12" s="259">
        <f>E11/'4. Tipo Recurso'!E19</f>
        <v>0.10588337532681524</v>
      </c>
      <c r="F12" s="260"/>
      <c r="G12" s="259">
        <f>G11/'4. Tipo Recurso'!G19</f>
        <v>9.7748003200269537E-2</v>
      </c>
      <c r="H12" s="257">
        <f>H11/'4. Tipo Recurso'!H19</f>
        <v>0.1010548175173062</v>
      </c>
      <c r="I12" s="257"/>
      <c r="J12" s="259">
        <f>J11/'4. Tipo Recurso'!J19</f>
        <v>8.5177055407116842E-2</v>
      </c>
      <c r="K12" s="260"/>
      <c r="L12" s="442"/>
    </row>
    <row r="13" spans="1:12" ht="11.25" customHeight="1">
      <c r="A13" s="261" t="s">
        <v>223</v>
      </c>
      <c r="B13" s="134"/>
      <c r="C13" s="134"/>
      <c r="D13" s="134"/>
      <c r="E13" s="134"/>
      <c r="F13" s="134"/>
      <c r="G13" s="134"/>
      <c r="H13" s="134"/>
      <c r="I13" s="134"/>
      <c r="J13" s="134"/>
      <c r="K13" s="135"/>
      <c r="L13" s="442"/>
    </row>
    <row r="14" spans="1:12" ht="35.25" customHeight="1">
      <c r="A14" s="863" t="s">
        <v>602</v>
      </c>
      <c r="B14" s="863"/>
      <c r="C14" s="863"/>
      <c r="D14" s="863"/>
      <c r="E14" s="863"/>
      <c r="F14" s="863"/>
      <c r="G14" s="863"/>
      <c r="H14" s="863"/>
      <c r="I14" s="863"/>
      <c r="J14" s="863"/>
      <c r="K14" s="863"/>
      <c r="L14" s="442"/>
    </row>
    <row r="15" spans="1:12" ht="11.25" customHeight="1">
      <c r="A15" s="31"/>
      <c r="L15" s="442"/>
    </row>
    <row r="16" spans="1:12" ht="11.25" customHeight="1">
      <c r="A16" s="136"/>
      <c r="B16" s="147"/>
      <c r="C16" s="147"/>
      <c r="D16" s="147"/>
      <c r="E16" s="147"/>
      <c r="F16" s="147"/>
      <c r="G16" s="147"/>
      <c r="H16" s="147"/>
      <c r="I16" s="147"/>
      <c r="J16" s="147"/>
      <c r="K16" s="147"/>
      <c r="L16" s="442"/>
    </row>
    <row r="17" spans="1:12" ht="11.25" customHeight="1">
      <c r="A17" s="147"/>
      <c r="B17" s="147"/>
      <c r="C17" s="147"/>
      <c r="D17" s="147"/>
      <c r="E17" s="147"/>
      <c r="F17" s="147"/>
      <c r="G17" s="147"/>
      <c r="H17" s="147"/>
      <c r="I17" s="147"/>
      <c r="J17" s="147"/>
      <c r="K17" s="147"/>
      <c r="L17" s="442"/>
    </row>
    <row r="18" spans="1:12" ht="11.25" customHeight="1">
      <c r="A18" s="147"/>
      <c r="B18" s="147"/>
      <c r="C18" s="147"/>
      <c r="D18" s="147"/>
      <c r="E18" s="147"/>
      <c r="F18" s="147"/>
      <c r="G18" s="147"/>
      <c r="H18" s="147"/>
      <c r="I18" s="147"/>
      <c r="J18" s="147"/>
      <c r="K18" s="147"/>
      <c r="L18" s="446"/>
    </row>
    <row r="19" spans="1:12" ht="11.25" customHeight="1">
      <c r="A19" s="136"/>
      <c r="B19" s="138"/>
      <c r="C19" s="138"/>
      <c r="D19" s="138"/>
      <c r="E19" s="138"/>
      <c r="F19" s="138"/>
      <c r="G19" s="138"/>
      <c r="H19" s="138"/>
      <c r="I19" s="138"/>
      <c r="J19" s="138"/>
      <c r="K19" s="138"/>
      <c r="L19" s="442"/>
    </row>
    <row r="20" spans="1:12" ht="11.25" customHeight="1">
      <c r="A20" s="136"/>
      <c r="B20" s="138"/>
      <c r="C20" s="138"/>
      <c r="D20" s="138"/>
      <c r="E20" s="138"/>
      <c r="F20" s="138"/>
      <c r="G20" s="138"/>
      <c r="H20" s="138"/>
      <c r="I20" s="138"/>
      <c r="J20" s="138"/>
      <c r="K20" s="138"/>
      <c r="L20" s="442"/>
    </row>
    <row r="21" spans="1:12" ht="11.25" customHeight="1">
      <c r="A21" s="136"/>
      <c r="B21" s="138"/>
      <c r="C21" s="138"/>
      <c r="D21" s="138"/>
      <c r="E21" s="138"/>
      <c r="F21" s="138"/>
      <c r="G21" s="138"/>
      <c r="H21" s="138"/>
      <c r="I21" s="138"/>
      <c r="J21" s="138"/>
      <c r="K21" s="138"/>
      <c r="L21" s="442"/>
    </row>
    <row r="22" spans="1:12" ht="11.25" customHeight="1">
      <c r="A22" s="136"/>
      <c r="B22" s="138"/>
      <c r="C22" s="138"/>
      <c r="D22" s="138"/>
      <c r="E22" s="138"/>
      <c r="F22" s="138"/>
      <c r="G22" s="138"/>
      <c r="H22" s="138"/>
      <c r="I22" s="138"/>
      <c r="J22" s="138"/>
      <c r="K22" s="138"/>
      <c r="L22" s="446"/>
    </row>
    <row r="23" spans="1:12" ht="11.25" customHeight="1">
      <c r="A23" s="136"/>
      <c r="B23" s="138"/>
      <c r="C23" s="138"/>
      <c r="D23" s="138"/>
      <c r="E23" s="138"/>
      <c r="F23" s="138"/>
      <c r="G23" s="138"/>
      <c r="H23" s="138"/>
      <c r="I23" s="138"/>
      <c r="J23" s="138"/>
      <c r="K23" s="138"/>
      <c r="L23" s="442"/>
    </row>
    <row r="24" spans="1:12" ht="11.25" customHeight="1">
      <c r="A24" s="136"/>
      <c r="B24" s="138"/>
      <c r="C24" s="138"/>
      <c r="D24" s="138"/>
      <c r="E24" s="138"/>
      <c r="F24" s="138"/>
      <c r="G24" s="138"/>
      <c r="H24" s="138"/>
      <c r="I24" s="138"/>
      <c r="J24" s="138"/>
      <c r="K24" s="138"/>
      <c r="L24" s="442"/>
    </row>
    <row r="25" spans="1:12" ht="11.25" customHeight="1">
      <c r="A25" s="136"/>
      <c r="B25" s="138"/>
      <c r="C25" s="138"/>
      <c r="D25" s="138"/>
      <c r="E25" s="138"/>
      <c r="F25" s="138"/>
      <c r="G25" s="138"/>
      <c r="H25" s="138"/>
      <c r="I25" s="138"/>
      <c r="J25" s="138"/>
      <c r="K25" s="138"/>
      <c r="L25" s="442"/>
    </row>
    <row r="26" spans="1:12" ht="11.25" customHeight="1">
      <c r="A26" s="136"/>
      <c r="B26" s="138"/>
      <c r="C26" s="138"/>
      <c r="D26" s="138"/>
      <c r="E26" s="138"/>
      <c r="F26" s="138"/>
      <c r="G26" s="138"/>
      <c r="H26" s="138"/>
      <c r="I26" s="138"/>
      <c r="J26" s="138"/>
      <c r="K26" s="138"/>
      <c r="L26" s="442"/>
    </row>
    <row r="27" spans="1:12" ht="11.25" customHeight="1">
      <c r="A27" s="136"/>
      <c r="B27" s="138"/>
      <c r="C27" s="138"/>
      <c r="D27" s="138"/>
      <c r="E27" s="138"/>
      <c r="F27" s="138"/>
      <c r="G27" s="138"/>
      <c r="H27" s="138"/>
      <c r="I27" s="138"/>
      <c r="J27" s="138"/>
      <c r="K27" s="138"/>
      <c r="L27" s="442"/>
    </row>
    <row r="28" spans="1:12" ht="11.25" customHeight="1">
      <c r="A28" s="136"/>
      <c r="B28" s="138"/>
      <c r="C28" s="138"/>
      <c r="D28" s="138"/>
      <c r="E28" s="138"/>
      <c r="F28" s="138"/>
      <c r="G28" s="138"/>
      <c r="H28" s="138"/>
      <c r="I28" s="138"/>
      <c r="J28" s="138"/>
      <c r="K28" s="138"/>
      <c r="L28" s="442"/>
    </row>
    <row r="29" spans="1:12" ht="11.25" customHeight="1">
      <c r="A29" s="136"/>
      <c r="B29" s="138"/>
      <c r="C29" s="138"/>
      <c r="D29" s="138"/>
      <c r="E29" s="138"/>
      <c r="F29" s="138"/>
      <c r="G29" s="138"/>
      <c r="H29" s="138"/>
      <c r="I29" s="138"/>
      <c r="J29" s="138"/>
      <c r="K29" s="138"/>
      <c r="L29" s="442"/>
    </row>
    <row r="30" spans="1:12" ht="11.25" customHeight="1">
      <c r="A30" s="136"/>
      <c r="B30" s="138"/>
      <c r="C30" s="138"/>
      <c r="D30" s="138"/>
      <c r="E30" s="138"/>
      <c r="F30" s="138"/>
      <c r="G30" s="138"/>
      <c r="H30" s="138"/>
      <c r="I30" s="138"/>
      <c r="J30" s="138"/>
      <c r="K30" s="138"/>
      <c r="L30" s="442"/>
    </row>
    <row r="31" spans="1:12" ht="11.25" customHeight="1">
      <c r="A31" s="136"/>
      <c r="B31" s="138"/>
      <c r="C31" s="138"/>
      <c r="D31" s="138"/>
      <c r="E31" s="138"/>
      <c r="F31" s="138"/>
      <c r="G31" s="138"/>
      <c r="H31" s="138"/>
      <c r="I31" s="138"/>
      <c r="J31" s="138"/>
      <c r="K31" s="138"/>
      <c r="L31" s="442"/>
    </row>
    <row r="32" spans="1:12" ht="11.25" customHeight="1">
      <c r="A32" s="136"/>
      <c r="B32" s="138"/>
      <c r="C32" s="138"/>
      <c r="D32" s="138"/>
      <c r="E32" s="138"/>
      <c r="F32" s="138"/>
      <c r="G32" s="138"/>
      <c r="H32" s="138"/>
      <c r="I32" s="138"/>
      <c r="J32" s="138"/>
      <c r="K32" s="138"/>
      <c r="L32" s="442"/>
    </row>
    <row r="33" spans="1:16" ht="11.25" customHeight="1">
      <c r="A33" s="136"/>
      <c r="B33" s="138"/>
      <c r="C33" s="138"/>
      <c r="D33" s="138"/>
      <c r="E33" s="138"/>
      <c r="F33" s="138"/>
      <c r="G33" s="138"/>
      <c r="H33" s="138"/>
      <c r="I33" s="138"/>
      <c r="J33" s="138"/>
      <c r="K33" s="138"/>
      <c r="L33" s="442"/>
    </row>
    <row r="34" spans="1:16" ht="11.25" customHeight="1">
      <c r="A34" s="861" t="str">
        <f>"Gráfico N° 6: Comparación de la producción de energía eléctrica acumulada (GWh) con recursos energéticos renovables en "&amp;'1. Resumen'!Q4&amp;"."</f>
        <v>Gráfico N° 6: Comparación de la producción de energía eléctrica acumulada (GWh) con recursos energéticos renovables en diciembre.</v>
      </c>
      <c r="B34" s="861"/>
      <c r="C34" s="861"/>
      <c r="D34" s="861"/>
      <c r="E34" s="861"/>
      <c r="F34" s="861"/>
      <c r="G34" s="861"/>
      <c r="H34" s="861"/>
      <c r="I34" s="861"/>
      <c r="J34" s="861"/>
      <c r="K34" s="861"/>
      <c r="L34" s="614"/>
      <c r="M34" s="278"/>
      <c r="N34" s="278"/>
      <c r="O34" s="278"/>
    </row>
    <row r="35" spans="1:16" ht="11.25" customHeight="1">
      <c r="L35" s="615"/>
      <c r="M35" s="278"/>
      <c r="N35" s="278"/>
      <c r="O35" s="278"/>
    </row>
    <row r="36" spans="1:16" ht="11.25" customHeight="1">
      <c r="A36" s="136"/>
      <c r="B36" s="138"/>
      <c r="C36" s="138"/>
      <c r="D36" s="138"/>
      <c r="E36" s="138"/>
      <c r="F36" s="138"/>
      <c r="G36" s="138"/>
      <c r="H36" s="138"/>
      <c r="I36" s="138"/>
      <c r="J36" s="138"/>
      <c r="K36" s="138"/>
      <c r="L36" s="614"/>
      <c r="M36" s="278"/>
      <c r="N36" s="278"/>
      <c r="O36" s="278"/>
    </row>
    <row r="37" spans="1:16" ht="11.25" customHeight="1">
      <c r="A37" s="136"/>
      <c r="B37" s="138"/>
      <c r="C37" s="138"/>
      <c r="D37" s="138"/>
      <c r="E37" s="138"/>
      <c r="F37" s="138"/>
      <c r="G37" s="138"/>
      <c r="H37" s="138"/>
      <c r="I37" s="138"/>
      <c r="J37" s="138"/>
      <c r="K37" s="138"/>
      <c r="L37" s="614"/>
      <c r="M37" s="278"/>
      <c r="N37" s="278"/>
      <c r="O37" s="278"/>
    </row>
    <row r="38" spans="1:16" ht="11.25" customHeight="1">
      <c r="A38" s="136"/>
      <c r="B38" s="138"/>
      <c r="C38" s="138"/>
      <c r="D38" s="138"/>
      <c r="E38" s="138"/>
      <c r="F38" s="138"/>
      <c r="G38" s="138"/>
      <c r="H38" s="138"/>
      <c r="I38" s="138"/>
      <c r="J38" s="138"/>
      <c r="K38" s="138"/>
      <c r="L38" s="614"/>
      <c r="M38" s="278"/>
      <c r="N38" s="278"/>
      <c r="O38" s="278"/>
    </row>
    <row r="39" spans="1:16" ht="11.25" customHeight="1">
      <c r="A39" s="136"/>
      <c r="B39" s="138"/>
      <c r="C39" s="262" t="s">
        <v>226</v>
      </c>
      <c r="D39" s="158"/>
      <c r="E39" s="158"/>
      <c r="F39" s="329">
        <f>+'4. Tipo Recurso'!D19</f>
        <v>4687.2619132824993</v>
      </c>
      <c r="G39" s="262" t="s">
        <v>225</v>
      </c>
      <c r="H39" s="138"/>
      <c r="I39" s="138"/>
      <c r="J39" s="138"/>
      <c r="K39" s="138"/>
      <c r="L39" s="614"/>
      <c r="M39" s="616">
        <f>+F39-F40</f>
        <v>4199.0519132824993</v>
      </c>
      <c r="N39" s="278"/>
      <c r="O39" s="278"/>
      <c r="P39" s="447"/>
    </row>
    <row r="40" spans="1:16" ht="11.25" customHeight="1">
      <c r="A40" s="136"/>
      <c r="B40" s="138"/>
      <c r="C40" s="262" t="s">
        <v>227</v>
      </c>
      <c r="D40" s="158"/>
      <c r="E40" s="158"/>
      <c r="F40" s="329">
        <f>ROUND(D11,2)</f>
        <v>488.21</v>
      </c>
      <c r="G40" s="262" t="s">
        <v>225</v>
      </c>
      <c r="H40" s="138"/>
      <c r="I40" s="138"/>
      <c r="J40" s="138"/>
      <c r="K40" s="138"/>
      <c r="L40" s="614"/>
      <c r="M40" s="617"/>
      <c r="N40" s="278"/>
      <c r="O40" s="278"/>
      <c r="P40" s="447"/>
    </row>
    <row r="41" spans="1:16" ht="11.25" customHeight="1">
      <c r="A41" s="136"/>
      <c r="B41" s="138"/>
      <c r="C41" s="138"/>
      <c r="D41" s="138"/>
      <c r="E41" s="138"/>
      <c r="F41" s="138"/>
      <c r="G41" s="138"/>
      <c r="H41" s="138"/>
      <c r="I41" s="138"/>
      <c r="J41" s="138"/>
      <c r="K41" s="138"/>
      <c r="L41" s="614"/>
      <c r="M41" s="278"/>
      <c r="N41" s="278"/>
      <c r="O41" s="278"/>
      <c r="P41" s="447"/>
    </row>
    <row r="42" spans="1:16" ht="11.25" customHeight="1">
      <c r="A42" s="136"/>
      <c r="B42" s="138"/>
      <c r="C42" s="138"/>
      <c r="D42" s="138"/>
      <c r="E42" s="138"/>
      <c r="F42" s="138"/>
      <c r="G42" s="138"/>
      <c r="H42" s="138"/>
      <c r="I42" s="138"/>
      <c r="J42" s="138"/>
      <c r="K42" s="138"/>
      <c r="L42" s="614"/>
      <c r="M42" s="278"/>
      <c r="N42" s="278"/>
      <c r="O42" s="278"/>
      <c r="P42" s="447"/>
    </row>
    <row r="43" spans="1:16" ht="11.25" customHeight="1">
      <c r="A43" s="136"/>
      <c r="B43" s="138"/>
      <c r="C43" s="138"/>
      <c r="D43" s="138"/>
      <c r="E43" s="138"/>
      <c r="F43" s="138"/>
      <c r="G43" s="138"/>
      <c r="H43" s="138"/>
      <c r="I43" s="138"/>
      <c r="J43" s="138"/>
      <c r="K43" s="138"/>
      <c r="L43" s="442"/>
      <c r="P43" s="447"/>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diciembre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95" workbookViewId="0">
      <selection activeCell="F52" sqref="F52"/>
    </sheetView>
  </sheetViews>
  <sheetFormatPr baseColWidth="10" defaultColWidth="9.28515625" defaultRowHeight="10.199999999999999"/>
  <cols>
    <col min="1" max="11" width="10.28515625" customWidth="1"/>
    <col min="12" max="12" width="21.140625" style="579" bestFit="1" customWidth="1"/>
    <col min="13" max="14" width="9.28515625" style="579"/>
    <col min="15" max="15" width="11.85546875" style="579" customWidth="1"/>
    <col min="16" max="19" width="9.28515625" style="579"/>
    <col min="20" max="20" width="15" style="579" customWidth="1"/>
    <col min="21" max="21" width="9.28515625" style="579"/>
    <col min="22" max="22" width="14.140625" style="579" bestFit="1" customWidth="1"/>
    <col min="23" max="24" width="9.28515625" style="751"/>
    <col min="25" max="25" width="17.85546875" style="751" bestFit="1" customWidth="1"/>
  </cols>
  <sheetData>
    <row r="2" spans="1:26" ht="11.25" customHeight="1">
      <c r="A2" s="864" t="s">
        <v>232</v>
      </c>
      <c r="B2" s="864"/>
      <c r="C2" s="864"/>
      <c r="D2" s="864"/>
      <c r="E2" s="864"/>
      <c r="F2" s="864"/>
      <c r="G2" s="864"/>
      <c r="H2" s="864"/>
      <c r="I2" s="864"/>
      <c r="J2" s="864"/>
      <c r="K2" s="864"/>
    </row>
    <row r="3" spans="1:26" ht="11.25" customHeight="1"/>
    <row r="4" spans="1:26" ht="11.25" customHeight="1">
      <c r="L4" s="705" t="s">
        <v>54</v>
      </c>
      <c r="M4" s="706" t="s">
        <v>31</v>
      </c>
      <c r="N4" s="705"/>
      <c r="O4" s="707"/>
      <c r="P4" s="708"/>
      <c r="Q4" s="708"/>
    </row>
    <row r="5" spans="1:26" ht="10.5" customHeight="1">
      <c r="A5" s="149"/>
      <c r="B5" s="138"/>
      <c r="C5" s="138"/>
      <c r="D5" s="138"/>
      <c r="E5" s="138"/>
      <c r="F5" s="138"/>
      <c r="G5" s="138"/>
      <c r="H5" s="138"/>
      <c r="I5" s="138"/>
      <c r="J5" s="138"/>
      <c r="K5" s="138"/>
      <c r="L5" s="705"/>
      <c r="M5" s="706"/>
      <c r="N5" s="705"/>
      <c r="O5" s="705" t="s">
        <v>55</v>
      </c>
      <c r="P5" s="705" t="s">
        <v>56</v>
      </c>
      <c r="Q5" s="705"/>
      <c r="U5" s="579">
        <v>2021</v>
      </c>
      <c r="V5" s="709">
        <v>2020</v>
      </c>
      <c r="W5" s="820"/>
    </row>
    <row r="6" spans="1:26" ht="10.5" customHeight="1">
      <c r="A6" s="111"/>
      <c r="B6" s="138"/>
      <c r="C6" s="138"/>
      <c r="D6" s="138"/>
      <c r="E6" s="138"/>
      <c r="F6" s="138"/>
      <c r="G6" s="138"/>
      <c r="H6" s="138"/>
      <c r="I6" s="138"/>
      <c r="J6" s="138"/>
      <c r="K6" s="138"/>
      <c r="L6" s="710" t="s">
        <v>402</v>
      </c>
      <c r="M6" s="710" t="s">
        <v>58</v>
      </c>
      <c r="N6" s="711">
        <v>19.605</v>
      </c>
      <c r="O6" s="712">
        <v>14.564628515000001</v>
      </c>
      <c r="P6" s="712">
        <v>1.0318107990450283</v>
      </c>
      <c r="Q6" s="712"/>
      <c r="S6" s="579" t="s">
        <v>442</v>
      </c>
      <c r="T6" s="579" t="s">
        <v>59</v>
      </c>
      <c r="U6" s="713">
        <v>1.0559285414003046</v>
      </c>
      <c r="V6" s="714">
        <v>1</v>
      </c>
      <c r="W6" s="821"/>
      <c r="X6" s="789"/>
      <c r="Y6" s="805"/>
      <c r="Z6" s="509"/>
    </row>
    <row r="7" spans="1:26" ht="10.5" customHeight="1">
      <c r="A7" s="136"/>
      <c r="B7" s="138"/>
      <c r="C7" s="138"/>
      <c r="D7" s="138"/>
      <c r="E7" s="138"/>
      <c r="F7" s="138"/>
      <c r="G7" s="138"/>
      <c r="H7" s="138"/>
      <c r="I7" s="138"/>
      <c r="J7" s="138"/>
      <c r="K7" s="138"/>
      <c r="L7" s="710" t="s">
        <v>63</v>
      </c>
      <c r="M7" s="710" t="s">
        <v>58</v>
      </c>
      <c r="N7" s="711">
        <v>19.899999999999999</v>
      </c>
      <c r="O7" s="712">
        <v>14.45381546</v>
      </c>
      <c r="P7" s="712">
        <v>1.0087810901730878</v>
      </c>
      <c r="Q7" s="712"/>
      <c r="T7" s="579" t="s">
        <v>402</v>
      </c>
      <c r="U7" s="713">
        <v>0.95221957021610626</v>
      </c>
      <c r="V7" s="714">
        <v>0.95366052769079113</v>
      </c>
      <c r="W7" s="821"/>
      <c r="X7" s="789"/>
      <c r="Y7" s="805"/>
      <c r="Z7" s="509"/>
    </row>
    <row r="8" spans="1:26" ht="10.5" customHeight="1">
      <c r="A8" s="136"/>
      <c r="B8" s="138"/>
      <c r="C8" s="138"/>
      <c r="D8" s="138"/>
      <c r="E8" s="138"/>
      <c r="F8" s="138"/>
      <c r="G8" s="138"/>
      <c r="H8" s="138"/>
      <c r="I8" s="138"/>
      <c r="J8" s="138"/>
      <c r="K8" s="138"/>
      <c r="L8" s="710" t="s">
        <v>57</v>
      </c>
      <c r="M8" s="710" t="s">
        <v>58</v>
      </c>
      <c r="N8" s="711">
        <v>19.966000000000001</v>
      </c>
      <c r="O8" s="712">
        <v>14.39393112</v>
      </c>
      <c r="P8" s="712">
        <v>1.0012807272363016</v>
      </c>
      <c r="Q8" s="712"/>
      <c r="T8" s="579" t="s">
        <v>449</v>
      </c>
      <c r="U8" s="713">
        <v>0.92592408025114159</v>
      </c>
      <c r="V8" s="714">
        <v>0.8945672371357013</v>
      </c>
      <c r="W8" s="821"/>
      <c r="X8" s="789"/>
      <c r="Y8" s="805"/>
      <c r="Z8" s="509"/>
    </row>
    <row r="9" spans="1:26" ht="10.5" customHeight="1">
      <c r="A9" s="136"/>
      <c r="B9" s="138"/>
      <c r="C9" s="138"/>
      <c r="D9" s="138"/>
      <c r="E9" s="138"/>
      <c r="F9" s="138"/>
      <c r="G9" s="138"/>
      <c r="H9" s="138"/>
      <c r="I9" s="138"/>
      <c r="J9" s="138"/>
      <c r="K9" s="138"/>
      <c r="L9" s="710" t="s">
        <v>449</v>
      </c>
      <c r="M9" s="715" t="s">
        <v>58</v>
      </c>
      <c r="N9" s="711">
        <v>20</v>
      </c>
      <c r="O9" s="712">
        <v>14.1438013</v>
      </c>
      <c r="P9" s="712">
        <v>0.98220842361111105</v>
      </c>
      <c r="Q9" s="712"/>
      <c r="T9" s="579" t="s">
        <v>62</v>
      </c>
      <c r="U9" s="713">
        <v>0.88188978032060894</v>
      </c>
      <c r="V9" s="714">
        <v>0.89913722701885546</v>
      </c>
      <c r="W9" s="821"/>
      <c r="X9" s="789"/>
      <c r="Y9" s="805"/>
      <c r="Z9" s="509"/>
    </row>
    <row r="10" spans="1:26" ht="10.5" customHeight="1">
      <c r="A10" s="136"/>
      <c r="B10" s="138"/>
      <c r="C10" s="138"/>
      <c r="D10" s="138"/>
      <c r="E10" s="138"/>
      <c r="F10" s="138"/>
      <c r="G10" s="138"/>
      <c r="H10" s="138"/>
      <c r="I10" s="138"/>
      <c r="J10" s="138"/>
      <c r="K10" s="138"/>
      <c r="L10" s="710" t="s">
        <v>61</v>
      </c>
      <c r="M10" s="715" t="s">
        <v>58</v>
      </c>
      <c r="N10" s="711">
        <v>19.1995</v>
      </c>
      <c r="O10" s="712">
        <v>13.66837333</v>
      </c>
      <c r="P10" s="712">
        <v>0.98876803287701365</v>
      </c>
      <c r="Q10" s="712"/>
      <c r="T10" s="579" t="s">
        <v>71</v>
      </c>
      <c r="U10" s="713">
        <v>0.80540697006394313</v>
      </c>
      <c r="V10" s="714">
        <v>0.65010066974826786</v>
      </c>
      <c r="W10" s="821"/>
      <c r="X10" s="789"/>
      <c r="Y10" s="805"/>
      <c r="Z10" s="509"/>
    </row>
    <row r="11" spans="1:26" ht="10.5" customHeight="1">
      <c r="A11" s="136"/>
      <c r="B11" s="138"/>
      <c r="C11" s="138"/>
      <c r="D11" s="138"/>
      <c r="E11" s="138"/>
      <c r="F11" s="138"/>
      <c r="G11" s="138"/>
      <c r="H11" s="138"/>
      <c r="I11" s="138"/>
      <c r="J11" s="138"/>
      <c r="K11" s="138"/>
      <c r="L11" s="710" t="s">
        <v>411</v>
      </c>
      <c r="M11" s="715" t="s">
        <v>58</v>
      </c>
      <c r="N11" s="711">
        <v>20.05</v>
      </c>
      <c r="O11" s="712">
        <v>15.041534519999999</v>
      </c>
      <c r="P11" s="712">
        <v>1</v>
      </c>
      <c r="Q11" s="712"/>
      <c r="T11" s="579" t="s">
        <v>73</v>
      </c>
      <c r="U11" s="713">
        <v>0.79364305157865145</v>
      </c>
      <c r="V11" s="714">
        <v>0.73128983430094541</v>
      </c>
      <c r="W11" s="821"/>
      <c r="X11" s="789"/>
      <c r="Y11" s="805"/>
      <c r="Z11" s="509"/>
    </row>
    <row r="12" spans="1:26" ht="10.5" customHeight="1">
      <c r="A12" s="136"/>
      <c r="B12" s="138"/>
      <c r="C12" s="138"/>
      <c r="D12" s="138"/>
      <c r="E12" s="138"/>
      <c r="F12" s="138"/>
      <c r="G12" s="138"/>
      <c r="H12" s="138"/>
      <c r="I12" s="138"/>
      <c r="J12" s="138"/>
      <c r="K12" s="138"/>
      <c r="L12" s="710" t="s">
        <v>409</v>
      </c>
      <c r="M12" s="710" t="s">
        <v>58</v>
      </c>
      <c r="N12" s="711">
        <v>19.98</v>
      </c>
      <c r="O12" s="712">
        <v>14.940193497500001</v>
      </c>
      <c r="P12" s="712">
        <v>1</v>
      </c>
      <c r="Q12" s="712"/>
      <c r="T12" s="579" t="s">
        <v>74</v>
      </c>
      <c r="U12" s="713">
        <v>0.7834523266475909</v>
      </c>
      <c r="V12" s="714">
        <v>0.77987003707318514</v>
      </c>
      <c r="W12" s="821"/>
      <c r="X12" s="789"/>
      <c r="Y12" s="805"/>
      <c r="Z12" s="509"/>
    </row>
    <row r="13" spans="1:26" ht="10.5" customHeight="1">
      <c r="A13" s="136"/>
      <c r="B13" s="138"/>
      <c r="C13" s="138"/>
      <c r="D13" s="138"/>
      <c r="E13" s="138"/>
      <c r="F13" s="138"/>
      <c r="G13" s="138"/>
      <c r="H13" s="138"/>
      <c r="I13" s="138"/>
      <c r="J13" s="138"/>
      <c r="K13" s="138"/>
      <c r="L13" s="710" t="s">
        <v>450</v>
      </c>
      <c r="M13" s="710" t="s">
        <v>58</v>
      </c>
      <c r="N13" s="711">
        <v>20.58</v>
      </c>
      <c r="O13" s="712">
        <v>13.417839355000002</v>
      </c>
      <c r="P13" s="712">
        <v>0.90553391608627598</v>
      </c>
      <c r="Q13" s="712"/>
      <c r="T13" s="579" t="s">
        <v>448</v>
      </c>
      <c r="U13" s="713">
        <v>0.7804139150827627</v>
      </c>
      <c r="V13" s="714">
        <v>0.74734200150842434</v>
      </c>
      <c r="W13" s="821"/>
      <c r="X13" s="789"/>
      <c r="Y13" s="805"/>
      <c r="Z13" s="509"/>
    </row>
    <row r="14" spans="1:26" ht="10.5" customHeight="1">
      <c r="A14" s="136"/>
      <c r="B14" s="138"/>
      <c r="C14" s="138"/>
      <c r="D14" s="138"/>
      <c r="E14" s="138"/>
      <c r="F14" s="138"/>
      <c r="G14" s="138"/>
      <c r="H14" s="138"/>
      <c r="I14" s="138"/>
      <c r="J14" s="138"/>
      <c r="K14" s="138"/>
      <c r="L14" s="710" t="s">
        <v>59</v>
      </c>
      <c r="M14" s="710" t="s">
        <v>58</v>
      </c>
      <c r="N14" s="711">
        <v>15</v>
      </c>
      <c r="O14" s="712">
        <v>13.4149835225</v>
      </c>
      <c r="P14" s="712">
        <v>1.2421281039351852</v>
      </c>
      <c r="Q14" s="712"/>
      <c r="T14" s="579" t="s">
        <v>61</v>
      </c>
      <c r="U14" s="713">
        <v>0.77109950091748725</v>
      </c>
      <c r="V14" s="714">
        <v>0.54737899878367069</v>
      </c>
      <c r="W14" s="821"/>
      <c r="X14" s="789"/>
      <c r="Y14" s="805"/>
      <c r="Z14" s="509"/>
    </row>
    <row r="15" spans="1:26" ht="11.25" customHeight="1">
      <c r="A15" s="136"/>
      <c r="B15" s="138"/>
      <c r="C15" s="138"/>
      <c r="D15" s="138"/>
      <c r="E15" s="138"/>
      <c r="F15" s="138"/>
      <c r="G15" s="138"/>
      <c r="H15" s="138"/>
      <c r="I15" s="138"/>
      <c r="J15" s="138"/>
      <c r="K15" s="138"/>
      <c r="L15" s="710" t="s">
        <v>410</v>
      </c>
      <c r="M15" s="710" t="s">
        <v>58</v>
      </c>
      <c r="N15" s="711">
        <v>20.079999999999998</v>
      </c>
      <c r="O15" s="712">
        <v>14.244115409999999</v>
      </c>
      <c r="P15" s="712">
        <v>0.9852337462649402</v>
      </c>
      <c r="Q15" s="712"/>
      <c r="T15" s="579" t="s">
        <v>66</v>
      </c>
      <c r="U15" s="713">
        <v>0.75352185339923383</v>
      </c>
      <c r="V15" s="714">
        <v>0.86977375596189332</v>
      </c>
      <c r="W15" s="821"/>
      <c r="X15" s="789"/>
      <c r="Y15" s="805"/>
      <c r="Z15" s="509"/>
    </row>
    <row r="16" spans="1:26" ht="11.25" customHeight="1">
      <c r="A16" s="136"/>
      <c r="B16" s="138"/>
      <c r="C16" s="138"/>
      <c r="D16" s="138"/>
      <c r="E16" s="138"/>
      <c r="F16" s="138"/>
      <c r="G16" s="138"/>
      <c r="H16" s="138"/>
      <c r="I16" s="138"/>
      <c r="J16" s="138"/>
      <c r="K16" s="138"/>
      <c r="L16" s="710" t="s">
        <v>60</v>
      </c>
      <c r="M16" s="710" t="s">
        <v>58</v>
      </c>
      <c r="N16" s="711">
        <v>19.966999999999999</v>
      </c>
      <c r="O16" s="712">
        <v>12.758116297500001</v>
      </c>
      <c r="P16" s="712">
        <v>0.88744458199779641</v>
      </c>
      <c r="Q16" s="712"/>
      <c r="T16" s="579" t="s">
        <v>63</v>
      </c>
      <c r="U16" s="713">
        <v>0.71734962833574256</v>
      </c>
      <c r="V16" s="714">
        <v>0.52320437912181572</v>
      </c>
      <c r="W16" s="821"/>
      <c r="X16" s="789"/>
      <c r="Y16" s="805"/>
      <c r="Z16" s="509"/>
    </row>
    <row r="17" spans="1:26" ht="11.25" customHeight="1">
      <c r="A17" s="136"/>
      <c r="B17" s="138"/>
      <c r="C17" s="138"/>
      <c r="D17" s="138"/>
      <c r="E17" s="138"/>
      <c r="F17" s="138"/>
      <c r="G17" s="138"/>
      <c r="H17" s="138"/>
      <c r="I17" s="138"/>
      <c r="J17" s="138"/>
      <c r="K17" s="138"/>
      <c r="L17" s="710" t="s">
        <v>471</v>
      </c>
      <c r="M17" s="710" t="s">
        <v>58</v>
      </c>
      <c r="N17" s="711">
        <v>20</v>
      </c>
      <c r="O17" s="712">
        <v>12.693727214999999</v>
      </c>
      <c r="P17" s="712">
        <v>0.88150883437499994</v>
      </c>
      <c r="Q17" s="712"/>
      <c r="T17" s="579" t="s">
        <v>416</v>
      </c>
      <c r="U17" s="713">
        <v>0.69059359389269404</v>
      </c>
      <c r="V17" s="714">
        <v>0.67349523670878886</v>
      </c>
      <c r="W17" s="821"/>
      <c r="X17" s="789"/>
      <c r="Y17" s="805"/>
      <c r="Z17" s="509"/>
    </row>
    <row r="18" spans="1:26">
      <c r="A18" s="136"/>
      <c r="B18" s="138"/>
      <c r="C18" s="138"/>
      <c r="D18" s="138"/>
      <c r="E18" s="138"/>
      <c r="F18" s="138"/>
      <c r="G18" s="138"/>
      <c r="H18" s="138"/>
      <c r="I18" s="138"/>
      <c r="J18" s="138"/>
      <c r="K18" s="138"/>
      <c r="L18" s="710" t="s">
        <v>448</v>
      </c>
      <c r="M18" s="710" t="s">
        <v>58</v>
      </c>
      <c r="N18" s="711">
        <v>20</v>
      </c>
      <c r="O18" s="712">
        <v>12.304577705</v>
      </c>
      <c r="P18" s="712">
        <v>0.85448456284722218</v>
      </c>
      <c r="Q18" s="712"/>
      <c r="T18" s="579" t="s">
        <v>57</v>
      </c>
      <c r="U18" s="713">
        <v>0.6615113412693131</v>
      </c>
      <c r="V18" s="714">
        <v>0.56770042088969286</v>
      </c>
      <c r="W18" s="821"/>
      <c r="X18" s="789"/>
      <c r="Y18" s="805"/>
      <c r="Z18" s="509"/>
    </row>
    <row r="19" spans="1:26">
      <c r="A19" s="136"/>
      <c r="B19" s="138"/>
      <c r="C19" s="138"/>
      <c r="D19" s="138"/>
      <c r="E19" s="138"/>
      <c r="F19" s="138"/>
      <c r="G19" s="138"/>
      <c r="H19" s="138"/>
      <c r="I19" s="138"/>
      <c r="J19" s="138"/>
      <c r="K19" s="138"/>
      <c r="L19" s="710" t="s">
        <v>416</v>
      </c>
      <c r="M19" s="710" t="s">
        <v>58</v>
      </c>
      <c r="N19" s="711">
        <v>20</v>
      </c>
      <c r="O19" s="712">
        <v>9.0792737849999998</v>
      </c>
      <c r="P19" s="712">
        <v>0.63050512395833325</v>
      </c>
      <c r="Q19" s="712"/>
      <c r="T19" s="579" t="s">
        <v>409</v>
      </c>
      <c r="U19" s="713">
        <v>0.64665844931689687</v>
      </c>
      <c r="V19" s="714">
        <v>0.59259269285492921</v>
      </c>
      <c r="W19" s="821"/>
      <c r="X19" s="789"/>
      <c r="Y19" s="805"/>
      <c r="Z19" s="509"/>
    </row>
    <row r="20" spans="1:26">
      <c r="A20" s="136"/>
      <c r="B20" s="138"/>
      <c r="C20" s="138"/>
      <c r="D20" s="138"/>
      <c r="E20" s="138"/>
      <c r="F20" s="138"/>
      <c r="G20" s="138"/>
      <c r="H20" s="138"/>
      <c r="I20" s="138"/>
      <c r="J20" s="138"/>
      <c r="K20" s="138"/>
      <c r="L20" s="710" t="s">
        <v>62</v>
      </c>
      <c r="M20" s="710" t="s">
        <v>58</v>
      </c>
      <c r="N20" s="711">
        <v>9.9830000000000005</v>
      </c>
      <c r="O20" s="712">
        <v>7.1447479999999999</v>
      </c>
      <c r="P20" s="712">
        <v>0.99401593820606138</v>
      </c>
      <c r="Q20" s="712"/>
      <c r="T20" s="579" t="s">
        <v>447</v>
      </c>
      <c r="U20" s="713">
        <v>0.62281746222765055</v>
      </c>
      <c r="V20" s="714">
        <v>0.3287962164365405</v>
      </c>
      <c r="W20" s="821"/>
      <c r="X20" s="789"/>
      <c r="Y20" s="805"/>
      <c r="Z20" s="509"/>
    </row>
    <row r="21" spans="1:26">
      <c r="A21" s="136"/>
      <c r="B21" s="138"/>
      <c r="C21" s="138"/>
      <c r="D21" s="138"/>
      <c r="E21" s="138"/>
      <c r="F21" s="138"/>
      <c r="G21" s="138"/>
      <c r="H21" s="138"/>
      <c r="I21" s="138"/>
      <c r="J21" s="138"/>
      <c r="K21" s="138"/>
      <c r="L21" s="710" t="s">
        <v>447</v>
      </c>
      <c r="M21" s="710" t="s">
        <v>58</v>
      </c>
      <c r="N21" s="711">
        <v>8.58</v>
      </c>
      <c r="O21" s="712">
        <v>5.698751755</v>
      </c>
      <c r="P21" s="712">
        <v>0.92248636282698782</v>
      </c>
      <c r="Q21" s="712"/>
      <c r="T21" s="579" t="s">
        <v>410</v>
      </c>
      <c r="U21" s="713">
        <v>0.62805558451126997</v>
      </c>
      <c r="V21" s="714">
        <v>0.54869568791200463</v>
      </c>
      <c r="W21" s="821"/>
      <c r="X21" s="789"/>
      <c r="Y21" s="805"/>
      <c r="Z21" s="509"/>
    </row>
    <row r="22" spans="1:26">
      <c r="A22" s="136"/>
      <c r="B22" s="138"/>
      <c r="C22" s="138"/>
      <c r="D22" s="138"/>
      <c r="E22" s="138"/>
      <c r="F22" s="138"/>
      <c r="G22" s="138"/>
      <c r="H22" s="138"/>
      <c r="I22" s="138"/>
      <c r="J22" s="138"/>
      <c r="K22" s="138"/>
      <c r="L22" s="710" t="s">
        <v>64</v>
      </c>
      <c r="M22" s="710" t="s">
        <v>58</v>
      </c>
      <c r="N22" s="711">
        <v>9.9640000000000004</v>
      </c>
      <c r="O22" s="712">
        <v>5.4493628150000006</v>
      </c>
      <c r="P22" s="712">
        <v>0.75959047222779785</v>
      </c>
      <c r="Q22" s="712"/>
      <c r="T22" s="579" t="s">
        <v>70</v>
      </c>
      <c r="U22" s="713">
        <v>0.6150243170044466</v>
      </c>
      <c r="V22" s="714">
        <v>0.74344026227542426</v>
      </c>
      <c r="W22" s="821"/>
      <c r="X22" s="789"/>
      <c r="Y22" s="805"/>
      <c r="Z22" s="509"/>
    </row>
    <row r="23" spans="1:26">
      <c r="A23" s="136"/>
      <c r="B23" s="138"/>
      <c r="C23" s="138"/>
      <c r="D23" s="138"/>
      <c r="E23" s="138"/>
      <c r="F23" s="138"/>
      <c r="G23" s="138"/>
      <c r="H23" s="138"/>
      <c r="I23" s="138"/>
      <c r="J23" s="138"/>
      <c r="K23" s="138"/>
      <c r="L23" s="710" t="s">
        <v>65</v>
      </c>
      <c r="M23" s="710" t="s">
        <v>58</v>
      </c>
      <c r="N23" s="711">
        <v>9.85</v>
      </c>
      <c r="O23" s="712">
        <v>5.2708028950000001</v>
      </c>
      <c r="P23" s="712">
        <v>0.74320401790750146</v>
      </c>
      <c r="Q23" s="712"/>
      <c r="T23" s="579" t="s">
        <v>64</v>
      </c>
      <c r="U23" s="713">
        <v>0.6061992868962971</v>
      </c>
      <c r="V23" s="714">
        <v>0.52446770011193233</v>
      </c>
      <c r="W23" s="821"/>
      <c r="X23" s="789"/>
      <c r="Y23" s="805"/>
      <c r="Z23" s="509"/>
    </row>
    <row r="24" spans="1:26">
      <c r="A24" s="136"/>
      <c r="B24" s="138"/>
      <c r="C24" s="138"/>
      <c r="D24" s="138"/>
      <c r="E24" s="138"/>
      <c r="F24" s="138"/>
      <c r="G24" s="138"/>
      <c r="H24" s="138"/>
      <c r="I24" s="138"/>
      <c r="J24" s="138"/>
      <c r="K24" s="138"/>
      <c r="L24" s="710" t="s">
        <v>66</v>
      </c>
      <c r="M24" s="710" t="s">
        <v>58</v>
      </c>
      <c r="N24" s="711">
        <v>9.07</v>
      </c>
      <c r="O24" s="712">
        <v>4.9178862274999995</v>
      </c>
      <c r="P24" s="712">
        <v>0.75307580354955272</v>
      </c>
      <c r="Q24" s="712"/>
      <c r="T24" s="579" t="s">
        <v>69</v>
      </c>
      <c r="U24" s="713">
        <v>0.60060379646164064</v>
      </c>
      <c r="V24" s="714">
        <v>0.61391878758520513</v>
      </c>
      <c r="W24" s="821"/>
      <c r="X24" s="789"/>
      <c r="Y24" s="805"/>
      <c r="Z24" s="509"/>
    </row>
    <row r="25" spans="1:26">
      <c r="A25" s="136"/>
      <c r="B25" s="138"/>
      <c r="C25" s="138"/>
      <c r="D25" s="138"/>
      <c r="E25" s="138"/>
      <c r="F25" s="138"/>
      <c r="G25" s="138"/>
      <c r="H25" s="138"/>
      <c r="I25" s="138"/>
      <c r="J25" s="138"/>
      <c r="K25" s="138"/>
      <c r="L25" s="710" t="s">
        <v>67</v>
      </c>
      <c r="M25" s="710" t="s">
        <v>58</v>
      </c>
      <c r="N25" s="711">
        <v>7.4240000000000004</v>
      </c>
      <c r="O25" s="712">
        <v>4.5266114125000003</v>
      </c>
      <c r="P25" s="712">
        <v>0.8468427121684925</v>
      </c>
      <c r="Q25" s="712"/>
      <c r="T25" s="579" t="s">
        <v>65</v>
      </c>
      <c r="U25" s="713">
        <v>0.58401664954337917</v>
      </c>
      <c r="V25" s="714">
        <v>0.52272099661474958</v>
      </c>
      <c r="W25" s="821"/>
      <c r="X25" s="789"/>
      <c r="Y25" s="805"/>
      <c r="Z25" s="509"/>
    </row>
    <row r="26" spans="1:26">
      <c r="A26" s="136"/>
      <c r="B26" s="138"/>
      <c r="C26" s="138"/>
      <c r="D26" s="138"/>
      <c r="E26" s="138"/>
      <c r="F26" s="138"/>
      <c r="G26" s="138"/>
      <c r="H26" s="138"/>
      <c r="I26" s="138"/>
      <c r="J26" s="138"/>
      <c r="K26" s="138"/>
      <c r="L26" s="710" t="s">
        <v>68</v>
      </c>
      <c r="M26" s="710" t="s">
        <v>58</v>
      </c>
      <c r="N26" s="711">
        <v>6.9580000000000002</v>
      </c>
      <c r="O26" s="712">
        <v>4.1004993150000004</v>
      </c>
      <c r="P26" s="712">
        <v>0.81850214680942801</v>
      </c>
      <c r="Q26" s="712"/>
      <c r="T26" s="579" t="s">
        <v>411</v>
      </c>
      <c r="U26" s="713">
        <v>0.59007613506188861</v>
      </c>
      <c r="V26" s="714">
        <v>0.54127880685730001</v>
      </c>
      <c r="W26" s="821"/>
      <c r="X26" s="789"/>
      <c r="Y26" s="805"/>
      <c r="Z26" s="509"/>
    </row>
    <row r="27" spans="1:26">
      <c r="A27" s="136"/>
      <c r="B27" s="138"/>
      <c r="C27" s="138"/>
      <c r="D27" s="138"/>
      <c r="E27" s="138"/>
      <c r="F27" s="138"/>
      <c r="G27" s="138"/>
      <c r="H27" s="138"/>
      <c r="I27" s="138"/>
      <c r="J27" s="138"/>
      <c r="K27" s="138"/>
      <c r="L27" s="710" t="s">
        <v>71</v>
      </c>
      <c r="M27" s="710" t="s">
        <v>58</v>
      </c>
      <c r="N27" s="711">
        <v>5.67</v>
      </c>
      <c r="O27" s="712">
        <v>3.8884889999999999</v>
      </c>
      <c r="P27" s="712">
        <v>0.95250073486184605</v>
      </c>
      <c r="Q27" s="712"/>
      <c r="T27" s="579" t="s">
        <v>450</v>
      </c>
      <c r="U27" s="713">
        <v>0.57974201445744633</v>
      </c>
      <c r="V27" s="714">
        <v>0.56357501011108713</v>
      </c>
      <c r="W27" s="821"/>
      <c r="X27" s="789"/>
      <c r="Y27" s="805"/>
      <c r="Z27" s="509"/>
    </row>
    <row r="28" spans="1:26">
      <c r="A28" s="136"/>
      <c r="B28" s="138"/>
      <c r="C28" s="138"/>
      <c r="D28" s="138"/>
      <c r="E28" s="138"/>
      <c r="F28" s="138"/>
      <c r="G28" s="138"/>
      <c r="H28" s="138"/>
      <c r="I28" s="138"/>
      <c r="J28" s="138"/>
      <c r="K28" s="138"/>
      <c r="L28" s="710" t="s">
        <v>73</v>
      </c>
      <c r="M28" s="710" t="s">
        <v>58</v>
      </c>
      <c r="N28" s="711">
        <v>3.91621</v>
      </c>
      <c r="O28" s="712">
        <v>2.5747787</v>
      </c>
      <c r="P28" s="712">
        <v>0.91314856143510625</v>
      </c>
      <c r="Q28" s="712"/>
      <c r="T28" s="579" t="s">
        <v>72</v>
      </c>
      <c r="U28" s="713">
        <v>0.57826622062470479</v>
      </c>
      <c r="V28" s="714">
        <v>0.5244136795054487</v>
      </c>
      <c r="W28" s="821"/>
      <c r="X28" s="789"/>
      <c r="Y28" s="805"/>
      <c r="Z28" s="509"/>
    </row>
    <row r="29" spans="1:26">
      <c r="A29" s="136"/>
      <c r="B29" s="138"/>
      <c r="C29" s="138"/>
      <c r="D29" s="138"/>
      <c r="E29" s="138"/>
      <c r="F29" s="138"/>
      <c r="G29" s="138"/>
      <c r="H29" s="138"/>
      <c r="I29" s="138"/>
      <c r="J29" s="138"/>
      <c r="K29" s="138"/>
      <c r="L29" s="710" t="s">
        <v>74</v>
      </c>
      <c r="M29" s="710" t="s">
        <v>58</v>
      </c>
      <c r="N29" s="711">
        <v>3.964</v>
      </c>
      <c r="O29" s="712">
        <v>2.5636999999999999</v>
      </c>
      <c r="P29" s="712">
        <v>0.89825793250364383</v>
      </c>
      <c r="Q29" s="712"/>
      <c r="T29" s="579" t="s">
        <v>67</v>
      </c>
      <c r="U29" s="713">
        <v>0.55038311387970396</v>
      </c>
      <c r="V29" s="714">
        <v>0.50226346095657604</v>
      </c>
      <c r="W29" s="821"/>
      <c r="X29" s="789"/>
      <c r="Y29" s="805"/>
      <c r="Z29" s="509"/>
    </row>
    <row r="30" spans="1:26">
      <c r="A30" s="136"/>
      <c r="B30" s="138"/>
      <c r="C30" s="138"/>
      <c r="D30" s="138"/>
      <c r="E30" s="138"/>
      <c r="F30" s="138"/>
      <c r="G30" s="138"/>
      <c r="H30" s="138"/>
      <c r="I30" s="138"/>
      <c r="J30" s="138"/>
      <c r="K30" s="138"/>
      <c r="L30" s="579" t="s">
        <v>72</v>
      </c>
      <c r="M30" s="710" t="s">
        <v>58</v>
      </c>
      <c r="N30" s="711">
        <v>3.48</v>
      </c>
      <c r="O30" s="712">
        <v>2.1960478749999996</v>
      </c>
      <c r="P30" s="712">
        <v>0.87645588880906766</v>
      </c>
      <c r="Q30" s="712"/>
      <c r="T30" s="579" t="s">
        <v>60</v>
      </c>
      <c r="U30" s="713">
        <v>0.5454725750970838</v>
      </c>
      <c r="V30" s="714">
        <v>0.45693374670722625</v>
      </c>
      <c r="W30" s="821"/>
      <c r="X30" s="789"/>
      <c r="Y30" s="805"/>
      <c r="Z30" s="509"/>
    </row>
    <row r="31" spans="1:26">
      <c r="A31" s="136"/>
      <c r="B31" s="138"/>
      <c r="C31" s="138"/>
      <c r="D31" s="138"/>
      <c r="E31" s="138"/>
      <c r="F31" s="138"/>
      <c r="G31" s="138"/>
      <c r="H31" s="138"/>
      <c r="I31" s="138"/>
      <c r="J31" s="138"/>
      <c r="K31" s="138"/>
      <c r="L31" s="710" t="s">
        <v>69</v>
      </c>
      <c r="M31" s="710" t="s">
        <v>58</v>
      </c>
      <c r="N31" s="711">
        <v>9.5660000000000007</v>
      </c>
      <c r="O31" s="712">
        <v>2.1307089575</v>
      </c>
      <c r="P31" s="712">
        <v>0.30935793398785044</v>
      </c>
      <c r="Q31" s="712"/>
      <c r="T31" s="579" t="s">
        <v>68</v>
      </c>
      <c r="U31" s="713">
        <v>0.53039945802505839</v>
      </c>
      <c r="V31" s="714">
        <v>0.47607102611931007</v>
      </c>
      <c r="W31" s="821"/>
      <c r="X31" s="789"/>
      <c r="Y31" s="805"/>
      <c r="Z31" s="509"/>
    </row>
    <row r="32" spans="1:26">
      <c r="A32" s="136"/>
      <c r="B32" s="138"/>
      <c r="C32" s="138"/>
      <c r="D32" s="138"/>
      <c r="E32" s="138"/>
      <c r="F32" s="138"/>
      <c r="G32" s="138"/>
      <c r="H32" s="138"/>
      <c r="I32" s="138"/>
      <c r="J32" s="138"/>
      <c r="K32" s="138"/>
      <c r="L32" s="710" t="s">
        <v>70</v>
      </c>
      <c r="M32" s="710" t="s">
        <v>58</v>
      </c>
      <c r="N32" s="711">
        <v>5.1890000000000001</v>
      </c>
      <c r="O32" s="712">
        <v>1.6373590149999999</v>
      </c>
      <c r="P32" s="712">
        <v>0.43825587648016101</v>
      </c>
      <c r="Q32" s="712"/>
      <c r="T32" s="579" t="s">
        <v>471</v>
      </c>
      <c r="U32" s="713">
        <v>0.49554217401541095</v>
      </c>
      <c r="V32" s="714">
        <v>0.43840743669394838</v>
      </c>
      <c r="W32" s="821"/>
      <c r="X32" s="789"/>
      <c r="Y32" s="805"/>
      <c r="Z32" s="509"/>
    </row>
    <row r="33" spans="1:26">
      <c r="A33" s="136"/>
      <c r="B33" s="138"/>
      <c r="C33" s="138"/>
      <c r="D33" s="138"/>
      <c r="E33" s="138"/>
      <c r="F33" s="138"/>
      <c r="G33" s="138"/>
      <c r="H33" s="138"/>
      <c r="I33" s="138"/>
      <c r="J33" s="138"/>
      <c r="K33" s="138"/>
      <c r="L33" s="710" t="s">
        <v>75</v>
      </c>
      <c r="M33" s="710" t="s">
        <v>58</v>
      </c>
      <c r="N33" s="711">
        <v>1.714</v>
      </c>
      <c r="O33" s="712">
        <v>0.28534678000000002</v>
      </c>
      <c r="P33" s="712">
        <v>0.23122227084143657</v>
      </c>
      <c r="Q33" s="712"/>
      <c r="T33" s="579" t="s">
        <v>412</v>
      </c>
      <c r="U33" s="713">
        <v>0.44542265574037831</v>
      </c>
      <c r="V33" s="714">
        <v>0.7481113656323185</v>
      </c>
      <c r="W33" s="821"/>
      <c r="X33" s="789"/>
      <c r="Y33" s="805"/>
      <c r="Z33" s="509"/>
    </row>
    <row r="34" spans="1:26">
      <c r="B34" s="138"/>
      <c r="C34" s="138"/>
      <c r="D34" s="138"/>
      <c r="E34" s="138"/>
      <c r="F34" s="138"/>
      <c r="G34" s="138"/>
      <c r="H34" s="138"/>
      <c r="I34" s="138"/>
      <c r="J34" s="138"/>
      <c r="K34" s="138"/>
      <c r="L34" s="710" t="s">
        <v>412</v>
      </c>
      <c r="M34" s="710" t="s">
        <v>58</v>
      </c>
      <c r="N34" s="711">
        <v>0.7</v>
      </c>
      <c r="O34" s="712">
        <v>0.24131374999999999</v>
      </c>
      <c r="P34" s="712">
        <v>0.47879712301587313</v>
      </c>
      <c r="Q34" s="712"/>
      <c r="T34" s="579" t="s">
        <v>75</v>
      </c>
      <c r="U34" s="713">
        <v>0.18515066711556188</v>
      </c>
      <c r="V34" s="714">
        <v>0.31313439722402892</v>
      </c>
      <c r="W34" s="821"/>
      <c r="X34" s="789"/>
      <c r="Y34" s="805"/>
      <c r="Z34" s="509"/>
    </row>
    <row r="35" spans="1:26">
      <c r="A35" s="136"/>
      <c r="B35" s="138"/>
      <c r="C35" s="138"/>
      <c r="D35" s="138"/>
      <c r="E35" s="138"/>
      <c r="F35" s="138"/>
      <c r="G35" s="138"/>
      <c r="H35" s="138"/>
      <c r="I35" s="138"/>
      <c r="J35" s="138"/>
      <c r="K35" s="138"/>
      <c r="L35" s="710"/>
      <c r="M35" s="710"/>
      <c r="N35" s="711"/>
      <c r="O35" s="712"/>
      <c r="P35" s="712"/>
      <c r="Q35" s="712"/>
      <c r="S35" s="579" t="s">
        <v>436</v>
      </c>
      <c r="T35" s="579" t="s">
        <v>78</v>
      </c>
      <c r="U35" s="713">
        <v>0.60505089350563623</v>
      </c>
      <c r="V35" s="714">
        <v>0.59618869303385402</v>
      </c>
      <c r="W35" s="821"/>
      <c r="X35" s="789"/>
      <c r="Y35" s="805"/>
      <c r="Z35" s="509"/>
    </row>
    <row r="36" spans="1:26" ht="10.95" customHeight="1">
      <c r="A36" s="136"/>
      <c r="B36" s="138"/>
      <c r="C36" s="138"/>
      <c r="D36" s="138"/>
      <c r="E36" s="138"/>
      <c r="F36" s="138"/>
      <c r="G36" s="138"/>
      <c r="H36" s="138"/>
      <c r="I36" s="138"/>
      <c r="J36" s="138"/>
      <c r="K36" s="138"/>
      <c r="L36" s="710" t="s">
        <v>419</v>
      </c>
      <c r="M36" s="710" t="s">
        <v>215</v>
      </c>
      <c r="N36" s="711">
        <v>132.30000000000001</v>
      </c>
      <c r="O36" s="712">
        <v>45.526507500000001</v>
      </c>
      <c r="P36" s="712">
        <v>0.47793847631645242</v>
      </c>
      <c r="Q36" s="712"/>
      <c r="T36" s="579" t="s">
        <v>76</v>
      </c>
      <c r="U36" s="713">
        <v>0.54109624860757621</v>
      </c>
      <c r="V36" s="714">
        <v>0.59618374666731355</v>
      </c>
      <c r="W36" s="821"/>
      <c r="X36" s="789"/>
      <c r="Y36" s="805"/>
      <c r="Z36" s="509"/>
    </row>
    <row r="37" spans="1:26">
      <c r="A37" s="136"/>
      <c r="B37" s="138"/>
      <c r="C37" s="138"/>
      <c r="D37" s="138"/>
      <c r="E37" s="138"/>
      <c r="F37" s="138"/>
      <c r="G37" s="138"/>
      <c r="H37" s="138"/>
      <c r="I37" s="138"/>
      <c r="J37" s="138"/>
      <c r="K37" s="138"/>
      <c r="L37" s="710" t="s">
        <v>77</v>
      </c>
      <c r="M37" s="710" t="s">
        <v>215</v>
      </c>
      <c r="N37" s="711">
        <v>83.15</v>
      </c>
      <c r="O37" s="712">
        <v>33.62020888</v>
      </c>
      <c r="P37" s="712">
        <v>0.56157227366873774</v>
      </c>
      <c r="Q37" s="712"/>
      <c r="T37" s="579" t="s">
        <v>419</v>
      </c>
      <c r="U37" s="713">
        <v>0.53395713680639678</v>
      </c>
      <c r="V37" s="714">
        <v>0.53285819264041878</v>
      </c>
      <c r="W37" s="821"/>
      <c r="X37" s="789"/>
      <c r="Y37" s="805"/>
      <c r="Z37" s="509"/>
    </row>
    <row r="38" spans="1:26" ht="11.25" customHeight="1">
      <c r="A38" s="136"/>
      <c r="B38" s="138"/>
      <c r="C38" s="138"/>
      <c r="D38" s="138"/>
      <c r="E38" s="138"/>
      <c r="F38" s="138"/>
      <c r="G38" s="138"/>
      <c r="H38" s="138"/>
      <c r="I38" s="138"/>
      <c r="J38" s="138"/>
      <c r="K38" s="138"/>
      <c r="L38" s="710" t="s">
        <v>76</v>
      </c>
      <c r="M38" s="710" t="s">
        <v>215</v>
      </c>
      <c r="N38" s="711">
        <v>97.15</v>
      </c>
      <c r="O38" s="712">
        <v>33.152793812500001</v>
      </c>
      <c r="P38" s="712">
        <v>0.47396342729599122</v>
      </c>
      <c r="Q38" s="716"/>
      <c r="T38" s="579" t="s">
        <v>79</v>
      </c>
      <c r="U38" s="713">
        <v>0.49840232326836176</v>
      </c>
      <c r="V38" s="714">
        <v>0.51343444820688233</v>
      </c>
      <c r="W38" s="821"/>
      <c r="X38" s="789"/>
      <c r="Y38" s="805"/>
      <c r="Z38" s="509"/>
    </row>
    <row r="39" spans="1:26">
      <c r="A39" s="136"/>
      <c r="B39" s="138"/>
      <c r="C39" s="138"/>
      <c r="D39" s="138"/>
      <c r="E39" s="138"/>
      <c r="F39" s="138"/>
      <c r="G39" s="138"/>
      <c r="H39" s="138"/>
      <c r="I39" s="138"/>
      <c r="J39" s="138"/>
      <c r="K39" s="138"/>
      <c r="L39" s="710" t="s">
        <v>79</v>
      </c>
      <c r="M39" s="710" t="s">
        <v>215</v>
      </c>
      <c r="N39" s="711">
        <v>30.86</v>
      </c>
      <c r="O39" s="712">
        <v>14.0354384625</v>
      </c>
      <c r="P39" s="712">
        <v>0.63168063937945562</v>
      </c>
      <c r="T39" s="579" t="s">
        <v>77</v>
      </c>
      <c r="U39" s="713">
        <v>0.43633370449578107</v>
      </c>
      <c r="V39" s="714">
        <v>0.50401101321472808</v>
      </c>
      <c r="W39" s="821"/>
      <c r="X39" s="789"/>
      <c r="Y39" s="805"/>
      <c r="Z39" s="509"/>
    </row>
    <row r="40" spans="1:26">
      <c r="A40" s="136"/>
      <c r="B40" s="138"/>
      <c r="C40" s="138"/>
      <c r="D40" s="138"/>
      <c r="E40" s="138"/>
      <c r="F40" s="138"/>
      <c r="G40" s="138"/>
      <c r="H40" s="138"/>
      <c r="I40" s="138"/>
      <c r="J40" s="138"/>
      <c r="K40" s="138"/>
      <c r="L40" s="710" t="s">
        <v>78</v>
      </c>
      <c r="M40" s="710" t="s">
        <v>215</v>
      </c>
      <c r="N40" s="711">
        <v>32</v>
      </c>
      <c r="O40" s="712">
        <v>10.640418127499998</v>
      </c>
      <c r="P40" s="712">
        <v>0.46182370345052082</v>
      </c>
      <c r="S40" s="579" t="s">
        <v>428</v>
      </c>
      <c r="T40" s="579" t="s">
        <v>502</v>
      </c>
      <c r="U40" s="713">
        <v>0.34805734607994471</v>
      </c>
      <c r="V40" s="714"/>
      <c r="W40" s="821"/>
      <c r="X40" s="789"/>
      <c r="Y40" s="805"/>
      <c r="Z40" s="509"/>
    </row>
    <row r="41" spans="1:26">
      <c r="A41" s="136"/>
      <c r="B41" s="138"/>
      <c r="C41" s="138"/>
      <c r="D41" s="138"/>
      <c r="E41" s="138"/>
      <c r="F41" s="138"/>
      <c r="G41" s="138"/>
      <c r="H41" s="138"/>
      <c r="I41" s="138"/>
      <c r="J41" s="138"/>
      <c r="K41" s="138"/>
      <c r="L41" s="579" t="s">
        <v>502</v>
      </c>
      <c r="M41" s="710" t="s">
        <v>215</v>
      </c>
      <c r="N41" s="711">
        <v>18.37</v>
      </c>
      <c r="O41" s="712">
        <v>3.9115265300000002</v>
      </c>
      <c r="P41" s="712">
        <v>0.29573629483457331</v>
      </c>
      <c r="T41" s="579" t="s">
        <v>501</v>
      </c>
      <c r="U41" s="713">
        <v>0.26808538500520745</v>
      </c>
      <c r="V41" s="714"/>
      <c r="W41" s="821"/>
      <c r="X41" s="789"/>
      <c r="Y41" s="805"/>
      <c r="Z41" s="509"/>
    </row>
    <row r="42" spans="1:26">
      <c r="A42" s="136"/>
      <c r="B42" s="138"/>
      <c r="C42" s="138"/>
      <c r="D42" s="138"/>
      <c r="E42" s="138"/>
      <c r="F42" s="138"/>
      <c r="G42" s="138"/>
      <c r="H42" s="138"/>
      <c r="I42" s="138"/>
      <c r="J42" s="138"/>
      <c r="K42" s="138"/>
      <c r="L42" s="579" t="s">
        <v>501</v>
      </c>
      <c r="M42" s="710" t="s">
        <v>215</v>
      </c>
      <c r="N42" s="711">
        <v>18.37</v>
      </c>
      <c r="O42" s="712">
        <v>3.43875865</v>
      </c>
      <c r="P42" s="712">
        <v>0.25999203486965466</v>
      </c>
      <c r="T42" s="579" t="s">
        <v>420</v>
      </c>
      <c r="U42" s="713">
        <v>0.3505180172529449</v>
      </c>
      <c r="V42" s="714">
        <v>0.34317650992466925</v>
      </c>
      <c r="W42" s="821"/>
      <c r="X42" s="789"/>
      <c r="Y42" s="805"/>
      <c r="Z42" s="509"/>
    </row>
    <row r="43" spans="1:26" ht="36" customHeight="1">
      <c r="A43" s="861"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diciembre 2021.
Nota: Son consideradas las centrales adjudicadas por subasta RER y cuenten con operación comercial</v>
      </c>
      <c r="B43" s="861"/>
      <c r="C43" s="861"/>
      <c r="D43" s="861"/>
      <c r="E43" s="861"/>
      <c r="F43" s="861"/>
      <c r="G43" s="861"/>
      <c r="H43" s="861"/>
      <c r="I43" s="861"/>
      <c r="J43" s="861"/>
      <c r="K43" s="861"/>
      <c r="L43" s="710" t="s">
        <v>420</v>
      </c>
      <c r="M43" s="710" t="s">
        <v>80</v>
      </c>
      <c r="N43" s="711">
        <v>144.47999999999999</v>
      </c>
      <c r="O43" s="712">
        <v>41.169368750000004</v>
      </c>
      <c r="P43" s="712">
        <v>0.39576189659083921</v>
      </c>
      <c r="T43" s="579" t="s">
        <v>81</v>
      </c>
      <c r="U43" s="713">
        <v>0.3468297833725742</v>
      </c>
      <c r="V43" s="714">
        <v>0.33925853611680329</v>
      </c>
      <c r="W43" s="821"/>
      <c r="X43" s="789"/>
      <c r="Y43" s="805"/>
      <c r="Z43" s="509"/>
    </row>
    <row r="44" spans="1:26" ht="18" customHeight="1">
      <c r="A44" s="136"/>
      <c r="B44" s="138"/>
      <c r="C44" s="138"/>
      <c r="D44" s="138"/>
      <c r="E44" s="138"/>
      <c r="F44" s="138"/>
      <c r="G44" s="138"/>
      <c r="H44" s="138"/>
      <c r="I44" s="138"/>
      <c r="J44" s="138"/>
      <c r="K44" s="138"/>
      <c r="L44" s="710" t="s">
        <v>421</v>
      </c>
      <c r="M44" s="710" t="s">
        <v>80</v>
      </c>
      <c r="N44" s="711">
        <v>44.54</v>
      </c>
      <c r="O44" s="712">
        <v>10.0633290725</v>
      </c>
      <c r="P44" s="712">
        <v>0.3138043541541935</v>
      </c>
      <c r="T44" s="579" t="s">
        <v>230</v>
      </c>
      <c r="U44" s="713">
        <v>0.33546716649543379</v>
      </c>
      <c r="V44" s="714">
        <v>0.31673415015938061</v>
      </c>
      <c r="W44" s="821"/>
      <c r="X44" s="789"/>
      <c r="Y44" s="805"/>
      <c r="Z44" s="509"/>
    </row>
    <row r="45" spans="1:26" ht="12">
      <c r="A45" s="136"/>
      <c r="B45" s="138"/>
      <c r="C45" s="865" t="str">
        <f>"Factor de planta de las centrales RER  Acumulado al "&amp;'1. Resumen'!Q7&amp;" de "&amp;'1. Resumen'!Q4</f>
        <v>Factor de planta de las centrales RER  Acumulado al 31 de diciembre</v>
      </c>
      <c r="D45" s="865"/>
      <c r="E45" s="865"/>
      <c r="F45" s="865"/>
      <c r="G45" s="865"/>
      <c r="H45" s="865"/>
      <c r="I45" s="865"/>
      <c r="J45" s="138"/>
      <c r="K45" s="138"/>
      <c r="L45" s="710" t="s">
        <v>230</v>
      </c>
      <c r="M45" s="710" t="s">
        <v>80</v>
      </c>
      <c r="N45" s="711">
        <v>20</v>
      </c>
      <c r="O45" s="712">
        <v>5.2292854174999999</v>
      </c>
      <c r="P45" s="712">
        <v>0.36314482065972226</v>
      </c>
      <c r="T45" s="579" t="s">
        <v>229</v>
      </c>
      <c r="U45" s="713">
        <v>0.30575682642694069</v>
      </c>
      <c r="V45" s="714">
        <v>0.28192118041325143</v>
      </c>
      <c r="W45" s="821"/>
      <c r="X45" s="789"/>
      <c r="Y45" s="805"/>
      <c r="Z45" s="509"/>
    </row>
    <row r="46" spans="1:26" ht="9.75" customHeight="1">
      <c r="A46" s="136"/>
      <c r="B46" s="138"/>
      <c r="C46" s="138"/>
      <c r="D46" s="138"/>
      <c r="E46" s="138"/>
      <c r="F46" s="138"/>
      <c r="G46" s="138"/>
      <c r="H46" s="138"/>
      <c r="I46" s="138"/>
      <c r="J46" s="138"/>
      <c r="K46" s="138"/>
      <c r="L46" s="710" t="s">
        <v>229</v>
      </c>
      <c r="M46" s="710" t="s">
        <v>80</v>
      </c>
      <c r="N46" s="711">
        <v>20</v>
      </c>
      <c r="O46" s="712">
        <v>4.6951015150000002</v>
      </c>
      <c r="P46" s="712">
        <v>0.32604871631944449</v>
      </c>
      <c r="T46" s="579" t="s">
        <v>421</v>
      </c>
      <c r="U46" s="713">
        <v>0.27842555002250297</v>
      </c>
      <c r="V46" s="714">
        <v>0.2678452555042008</v>
      </c>
      <c r="W46" s="821"/>
      <c r="X46" s="789"/>
      <c r="Y46" s="805"/>
      <c r="Z46" s="509"/>
    </row>
    <row r="47" spans="1:26" ht="9.75" customHeight="1">
      <c r="A47" s="136"/>
      <c r="B47" s="138"/>
      <c r="C47" s="138"/>
      <c r="D47" s="138"/>
      <c r="E47" s="138"/>
      <c r="F47" s="138"/>
      <c r="G47" s="138"/>
      <c r="H47" s="138"/>
      <c r="I47" s="138"/>
      <c r="J47" s="138"/>
      <c r="K47" s="138"/>
      <c r="L47" s="710" t="s">
        <v>81</v>
      </c>
      <c r="M47" s="710" t="s">
        <v>80</v>
      </c>
      <c r="N47" s="711">
        <v>16</v>
      </c>
      <c r="O47" s="712">
        <v>4.3039525049999998</v>
      </c>
      <c r="P47" s="712">
        <v>0.37360698828125</v>
      </c>
      <c r="T47" s="579" t="s">
        <v>231</v>
      </c>
      <c r="U47" s="713">
        <v>0.25239760102739722</v>
      </c>
      <c r="V47" s="714">
        <v>0.24399892657103822</v>
      </c>
      <c r="X47" s="789"/>
      <c r="Y47" s="805"/>
      <c r="Z47" s="509"/>
    </row>
    <row r="48" spans="1:26" ht="9.75" customHeight="1">
      <c r="A48" s="136"/>
      <c r="B48" s="138"/>
      <c r="C48" s="138"/>
      <c r="D48" s="138"/>
      <c r="E48" s="138"/>
      <c r="F48" s="138"/>
      <c r="G48" s="138"/>
      <c r="H48" s="138"/>
      <c r="I48" s="138"/>
      <c r="J48" s="138"/>
      <c r="K48" s="138"/>
      <c r="L48" s="710" t="s">
        <v>231</v>
      </c>
      <c r="M48" s="710" t="s">
        <v>80</v>
      </c>
      <c r="N48" s="711">
        <v>20</v>
      </c>
      <c r="O48" s="712">
        <v>4.0446451000000003</v>
      </c>
      <c r="P48" s="712">
        <v>0.28087813194444444</v>
      </c>
      <c r="T48" s="579" t="s">
        <v>82</v>
      </c>
      <c r="U48" s="713">
        <v>0.24830017655536529</v>
      </c>
      <c r="V48" s="714">
        <v>0.23805144512750459</v>
      </c>
      <c r="X48" s="789"/>
      <c r="Y48" s="805"/>
      <c r="Z48" s="509"/>
    </row>
    <row r="49" spans="1:26" ht="9.75" customHeight="1">
      <c r="A49" s="136"/>
      <c r="B49" s="138"/>
      <c r="C49" s="138"/>
      <c r="D49" s="138"/>
      <c r="E49" s="138"/>
      <c r="F49" s="138"/>
      <c r="G49" s="138"/>
      <c r="H49" s="138"/>
      <c r="I49" s="138"/>
      <c r="J49" s="138"/>
      <c r="K49" s="138"/>
      <c r="L49" s="710" t="s">
        <v>82</v>
      </c>
      <c r="M49" s="710" t="s">
        <v>80</v>
      </c>
      <c r="N49" s="711">
        <v>20</v>
      </c>
      <c r="O49" s="712">
        <v>3.8163535849999999</v>
      </c>
      <c r="P49" s="712">
        <v>0.2650245545138889</v>
      </c>
      <c r="S49" s="579" t="s">
        <v>429</v>
      </c>
      <c r="T49" s="579" t="s">
        <v>83</v>
      </c>
      <c r="U49" s="752">
        <v>0.87867288715819658</v>
      </c>
      <c r="V49" s="714">
        <v>0.82096648561561436</v>
      </c>
      <c r="X49" s="789"/>
      <c r="Y49" s="805"/>
      <c r="Z49" s="509"/>
    </row>
    <row r="50" spans="1:26" ht="9.75" customHeight="1">
      <c r="A50" s="136"/>
      <c r="B50" s="138"/>
      <c r="C50" s="138"/>
      <c r="D50" s="138"/>
      <c r="E50" s="138"/>
      <c r="F50" s="138"/>
      <c r="G50" s="138"/>
      <c r="H50" s="138"/>
      <c r="I50" s="138"/>
      <c r="J50" s="138"/>
      <c r="K50" s="138"/>
      <c r="L50" s="710" t="s">
        <v>83</v>
      </c>
      <c r="M50" s="710" t="s">
        <v>399</v>
      </c>
      <c r="N50" s="711">
        <v>12.74105</v>
      </c>
      <c r="O50" s="712">
        <v>7.9140445250000004</v>
      </c>
      <c r="P50" s="712">
        <v>0.86270193641375292</v>
      </c>
      <c r="T50" s="578" t="s">
        <v>84</v>
      </c>
      <c r="U50" s="752">
        <v>0.87261125677901408</v>
      </c>
      <c r="V50" s="714">
        <v>0.68738353818459574</v>
      </c>
      <c r="Y50" s="509"/>
      <c r="Z50" s="509"/>
    </row>
    <row r="51" spans="1:26" ht="20.25" customHeight="1">
      <c r="A51" s="136"/>
      <c r="B51" s="138"/>
      <c r="C51" s="138"/>
      <c r="D51" s="138"/>
      <c r="E51" s="138"/>
      <c r="F51" s="138"/>
      <c r="G51" s="138"/>
      <c r="H51" s="138"/>
      <c r="I51" s="138"/>
      <c r="J51" s="138"/>
      <c r="K51" s="138"/>
      <c r="L51" s="710" t="s">
        <v>84</v>
      </c>
      <c r="M51" s="710" t="s">
        <v>399</v>
      </c>
      <c r="N51" s="711">
        <v>4.2625000000000002</v>
      </c>
      <c r="O51" s="712">
        <v>2.9651850749999999</v>
      </c>
      <c r="P51" s="712">
        <v>0.96617304496578671</v>
      </c>
      <c r="T51" s="579" t="s">
        <v>422</v>
      </c>
      <c r="U51" s="752">
        <v>0.74515967025780083</v>
      </c>
      <c r="V51" s="714">
        <v>0.62692446873102625</v>
      </c>
      <c r="Y51" s="509"/>
      <c r="Z51" s="509"/>
    </row>
    <row r="52" spans="1:26" ht="9.75" customHeight="1">
      <c r="A52" s="136"/>
      <c r="B52" s="138"/>
      <c r="C52" s="138"/>
      <c r="D52" s="138"/>
      <c r="E52" s="138"/>
      <c r="F52" s="138"/>
      <c r="G52" s="138"/>
      <c r="H52" s="138"/>
      <c r="I52" s="138"/>
      <c r="J52" s="138"/>
      <c r="K52" s="138"/>
      <c r="L52" s="710" t="s">
        <v>422</v>
      </c>
      <c r="M52" s="710" t="s">
        <v>399</v>
      </c>
      <c r="N52" s="711">
        <v>2.4</v>
      </c>
      <c r="O52" s="712">
        <v>1.1631754000000001</v>
      </c>
      <c r="P52" s="712">
        <v>0.67313391203703721</v>
      </c>
      <c r="T52" s="579" t="s">
        <v>470</v>
      </c>
      <c r="U52" s="752">
        <v>0.66519038658200158</v>
      </c>
      <c r="V52" s="714">
        <v>0.89079349821312548</v>
      </c>
      <c r="Y52" s="509"/>
      <c r="Z52" s="509"/>
    </row>
    <row r="53" spans="1:26" ht="9.75" customHeight="1">
      <c r="B53" s="138"/>
      <c r="C53" s="138"/>
      <c r="D53" s="138"/>
      <c r="E53" s="138"/>
      <c r="F53" s="138"/>
      <c r="G53" s="138"/>
      <c r="H53" s="138"/>
      <c r="I53" s="138"/>
      <c r="J53" s="138"/>
      <c r="K53" s="138"/>
      <c r="L53" s="710" t="s">
        <v>470</v>
      </c>
      <c r="M53" s="710" t="s">
        <v>399</v>
      </c>
      <c r="N53" s="711">
        <v>2.4</v>
      </c>
      <c r="O53" s="712">
        <v>0.6370411749999999</v>
      </c>
      <c r="P53" s="712">
        <v>0.36865808738425926</v>
      </c>
      <c r="T53" s="579" t="s">
        <v>85</v>
      </c>
      <c r="U53" s="752">
        <v>0.6430163616858231</v>
      </c>
      <c r="V53" s="714">
        <v>0.48743483203324434</v>
      </c>
    </row>
    <row r="54" spans="1:26" ht="30.75" customHeight="1">
      <c r="L54" s="579" t="s">
        <v>85</v>
      </c>
      <c r="M54" s="710" t="s">
        <v>399</v>
      </c>
      <c r="N54" s="711">
        <v>2.9537</v>
      </c>
      <c r="O54" s="712">
        <v>0.55689762499999995</v>
      </c>
      <c r="P54" s="712">
        <v>0.26186441534722921</v>
      </c>
    </row>
    <row r="55" spans="1:26" ht="9.75" customHeight="1">
      <c r="U55" s="752"/>
    </row>
    <row r="56" spans="1:26" ht="9.75" customHeight="1">
      <c r="U56" s="752"/>
    </row>
    <row r="57" spans="1:26" ht="9.75" customHeight="1">
      <c r="U57" s="752"/>
    </row>
    <row r="58" spans="1:26" ht="9.75" customHeight="1"/>
    <row r="59" spans="1:26" ht="9.75" customHeight="1"/>
    <row r="60" spans="1:26" ht="9.75" customHeight="1"/>
    <row r="61" spans="1:26" ht="9.75" customHeight="1"/>
    <row r="62" spans="1:26" ht="9.75" customHeight="1"/>
    <row r="64" spans="1:26" ht="26.25" customHeight="1">
      <c r="A64" s="861"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diciembre.
Nota: Son consideradas las centrales adjudicadas por subasta RER y cuenten con operación comercial</v>
      </c>
      <c r="B64" s="861"/>
      <c r="C64" s="861"/>
      <c r="D64" s="861"/>
      <c r="E64" s="861"/>
      <c r="F64" s="861"/>
      <c r="G64" s="861"/>
      <c r="H64" s="861"/>
      <c r="I64" s="861"/>
      <c r="J64" s="861"/>
      <c r="K64" s="861"/>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F52" sqref="F52"/>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509" customWidth="1"/>
    <col min="12" max="12" width="19.140625" style="278" customWidth="1"/>
    <col min="13" max="13" width="10.42578125" style="278" bestFit="1" customWidth="1"/>
    <col min="14" max="14" width="9.42578125" style="278" bestFit="1" customWidth="1"/>
    <col min="15" max="16" width="9.28515625" style="278"/>
    <col min="17" max="17" width="9.28515625" style="751"/>
  </cols>
  <sheetData>
    <row r="1" spans="1:14" ht="11.25" customHeight="1">
      <c r="A1" s="862" t="s">
        <v>233</v>
      </c>
      <c r="B1" s="862"/>
      <c r="C1" s="862"/>
      <c r="D1" s="862"/>
      <c r="E1" s="862"/>
      <c r="F1" s="862"/>
      <c r="G1" s="862"/>
      <c r="H1" s="862"/>
      <c r="I1" s="862"/>
      <c r="J1" s="17"/>
    </row>
    <row r="2" spans="1:14" ht="6" customHeight="1">
      <c r="A2" s="17"/>
      <c r="B2" s="17"/>
      <c r="C2" s="17"/>
      <c r="D2" s="17"/>
      <c r="E2" s="17"/>
      <c r="F2" s="17"/>
      <c r="G2" s="17"/>
      <c r="H2" s="17"/>
      <c r="I2" s="17"/>
      <c r="J2" s="17"/>
      <c r="K2" s="299"/>
      <c r="L2" s="813"/>
    </row>
    <row r="3" spans="1:14" ht="11.25" customHeight="1">
      <c r="A3" s="868" t="s">
        <v>243</v>
      </c>
      <c r="B3" s="869" t="str">
        <f>+'1. Resumen'!Q4</f>
        <v>diciembre</v>
      </c>
      <c r="C3" s="870"/>
      <c r="D3" s="870"/>
      <c r="E3" s="138"/>
      <c r="F3" s="138"/>
      <c r="G3" s="871" t="s">
        <v>489</v>
      </c>
      <c r="H3" s="871"/>
      <c r="I3" s="871"/>
      <c r="J3" s="138"/>
      <c r="L3" s="814"/>
      <c r="M3" s="815">
        <v>2021</v>
      </c>
      <c r="N3" s="815">
        <v>2020</v>
      </c>
    </row>
    <row r="4" spans="1:14" ht="11.25" customHeight="1">
      <c r="A4" s="868"/>
      <c r="B4" s="370">
        <f>+'1. Resumen'!Q5</f>
        <v>2021</v>
      </c>
      <c r="C4" s="371">
        <f>+B4-1</f>
        <v>2020</v>
      </c>
      <c r="D4" s="371" t="s">
        <v>35</v>
      </c>
      <c r="E4" s="138"/>
      <c r="F4" s="138"/>
      <c r="G4" s="138"/>
      <c r="H4" s="138"/>
      <c r="I4" s="138"/>
      <c r="J4" s="138"/>
      <c r="K4" s="793"/>
      <c r="L4" s="816" t="s">
        <v>417</v>
      </c>
      <c r="M4" s="817"/>
      <c r="N4" s="817">
        <v>8.2314067800000004</v>
      </c>
    </row>
    <row r="5" spans="1:14" ht="8.4" customHeight="1">
      <c r="A5" s="638" t="s">
        <v>406</v>
      </c>
      <c r="B5" s="639">
        <v>751.2190250000001</v>
      </c>
      <c r="C5" s="640">
        <v>636.18840643249996</v>
      </c>
      <c r="D5" s="641">
        <f>IF(C5=0,"",B5/C5-1)</f>
        <v>0.18081218928925091</v>
      </c>
      <c r="E5" s="138"/>
      <c r="F5" s="138"/>
      <c r="G5" s="138"/>
      <c r="H5" s="138"/>
      <c r="I5" s="138"/>
      <c r="J5" s="138"/>
      <c r="K5" s="794"/>
      <c r="L5" s="816" t="s">
        <v>234</v>
      </c>
      <c r="M5" s="817">
        <v>0</v>
      </c>
      <c r="N5" s="817">
        <v>0</v>
      </c>
    </row>
    <row r="6" spans="1:14" ht="8.4" customHeight="1">
      <c r="A6" s="642" t="s">
        <v>87</v>
      </c>
      <c r="B6" s="643">
        <v>598.16508173500006</v>
      </c>
      <c r="C6" s="643">
        <v>727.05083995000007</v>
      </c>
      <c r="D6" s="644">
        <f t="shared" ref="D6:D68" si="0">IF(C6=0,"",B6/C6-1)</f>
        <v>-0.17727200235937224</v>
      </c>
      <c r="E6" s="323"/>
      <c r="F6" s="138"/>
      <c r="G6" s="138"/>
      <c r="H6" s="138"/>
      <c r="I6" s="138"/>
      <c r="J6" s="138"/>
      <c r="L6" s="817" t="s">
        <v>241</v>
      </c>
      <c r="M6" s="817">
        <v>1.7090524999999999E-2</v>
      </c>
      <c r="N6" s="817">
        <v>2.2231E-3</v>
      </c>
    </row>
    <row r="7" spans="1:14" ht="8.4" customHeight="1">
      <c r="A7" s="638" t="s">
        <v>89</v>
      </c>
      <c r="B7" s="640">
        <v>566.86458719999996</v>
      </c>
      <c r="C7" s="640">
        <v>573.34540391999997</v>
      </c>
      <c r="D7" s="641">
        <f t="shared" si="0"/>
        <v>-1.1303512116239589E-2</v>
      </c>
      <c r="E7" s="138"/>
      <c r="F7" s="138"/>
      <c r="G7" s="138"/>
      <c r="H7" s="138"/>
      <c r="I7" s="138"/>
      <c r="J7" s="138"/>
      <c r="L7" s="816" t="s">
        <v>116</v>
      </c>
      <c r="M7" s="817">
        <v>2.56850975E-2</v>
      </c>
      <c r="N7" s="817">
        <v>0.82901806500000008</v>
      </c>
    </row>
    <row r="8" spans="1:14" ht="8.4" customHeight="1">
      <c r="A8" s="642" t="s">
        <v>88</v>
      </c>
      <c r="B8" s="643">
        <v>544.11249599999996</v>
      </c>
      <c r="C8" s="643">
        <v>591.48818378250019</v>
      </c>
      <c r="D8" s="644">
        <f t="shared" si="0"/>
        <v>-8.0095746764606623E-2</v>
      </c>
      <c r="E8" s="138"/>
      <c r="F8" s="138"/>
      <c r="G8" s="138"/>
      <c r="H8" s="138"/>
      <c r="I8" s="138"/>
      <c r="J8" s="138"/>
      <c r="L8" s="816" t="s">
        <v>604</v>
      </c>
      <c r="M8" s="817">
        <v>0.2375421425</v>
      </c>
      <c r="N8" s="817"/>
    </row>
    <row r="9" spans="1:14" ht="8.4" customHeight="1">
      <c r="A9" s="638" t="s">
        <v>235</v>
      </c>
      <c r="B9" s="640">
        <v>262.49282283750006</v>
      </c>
      <c r="C9" s="640">
        <v>196.95824636999998</v>
      </c>
      <c r="D9" s="641">
        <f t="shared" si="0"/>
        <v>0.33273334666266652</v>
      </c>
      <c r="E9" s="138"/>
      <c r="F9" s="138"/>
      <c r="G9" s="138"/>
      <c r="H9" s="138"/>
      <c r="I9" s="138"/>
      <c r="J9" s="138"/>
      <c r="K9" s="793"/>
      <c r="L9" s="817" t="s">
        <v>477</v>
      </c>
      <c r="M9" s="817">
        <v>0.28534678000000002</v>
      </c>
      <c r="N9" s="817">
        <v>0.49063189499999998</v>
      </c>
    </row>
    <row r="10" spans="1:14" ht="8.4" customHeight="1">
      <c r="A10" s="642" t="s">
        <v>90</v>
      </c>
      <c r="B10" s="643">
        <v>243.442861975</v>
      </c>
      <c r="C10" s="643">
        <v>196.0444516725</v>
      </c>
      <c r="D10" s="644">
        <f t="shared" si="0"/>
        <v>0.24177379108734431</v>
      </c>
      <c r="E10" s="138"/>
      <c r="F10" s="138"/>
      <c r="G10" s="138"/>
      <c r="H10" s="138"/>
      <c r="I10" s="138"/>
      <c r="J10" s="138"/>
      <c r="K10" s="794"/>
      <c r="L10" s="817" t="s">
        <v>242</v>
      </c>
      <c r="M10" s="817">
        <v>0.38599749999999999</v>
      </c>
      <c r="N10" s="817">
        <v>0.80239053999999999</v>
      </c>
    </row>
    <row r="11" spans="1:14" ht="8.4" customHeight="1">
      <c r="A11" s="638" t="s">
        <v>237</v>
      </c>
      <c r="B11" s="640">
        <v>236.51407881749998</v>
      </c>
      <c r="C11" s="640">
        <v>221.78918948999996</v>
      </c>
      <c r="D11" s="641">
        <f t="shared" si="0"/>
        <v>6.6391375347732762E-2</v>
      </c>
      <c r="E11" s="138"/>
      <c r="F11" s="138"/>
      <c r="G11" s="138"/>
      <c r="H11" s="138"/>
      <c r="I11" s="138"/>
      <c r="J11" s="138"/>
      <c r="K11" s="794"/>
      <c r="L11" s="817" t="s">
        <v>408</v>
      </c>
      <c r="M11" s="817">
        <v>0.44842274999999998</v>
      </c>
      <c r="N11" s="817">
        <v>0.21446850000000001</v>
      </c>
    </row>
    <row r="12" spans="1:14" ht="8.4" customHeight="1">
      <c r="A12" s="642" t="s">
        <v>239</v>
      </c>
      <c r="B12" s="643">
        <v>229.47994849999998</v>
      </c>
      <c r="C12" s="643">
        <v>253.33119499999998</v>
      </c>
      <c r="D12" s="645">
        <f t="shared" si="0"/>
        <v>-9.4150451940985813E-2</v>
      </c>
      <c r="E12" s="138"/>
      <c r="F12" s="138"/>
      <c r="G12" s="138"/>
      <c r="H12" s="138"/>
      <c r="I12" s="138"/>
      <c r="J12" s="138"/>
      <c r="K12" s="794"/>
      <c r="L12" s="816" t="s">
        <v>117</v>
      </c>
      <c r="M12" s="817">
        <v>0.52959690000000004</v>
      </c>
      <c r="N12" s="817">
        <v>1.308844235</v>
      </c>
    </row>
    <row r="13" spans="1:14" ht="8.4" customHeight="1">
      <c r="A13" s="638" t="s">
        <v>94</v>
      </c>
      <c r="B13" s="640">
        <v>125.86830449999999</v>
      </c>
      <c r="C13" s="640">
        <v>127.23365951</v>
      </c>
      <c r="D13" s="641">
        <f t="shared" si="0"/>
        <v>-1.073108338829698E-2</v>
      </c>
      <c r="E13" s="138"/>
      <c r="F13" s="138"/>
      <c r="G13" s="138"/>
      <c r="H13" s="138"/>
      <c r="I13" s="138"/>
      <c r="J13" s="138"/>
      <c r="K13" s="794"/>
      <c r="L13" s="816" t="s">
        <v>603</v>
      </c>
      <c r="M13" s="817">
        <v>1.5782827975</v>
      </c>
      <c r="N13" s="817"/>
    </row>
    <row r="14" spans="1:14" ht="8.4" customHeight="1">
      <c r="A14" s="642" t="s">
        <v>92</v>
      </c>
      <c r="B14" s="643">
        <v>119.98859774999998</v>
      </c>
      <c r="C14" s="643">
        <v>120.73721523250001</v>
      </c>
      <c r="D14" s="644">
        <f t="shared" si="0"/>
        <v>-6.2003871884773742E-3</v>
      </c>
      <c r="E14" s="138"/>
      <c r="F14" s="138"/>
      <c r="G14" s="138"/>
      <c r="H14" s="138"/>
      <c r="I14" s="138"/>
      <c r="J14" s="138"/>
      <c r="K14" s="794"/>
      <c r="L14" s="817" t="s">
        <v>105</v>
      </c>
      <c r="M14" s="817">
        <v>1.6097044149999999</v>
      </c>
      <c r="N14" s="817">
        <v>1.996748505</v>
      </c>
    </row>
    <row r="15" spans="1:14" ht="8.4" customHeight="1">
      <c r="A15" s="638" t="s">
        <v>93</v>
      </c>
      <c r="B15" s="640">
        <v>113.357798</v>
      </c>
      <c r="C15" s="640">
        <v>96.457754245000004</v>
      </c>
      <c r="D15" s="641">
        <f t="shared" si="0"/>
        <v>0.17520668905554615</v>
      </c>
      <c r="E15" s="138"/>
      <c r="F15" s="138"/>
      <c r="G15" s="138"/>
      <c r="H15" s="138"/>
      <c r="I15" s="138"/>
      <c r="J15" s="138" t="s">
        <v>8</v>
      </c>
      <c r="K15" s="794"/>
      <c r="L15" s="817" t="s">
        <v>112</v>
      </c>
      <c r="M15" s="817">
        <v>1.6373590149999999</v>
      </c>
      <c r="N15" s="817">
        <v>1.7286366</v>
      </c>
    </row>
    <row r="16" spans="1:14" ht="8.4" customHeight="1">
      <c r="A16" s="642" t="s">
        <v>98</v>
      </c>
      <c r="B16" s="643">
        <v>86.695876249999998</v>
      </c>
      <c r="C16" s="643">
        <v>89.931434437500002</v>
      </c>
      <c r="D16" s="644">
        <f t="shared" si="0"/>
        <v>-3.5978056034996708E-2</v>
      </c>
      <c r="E16" s="138"/>
      <c r="F16" s="138"/>
      <c r="G16" s="138"/>
      <c r="H16" s="138"/>
      <c r="I16" s="138"/>
      <c r="J16" s="138"/>
      <c r="K16" s="794"/>
      <c r="L16" s="817" t="s">
        <v>115</v>
      </c>
      <c r="M16" s="817">
        <v>2.1960478749999996</v>
      </c>
      <c r="N16" s="817">
        <v>2.1207589374999998</v>
      </c>
    </row>
    <row r="17" spans="1:14" ht="8.4" customHeight="1">
      <c r="A17" s="638" t="s">
        <v>91</v>
      </c>
      <c r="B17" s="640">
        <v>82.240458047499985</v>
      </c>
      <c r="C17" s="640">
        <v>82.686959577499991</v>
      </c>
      <c r="D17" s="641">
        <f t="shared" si="0"/>
        <v>-5.399902624083186E-3</v>
      </c>
      <c r="E17" s="138"/>
      <c r="F17" s="138"/>
      <c r="G17" s="138"/>
      <c r="H17" s="138"/>
      <c r="I17" s="138"/>
      <c r="J17" s="138"/>
      <c r="K17" s="795"/>
      <c r="L17" s="817" t="s">
        <v>114</v>
      </c>
      <c r="M17" s="817">
        <v>2.5636999999999999</v>
      </c>
      <c r="N17" s="817">
        <v>2.4631999999999996</v>
      </c>
    </row>
    <row r="18" spans="1:14" ht="8.4" customHeight="1">
      <c r="A18" s="642" t="s">
        <v>423</v>
      </c>
      <c r="B18" s="643">
        <v>65.904089449999987</v>
      </c>
      <c r="C18" s="643">
        <v>65.552950757499985</v>
      </c>
      <c r="D18" s="644">
        <f t="shared" si="0"/>
        <v>5.3565657753373852E-3</v>
      </c>
      <c r="E18" s="138"/>
      <c r="F18" s="138"/>
      <c r="G18" s="138"/>
      <c r="H18" s="138"/>
      <c r="I18" s="138"/>
      <c r="J18" s="138"/>
      <c r="K18" s="794"/>
      <c r="L18" s="816" t="s">
        <v>113</v>
      </c>
      <c r="M18" s="817">
        <v>2.5747787</v>
      </c>
      <c r="N18" s="817">
        <v>2.3859851025000003</v>
      </c>
    </row>
    <row r="19" spans="1:14" ht="8.4" customHeight="1">
      <c r="A19" s="638" t="s">
        <v>96</v>
      </c>
      <c r="B19" s="640">
        <v>60.695053250000001</v>
      </c>
      <c r="C19" s="640">
        <v>63.907956690000006</v>
      </c>
      <c r="D19" s="641">
        <f t="shared" si="0"/>
        <v>-5.0273919029909186E-2</v>
      </c>
      <c r="E19" s="138"/>
      <c r="F19" s="138"/>
      <c r="G19" s="138"/>
      <c r="H19" s="138"/>
      <c r="I19" s="138"/>
      <c r="J19" s="138"/>
      <c r="K19" s="794"/>
      <c r="L19" s="817" t="s">
        <v>475</v>
      </c>
      <c r="M19" s="817">
        <v>3.43875865</v>
      </c>
      <c r="N19" s="817">
        <v>0.2372264925</v>
      </c>
    </row>
    <row r="20" spans="1:14" ht="8.4" customHeight="1">
      <c r="A20" s="642" t="s">
        <v>97</v>
      </c>
      <c r="B20" s="643">
        <v>47.655647342500004</v>
      </c>
      <c r="C20" s="643">
        <v>48.341197497499998</v>
      </c>
      <c r="D20" s="644">
        <f t="shared" si="0"/>
        <v>-1.4181488885033233E-2</v>
      </c>
      <c r="E20" s="138"/>
      <c r="F20" s="138"/>
      <c r="G20" s="138"/>
      <c r="H20" s="138"/>
      <c r="I20" s="138"/>
      <c r="J20" s="138"/>
      <c r="K20" s="794"/>
      <c r="L20" s="816" t="s">
        <v>474</v>
      </c>
      <c r="M20" s="817">
        <v>3.8163535849999999</v>
      </c>
      <c r="N20" s="817">
        <v>3.5774013199999999</v>
      </c>
    </row>
    <row r="21" spans="1:14" ht="8.4" customHeight="1">
      <c r="A21" s="638" t="s">
        <v>478</v>
      </c>
      <c r="B21" s="640">
        <v>46.499323855000007</v>
      </c>
      <c r="C21" s="640">
        <v>34.355303450000001</v>
      </c>
      <c r="D21" s="641">
        <f t="shared" si="0"/>
        <v>0.35348313609496018</v>
      </c>
      <c r="E21" s="138"/>
      <c r="F21" s="138"/>
      <c r="G21" s="138"/>
      <c r="H21" s="138"/>
      <c r="I21" s="138"/>
      <c r="J21" s="138"/>
      <c r="K21" s="795"/>
      <c r="L21" s="817" t="s">
        <v>476</v>
      </c>
      <c r="M21" s="817">
        <v>3.9115265300000002</v>
      </c>
      <c r="N21" s="817">
        <v>6.4391925000000003E-2</v>
      </c>
    </row>
    <row r="22" spans="1:14" ht="8.4" customHeight="1">
      <c r="A22" s="642" t="s">
        <v>95</v>
      </c>
      <c r="B22" s="643">
        <v>45.082415705000003</v>
      </c>
      <c r="C22" s="643">
        <v>73.615050230000008</v>
      </c>
      <c r="D22" s="644">
        <f t="shared" si="0"/>
        <v>-0.38759240720279009</v>
      </c>
      <c r="E22" s="138"/>
      <c r="F22" s="138"/>
      <c r="G22" s="138"/>
      <c r="H22" s="138"/>
      <c r="I22" s="138"/>
      <c r="J22" s="138"/>
      <c r="K22" s="794"/>
      <c r="L22" s="816" t="s">
        <v>473</v>
      </c>
      <c r="M22" s="817">
        <v>4.0446451000000003</v>
      </c>
      <c r="N22" s="817">
        <v>3.5774013199999999</v>
      </c>
    </row>
    <row r="23" spans="1:14" ht="8.4" customHeight="1">
      <c r="A23" s="638" t="s">
        <v>108</v>
      </c>
      <c r="B23" s="640">
        <v>49.143729655000001</v>
      </c>
      <c r="C23" s="640">
        <v>42.849027795000005</v>
      </c>
      <c r="D23" s="641">
        <f t="shared" si="0"/>
        <v>0.14690419325533721</v>
      </c>
      <c r="E23" s="138"/>
      <c r="F23" s="138"/>
      <c r="G23" s="138"/>
      <c r="H23" s="138"/>
      <c r="I23" s="138"/>
      <c r="J23" s="138"/>
      <c r="K23" s="794"/>
      <c r="L23" s="816" t="s">
        <v>110</v>
      </c>
      <c r="M23" s="817">
        <v>4.3039525049999998</v>
      </c>
      <c r="N23" s="817">
        <v>4.5450775700000001</v>
      </c>
    </row>
    <row r="24" spans="1:14" ht="8.4" customHeight="1">
      <c r="A24" s="642" t="s">
        <v>504</v>
      </c>
      <c r="B24" s="643">
        <v>40.21735125</v>
      </c>
      <c r="C24" s="643"/>
      <c r="D24" s="644" t="str">
        <f t="shared" si="0"/>
        <v/>
      </c>
      <c r="E24" s="138"/>
      <c r="F24" s="138"/>
      <c r="G24" s="138"/>
      <c r="H24" s="138"/>
      <c r="I24" s="138"/>
      <c r="J24" s="138"/>
      <c r="K24" s="794"/>
      <c r="L24" s="816" t="s">
        <v>424</v>
      </c>
      <c r="M24" s="817">
        <v>4.3576411225000005</v>
      </c>
      <c r="N24" s="817">
        <v>5.4216976849999998</v>
      </c>
    </row>
    <row r="25" spans="1:14" ht="8.4" customHeight="1">
      <c r="A25" s="638" t="s">
        <v>99</v>
      </c>
      <c r="B25" s="640">
        <v>33.152793812500001</v>
      </c>
      <c r="C25" s="640">
        <v>37.775478437499999</v>
      </c>
      <c r="D25" s="641">
        <f t="shared" si="0"/>
        <v>-0.12237262944659422</v>
      </c>
      <c r="E25" s="138"/>
      <c r="F25" s="138"/>
      <c r="G25" s="138"/>
      <c r="H25" s="138"/>
      <c r="I25" s="138"/>
      <c r="J25" s="138"/>
      <c r="K25" s="794"/>
      <c r="L25" s="817" t="s">
        <v>119</v>
      </c>
      <c r="M25" s="817">
        <v>4.6430189374999999</v>
      </c>
      <c r="N25" s="817">
        <v>4.5409642175</v>
      </c>
    </row>
    <row r="26" spans="1:14" ht="8.4" customHeight="1">
      <c r="A26" s="642" t="s">
        <v>236</v>
      </c>
      <c r="B26" s="643">
        <v>32.627229999999997</v>
      </c>
      <c r="C26" s="643">
        <v>27.037825014999999</v>
      </c>
      <c r="D26" s="644">
        <f t="shared" si="0"/>
        <v>0.20672539236788157</v>
      </c>
      <c r="E26" s="138"/>
      <c r="F26" s="138"/>
      <c r="G26" s="138"/>
      <c r="H26" s="138"/>
      <c r="I26" s="138"/>
      <c r="J26" s="138"/>
      <c r="K26" s="794"/>
      <c r="L26" s="816" t="s">
        <v>109</v>
      </c>
      <c r="M26" s="817">
        <v>4.6951015150000002</v>
      </c>
      <c r="N26" s="817">
        <v>5.3897528074999999</v>
      </c>
    </row>
    <row r="27" spans="1:14" ht="8.4" customHeight="1">
      <c r="A27" s="646" t="s">
        <v>100</v>
      </c>
      <c r="B27" s="640">
        <v>30.0757875125</v>
      </c>
      <c r="C27" s="640">
        <v>25.53489416</v>
      </c>
      <c r="D27" s="641">
        <f t="shared" si="0"/>
        <v>0.17783090558539438</v>
      </c>
      <c r="E27" s="138"/>
      <c r="F27" s="138"/>
      <c r="G27" s="138"/>
      <c r="H27" s="138"/>
      <c r="I27" s="138"/>
      <c r="J27" s="138"/>
      <c r="K27" s="794"/>
      <c r="L27" s="816" t="s">
        <v>107</v>
      </c>
      <c r="M27" s="817">
        <v>5.2292854174999999</v>
      </c>
      <c r="N27" s="817">
        <v>5.4586225274999993</v>
      </c>
    </row>
    <row r="28" spans="1:14" ht="8.4" customHeight="1">
      <c r="A28" s="647" t="s">
        <v>101</v>
      </c>
      <c r="B28" s="643">
        <v>20.852845134999999</v>
      </c>
      <c r="C28" s="643">
        <v>9.9054714175000012</v>
      </c>
      <c r="D28" s="644">
        <f t="shared" si="0"/>
        <v>1.1051845243992395</v>
      </c>
      <c r="E28" s="138"/>
      <c r="F28" s="138"/>
      <c r="G28" s="138"/>
      <c r="H28" s="138"/>
      <c r="I28" s="138"/>
      <c r="J28" s="138"/>
      <c r="K28" s="794"/>
      <c r="L28" s="816" t="s">
        <v>407</v>
      </c>
      <c r="M28" s="817">
        <v>5.3222992750000007</v>
      </c>
      <c r="N28" s="817">
        <v>8.0370835374999992</v>
      </c>
    </row>
    <row r="29" spans="1:14" ht="8.4" customHeight="1">
      <c r="A29" s="648" t="s">
        <v>446</v>
      </c>
      <c r="B29" s="640">
        <v>19.116591110000002</v>
      </c>
      <c r="C29" s="640">
        <v>18.0545910775</v>
      </c>
      <c r="D29" s="641">
        <f t="shared" si="0"/>
        <v>5.8821605426637946E-2</v>
      </c>
      <c r="E29" s="138"/>
      <c r="F29" s="138"/>
      <c r="G29" s="138"/>
      <c r="H29" s="138"/>
      <c r="I29" s="138"/>
      <c r="J29" s="138"/>
      <c r="K29" s="794"/>
      <c r="L29" s="817" t="s">
        <v>445</v>
      </c>
      <c r="M29" s="817">
        <v>6.3379690125000003</v>
      </c>
      <c r="N29" s="817">
        <v>6.7875031200000002</v>
      </c>
    </row>
    <row r="30" spans="1:14" ht="8.4" customHeight="1">
      <c r="A30" s="647" t="s">
        <v>102</v>
      </c>
      <c r="B30" s="643">
        <v>18.861131887500001</v>
      </c>
      <c r="C30" s="643">
        <v>0</v>
      </c>
      <c r="D30" s="644" t="str">
        <f t="shared" si="0"/>
        <v/>
      </c>
      <c r="E30" s="138"/>
      <c r="F30" s="138"/>
      <c r="G30" s="138"/>
      <c r="H30" s="138"/>
      <c r="I30" s="138"/>
      <c r="J30" s="138"/>
      <c r="K30" s="794"/>
      <c r="L30" s="817" t="s">
        <v>106</v>
      </c>
      <c r="M30" s="817">
        <v>7.9140445250000004</v>
      </c>
      <c r="N30" s="817">
        <v>8.2125301825000001</v>
      </c>
    </row>
    <row r="31" spans="1:14" ht="8.4" customHeight="1">
      <c r="A31" s="648" t="s">
        <v>111</v>
      </c>
      <c r="B31" s="640">
        <v>16.274510257499998</v>
      </c>
      <c r="C31" s="640">
        <v>16.800372995</v>
      </c>
      <c r="D31" s="641">
        <f t="shared" si="0"/>
        <v>-3.1300658482791177E-2</v>
      </c>
      <c r="E31" s="138"/>
      <c r="F31" s="138"/>
      <c r="G31" s="138"/>
      <c r="H31" s="138"/>
      <c r="I31" s="138"/>
      <c r="J31" s="138"/>
      <c r="K31" s="794"/>
      <c r="L31" s="817" t="s">
        <v>414</v>
      </c>
      <c r="M31" s="817">
        <v>9.0792737849999998</v>
      </c>
      <c r="N31" s="817">
        <v>10.3061835275</v>
      </c>
    </row>
    <row r="32" spans="1:14" ht="8.4" customHeight="1">
      <c r="A32" s="649" t="s">
        <v>479</v>
      </c>
      <c r="B32" s="643">
        <v>14.627545285</v>
      </c>
      <c r="C32" s="643">
        <v>13.5052720475</v>
      </c>
      <c r="D32" s="644">
        <f t="shared" si="0"/>
        <v>8.3098898974622859E-2</v>
      </c>
      <c r="E32" s="138"/>
      <c r="F32" s="138"/>
      <c r="G32" s="138"/>
      <c r="H32" s="138"/>
      <c r="I32" s="138"/>
      <c r="J32" s="138"/>
      <c r="K32" s="794"/>
      <c r="L32" s="816" t="s">
        <v>240</v>
      </c>
      <c r="M32" s="817">
        <v>10.640418127499998</v>
      </c>
      <c r="N32" s="817">
        <v>12.286729375</v>
      </c>
    </row>
    <row r="33" spans="1:14" ht="8.4" customHeight="1">
      <c r="A33" s="650" t="s">
        <v>398</v>
      </c>
      <c r="B33" s="640">
        <v>14.564628515000001</v>
      </c>
      <c r="C33" s="640">
        <v>14.853014829999999</v>
      </c>
      <c r="D33" s="641">
        <f t="shared" si="0"/>
        <v>-1.9416012055513354E-2</v>
      </c>
      <c r="E33" s="138"/>
      <c r="F33" s="138"/>
      <c r="G33" s="138"/>
      <c r="H33" s="138"/>
      <c r="I33" s="138"/>
      <c r="J33" s="138"/>
      <c r="K33" s="796"/>
      <c r="L33" s="816" t="s">
        <v>437</v>
      </c>
      <c r="M33" s="817">
        <v>12.304577705</v>
      </c>
      <c r="N33" s="817">
        <v>13.542620700000001</v>
      </c>
    </row>
    <row r="34" spans="1:14" ht="8.4" customHeight="1">
      <c r="A34" s="649" t="s">
        <v>118</v>
      </c>
      <c r="B34" s="643">
        <v>14.45381546</v>
      </c>
      <c r="C34" s="643">
        <v>14.53891076</v>
      </c>
      <c r="D34" s="644">
        <f t="shared" si="0"/>
        <v>-5.8529350241366407E-3</v>
      </c>
      <c r="E34" s="138"/>
      <c r="F34" s="138"/>
      <c r="G34" s="138"/>
      <c r="H34" s="138"/>
      <c r="I34" s="138"/>
      <c r="J34" s="138"/>
      <c r="K34" s="796"/>
      <c r="L34" s="816" t="s">
        <v>457</v>
      </c>
      <c r="M34" s="817">
        <v>12.693727214999999</v>
      </c>
      <c r="N34" s="817">
        <v>10.8058693125</v>
      </c>
    </row>
    <row r="35" spans="1:14" ht="8.4" customHeight="1">
      <c r="A35" s="650" t="s">
        <v>104</v>
      </c>
      <c r="B35" s="640">
        <v>13.66837333</v>
      </c>
      <c r="C35" s="640">
        <v>13.20743465</v>
      </c>
      <c r="D35" s="641">
        <f t="shared" si="0"/>
        <v>3.4899940239340843E-2</v>
      </c>
      <c r="E35" s="138"/>
      <c r="F35" s="138"/>
      <c r="G35" s="138"/>
      <c r="H35" s="138"/>
      <c r="I35" s="138"/>
      <c r="J35" s="138"/>
      <c r="K35" s="795"/>
      <c r="L35" s="816" t="s">
        <v>103</v>
      </c>
      <c r="M35" s="817">
        <v>13.10998283</v>
      </c>
      <c r="N35" s="817">
        <v>11.629535032500002</v>
      </c>
    </row>
    <row r="36" spans="1:14" ht="8.4" customHeight="1">
      <c r="A36" s="649" t="s">
        <v>238</v>
      </c>
      <c r="B36" s="643">
        <v>13.4149835225</v>
      </c>
      <c r="C36" s="643">
        <v>13.184042685000001</v>
      </c>
      <c r="D36" s="644">
        <f t="shared" si="0"/>
        <v>1.7516693704484831E-2</v>
      </c>
      <c r="E36" s="138"/>
      <c r="F36" s="138"/>
      <c r="G36" s="138"/>
      <c r="H36" s="138"/>
      <c r="I36" s="138"/>
      <c r="J36" s="138"/>
      <c r="K36" s="795"/>
      <c r="L36" s="817" t="s">
        <v>238</v>
      </c>
      <c r="M36" s="817">
        <v>13.4149835225</v>
      </c>
      <c r="N36" s="817">
        <v>13.184042685000001</v>
      </c>
    </row>
    <row r="37" spans="1:14" ht="8.4" customHeight="1">
      <c r="A37" s="650" t="s">
        <v>103</v>
      </c>
      <c r="B37" s="640">
        <v>13.10998283</v>
      </c>
      <c r="C37" s="640">
        <v>11.629535032500002</v>
      </c>
      <c r="D37" s="641">
        <f t="shared" si="0"/>
        <v>0.12730068686002705</v>
      </c>
      <c r="E37" s="138"/>
      <c r="F37" s="138"/>
      <c r="G37" s="138"/>
      <c r="H37" s="138"/>
      <c r="I37" s="138"/>
      <c r="J37" s="138"/>
      <c r="K37" s="795"/>
      <c r="L37" s="816" t="s">
        <v>104</v>
      </c>
      <c r="M37" s="817">
        <v>13.66837333</v>
      </c>
      <c r="N37" s="817">
        <v>13.20743465</v>
      </c>
    </row>
    <row r="38" spans="1:14" ht="8.4" customHeight="1">
      <c r="A38" s="649" t="s">
        <v>457</v>
      </c>
      <c r="B38" s="643">
        <v>12.693727214999999</v>
      </c>
      <c r="C38" s="643">
        <v>10.8058693125</v>
      </c>
      <c r="D38" s="644">
        <f t="shared" si="0"/>
        <v>0.17470671242675162</v>
      </c>
      <c r="E38" s="138"/>
      <c r="F38" s="138"/>
      <c r="G38" s="138"/>
      <c r="H38" s="138"/>
      <c r="I38" s="138"/>
      <c r="J38" s="138"/>
      <c r="K38" s="796"/>
      <c r="L38" s="817" t="s">
        <v>118</v>
      </c>
      <c r="M38" s="817">
        <v>14.45381546</v>
      </c>
      <c r="N38" s="817">
        <v>14.53891076</v>
      </c>
    </row>
    <row r="39" spans="1:14" ht="8.4" customHeight="1">
      <c r="A39" s="650" t="s">
        <v>437</v>
      </c>
      <c r="B39" s="640">
        <v>12.304577705</v>
      </c>
      <c r="C39" s="640">
        <v>13.542620700000001</v>
      </c>
      <c r="D39" s="641">
        <f t="shared" si="0"/>
        <v>-9.1418272904889131E-2</v>
      </c>
      <c r="E39" s="138"/>
      <c r="F39" s="138"/>
      <c r="G39" s="138"/>
      <c r="H39" s="138"/>
      <c r="I39" s="138"/>
      <c r="J39" s="138"/>
      <c r="K39" s="796"/>
      <c r="L39" s="816" t="s">
        <v>398</v>
      </c>
      <c r="M39" s="817">
        <v>14.564628515000001</v>
      </c>
      <c r="N39" s="817">
        <v>14.853014829999999</v>
      </c>
    </row>
    <row r="40" spans="1:14" ht="8.4" customHeight="1">
      <c r="A40" s="647" t="s">
        <v>240</v>
      </c>
      <c r="B40" s="643">
        <v>10.640418127499998</v>
      </c>
      <c r="C40" s="643">
        <v>12.286729375</v>
      </c>
      <c r="D40" s="644">
        <f t="shared" si="0"/>
        <v>-0.13399100747264581</v>
      </c>
      <c r="E40" s="138"/>
      <c r="F40" s="138"/>
      <c r="G40" s="138"/>
      <c r="H40" s="138"/>
      <c r="I40" s="138"/>
      <c r="J40" s="138"/>
      <c r="K40" s="796"/>
      <c r="L40" s="817" t="s">
        <v>479</v>
      </c>
      <c r="M40" s="817">
        <v>14.627545285</v>
      </c>
      <c r="N40" s="817">
        <v>13.5052720475</v>
      </c>
    </row>
    <row r="41" spans="1:14" ht="8.4" customHeight="1">
      <c r="A41" s="648" t="s">
        <v>414</v>
      </c>
      <c r="B41" s="640">
        <v>9.0792737849999998</v>
      </c>
      <c r="C41" s="640">
        <v>10.3061835275</v>
      </c>
      <c r="D41" s="641">
        <f t="shared" si="0"/>
        <v>-0.11904598236837483</v>
      </c>
      <c r="E41" s="138"/>
      <c r="F41" s="138"/>
      <c r="G41" s="138"/>
      <c r="H41" s="138"/>
      <c r="I41" s="138"/>
      <c r="J41" s="138"/>
      <c r="L41" s="816" t="s">
        <v>111</v>
      </c>
      <c r="M41" s="817">
        <v>16.274510257499998</v>
      </c>
      <c r="N41" s="817">
        <v>16.800372995</v>
      </c>
    </row>
    <row r="42" spans="1:14" ht="8.4" customHeight="1">
      <c r="A42" s="647" t="s">
        <v>106</v>
      </c>
      <c r="B42" s="643">
        <v>7.9140445250000004</v>
      </c>
      <c r="C42" s="643">
        <v>8.2125301825000001</v>
      </c>
      <c r="D42" s="644">
        <f t="shared" si="0"/>
        <v>-3.6345151964986333E-2</v>
      </c>
      <c r="E42" s="138"/>
      <c r="F42" s="138"/>
      <c r="G42" s="138"/>
      <c r="H42" s="138"/>
      <c r="I42" s="138"/>
      <c r="J42" s="138"/>
      <c r="L42" s="816" t="s">
        <v>102</v>
      </c>
      <c r="M42" s="817">
        <v>18.861131887500001</v>
      </c>
      <c r="N42" s="817">
        <v>0</v>
      </c>
    </row>
    <row r="43" spans="1:14" ht="8.4" customHeight="1">
      <c r="A43" s="648" t="s">
        <v>445</v>
      </c>
      <c r="B43" s="640">
        <v>6.3379690125000003</v>
      </c>
      <c r="C43" s="640">
        <v>6.7875031200000002</v>
      </c>
      <c r="D43" s="641">
        <f t="shared" si="0"/>
        <v>-6.6229672318736221E-2</v>
      </c>
      <c r="E43" s="138"/>
      <c r="F43" s="138"/>
      <c r="G43" s="138"/>
      <c r="H43" s="138"/>
      <c r="I43" s="138"/>
      <c r="J43" s="138"/>
      <c r="L43" s="818" t="s">
        <v>446</v>
      </c>
      <c r="M43" s="817">
        <v>19.116591110000002</v>
      </c>
      <c r="N43" s="817">
        <v>18.0545910775</v>
      </c>
    </row>
    <row r="44" spans="1:14" ht="8.4" customHeight="1">
      <c r="A44" s="647" t="s">
        <v>407</v>
      </c>
      <c r="B44" s="643">
        <v>5.3222992750000007</v>
      </c>
      <c r="C44" s="643">
        <v>8.0370835374999992</v>
      </c>
      <c r="D44" s="644">
        <f t="shared" si="0"/>
        <v>-0.33778226266196731</v>
      </c>
      <c r="E44" s="138"/>
      <c r="F44" s="138"/>
      <c r="G44" s="138"/>
      <c r="H44" s="138"/>
      <c r="I44" s="138"/>
      <c r="J44" s="138"/>
      <c r="L44" s="816" t="s">
        <v>101</v>
      </c>
      <c r="M44" s="817">
        <v>20.852845134999999</v>
      </c>
      <c r="N44" s="817">
        <v>9.9054714175000012</v>
      </c>
    </row>
    <row r="45" spans="1:14" ht="8.4" customHeight="1">
      <c r="A45" s="648" t="s">
        <v>107</v>
      </c>
      <c r="B45" s="640">
        <v>5.2292854174999999</v>
      </c>
      <c r="C45" s="640">
        <v>5.4586225274999993</v>
      </c>
      <c r="D45" s="641">
        <f t="shared" si="0"/>
        <v>-4.2013733106589068E-2</v>
      </c>
      <c r="E45" s="138"/>
      <c r="F45" s="138"/>
      <c r="G45" s="138"/>
      <c r="H45" s="138"/>
      <c r="I45" s="138"/>
      <c r="J45" s="138"/>
      <c r="L45" s="816" t="s">
        <v>100</v>
      </c>
      <c r="M45" s="817">
        <v>30.0757875125</v>
      </c>
      <c r="N45" s="817">
        <v>25.53489416</v>
      </c>
    </row>
    <row r="46" spans="1:14" ht="8.4" customHeight="1">
      <c r="A46" s="647" t="s">
        <v>109</v>
      </c>
      <c r="B46" s="643">
        <v>4.6951015150000002</v>
      </c>
      <c r="C46" s="643">
        <v>5.3897528074999999</v>
      </c>
      <c r="D46" s="644">
        <f t="shared" si="0"/>
        <v>-0.12888370159265405</v>
      </c>
      <c r="E46" s="138"/>
      <c r="F46" s="138"/>
      <c r="G46" s="138"/>
      <c r="H46" s="138"/>
      <c r="I46" s="138"/>
      <c r="J46" s="138"/>
      <c r="L46" s="816" t="s">
        <v>236</v>
      </c>
      <c r="M46" s="817">
        <v>32.627229999999997</v>
      </c>
      <c r="N46" s="817">
        <v>27.037825014999999</v>
      </c>
    </row>
    <row r="47" spans="1:14" ht="8.4" customHeight="1">
      <c r="A47" s="650" t="s">
        <v>119</v>
      </c>
      <c r="B47" s="640">
        <v>4.6430189374999999</v>
      </c>
      <c r="C47" s="640">
        <v>4.5409642175</v>
      </c>
      <c r="D47" s="641">
        <f t="shared" si="0"/>
        <v>2.2474240075863294E-2</v>
      </c>
      <c r="E47" s="138"/>
      <c r="F47" s="138"/>
      <c r="G47" s="138"/>
      <c r="H47" s="138"/>
      <c r="I47" s="138"/>
      <c r="J47" s="138"/>
      <c r="L47" s="817" t="s">
        <v>99</v>
      </c>
      <c r="M47" s="817">
        <v>33.152793812500001</v>
      </c>
      <c r="N47" s="817">
        <v>37.775478437499999</v>
      </c>
    </row>
    <row r="48" spans="1:14" ht="8.4" customHeight="1">
      <c r="A48" s="647" t="s">
        <v>424</v>
      </c>
      <c r="B48" s="643">
        <v>4.3576411225000005</v>
      </c>
      <c r="C48" s="643">
        <v>5.4216976849999998</v>
      </c>
      <c r="D48" s="644">
        <f t="shared" si="0"/>
        <v>-0.19625892558411795</v>
      </c>
      <c r="E48" s="138"/>
      <c r="F48" s="138"/>
      <c r="G48" s="138"/>
      <c r="H48" s="138"/>
      <c r="I48" s="138"/>
      <c r="J48" s="138"/>
      <c r="L48" s="819" t="s">
        <v>504</v>
      </c>
      <c r="M48" s="817">
        <v>40.21735125</v>
      </c>
      <c r="N48" s="817"/>
    </row>
    <row r="49" spans="1:17" ht="8.4" customHeight="1">
      <c r="A49" s="648" t="s">
        <v>110</v>
      </c>
      <c r="B49" s="640">
        <v>4.3039525049999998</v>
      </c>
      <c r="C49" s="640">
        <v>4.5450775700000001</v>
      </c>
      <c r="D49" s="641">
        <f t="shared" si="0"/>
        <v>-5.3051914139278455E-2</v>
      </c>
      <c r="E49" s="138"/>
      <c r="F49" s="138"/>
      <c r="G49" s="138"/>
      <c r="H49" s="138"/>
      <c r="I49" s="138"/>
      <c r="J49" s="138"/>
      <c r="L49" s="816" t="s">
        <v>108</v>
      </c>
      <c r="M49" s="817">
        <v>44.363724619999999</v>
      </c>
      <c r="N49" s="817">
        <v>42.849027795000005</v>
      </c>
    </row>
    <row r="50" spans="1:17" ht="8.4" customHeight="1">
      <c r="A50" s="649" t="s">
        <v>473</v>
      </c>
      <c r="B50" s="643">
        <v>4.0446451000000003</v>
      </c>
      <c r="C50" s="643">
        <v>3.5774013199999999</v>
      </c>
      <c r="D50" s="644">
        <f t="shared" si="0"/>
        <v>0.13060983049002739</v>
      </c>
      <c r="E50" s="138"/>
      <c r="F50" s="138"/>
      <c r="G50" s="138"/>
      <c r="H50" s="138"/>
      <c r="I50" s="138"/>
      <c r="J50" s="138"/>
      <c r="L50" s="816" t="s">
        <v>95</v>
      </c>
      <c r="M50" s="817">
        <v>45.082415705000003</v>
      </c>
      <c r="N50" s="817">
        <v>73.615050230000008</v>
      </c>
    </row>
    <row r="51" spans="1:17" ht="8.4" customHeight="1">
      <c r="A51" s="648" t="s">
        <v>476</v>
      </c>
      <c r="B51" s="640">
        <v>3.9115265300000002</v>
      </c>
      <c r="C51" s="640">
        <v>6.4391925000000003E-2</v>
      </c>
      <c r="D51" s="641">
        <f t="shared" si="0"/>
        <v>59.745606378439533</v>
      </c>
      <c r="E51" s="138"/>
      <c r="F51" s="138"/>
      <c r="G51" s="138"/>
      <c r="H51" s="138"/>
      <c r="I51" s="138"/>
      <c r="J51" s="138"/>
      <c r="L51" s="816" t="s">
        <v>478</v>
      </c>
      <c r="M51" s="817">
        <v>46.499323855000007</v>
      </c>
      <c r="N51" s="817">
        <v>34.355303450000001</v>
      </c>
    </row>
    <row r="52" spans="1:17" ht="8.4" customHeight="1">
      <c r="A52" s="647" t="s">
        <v>474</v>
      </c>
      <c r="B52" s="643">
        <v>3.8163535849999999</v>
      </c>
      <c r="C52" s="643">
        <v>3.5774013199999999</v>
      </c>
      <c r="D52" s="644">
        <f t="shared" si="0"/>
        <v>6.6794928392322594E-2</v>
      </c>
      <c r="E52" s="138"/>
      <c r="F52" s="138"/>
      <c r="G52" s="138"/>
      <c r="H52" s="138"/>
      <c r="I52" s="138"/>
      <c r="J52" s="138"/>
      <c r="L52" s="816" t="s">
        <v>97</v>
      </c>
      <c r="M52" s="817">
        <v>47.655647342500004</v>
      </c>
      <c r="N52" s="817">
        <v>48.341197497499998</v>
      </c>
    </row>
    <row r="53" spans="1:17" ht="8.4" customHeight="1">
      <c r="A53" s="648" t="s">
        <v>475</v>
      </c>
      <c r="B53" s="640">
        <v>3.43875865</v>
      </c>
      <c r="C53" s="640">
        <v>0.2372264925</v>
      </c>
      <c r="D53" s="641">
        <f t="shared" si="0"/>
        <v>13.495677163881686</v>
      </c>
      <c r="E53" s="138"/>
      <c r="F53" s="138"/>
      <c r="G53" s="138"/>
      <c r="H53" s="138"/>
      <c r="I53" s="138"/>
      <c r="J53" s="138"/>
      <c r="L53" s="816" t="s">
        <v>96</v>
      </c>
      <c r="M53" s="817">
        <v>60.695053250000001</v>
      </c>
      <c r="N53" s="817">
        <v>63.907956690000006</v>
      </c>
    </row>
    <row r="54" spans="1:17" ht="8.4" customHeight="1">
      <c r="A54" s="647" t="s">
        <v>113</v>
      </c>
      <c r="B54" s="643">
        <v>2.5747787</v>
      </c>
      <c r="C54" s="643">
        <v>2.3859851025000003</v>
      </c>
      <c r="D54" s="644">
        <f t="shared" si="0"/>
        <v>7.9126058793151932E-2</v>
      </c>
      <c r="E54" s="138"/>
      <c r="F54" s="138"/>
      <c r="G54" s="138"/>
      <c r="H54" s="138"/>
      <c r="I54" s="138"/>
      <c r="J54" s="138"/>
      <c r="L54" s="816" t="s">
        <v>423</v>
      </c>
      <c r="M54" s="817">
        <v>65.904089449999987</v>
      </c>
      <c r="N54" s="817">
        <v>65.552950757499985</v>
      </c>
    </row>
    <row r="55" spans="1:17" ht="8.4" customHeight="1">
      <c r="A55" s="650" t="s">
        <v>114</v>
      </c>
      <c r="B55" s="640">
        <v>2.5636999999999999</v>
      </c>
      <c r="C55" s="640">
        <v>2.4631999999999996</v>
      </c>
      <c r="D55" s="641">
        <f t="shared" si="0"/>
        <v>4.0800584605391377E-2</v>
      </c>
      <c r="E55" s="138"/>
      <c r="F55" s="138"/>
      <c r="G55" s="138"/>
      <c r="H55" s="138"/>
      <c r="I55" s="138"/>
      <c r="J55" s="138"/>
      <c r="L55" s="817" t="s">
        <v>91</v>
      </c>
      <c r="M55" s="817">
        <v>82.240458047499985</v>
      </c>
      <c r="N55" s="817">
        <v>82.686959577499991</v>
      </c>
    </row>
    <row r="56" spans="1:17" ht="8.4" customHeight="1">
      <c r="A56" s="647" t="s">
        <v>115</v>
      </c>
      <c r="B56" s="643">
        <v>2.1960478749999996</v>
      </c>
      <c r="C56" s="643">
        <v>2.1207589374999998</v>
      </c>
      <c r="D56" s="644">
        <f t="shared" si="0"/>
        <v>3.5500940804121806E-2</v>
      </c>
      <c r="E56" s="138"/>
      <c r="F56" s="138"/>
      <c r="G56" s="138"/>
      <c r="H56" s="138"/>
      <c r="I56" s="138"/>
      <c r="J56" s="138"/>
      <c r="L56" s="816" t="s">
        <v>98</v>
      </c>
      <c r="M56" s="817">
        <v>86.695876249999998</v>
      </c>
      <c r="N56" s="817">
        <v>89.931434437500002</v>
      </c>
    </row>
    <row r="57" spans="1:17" ht="8.4" customHeight="1">
      <c r="A57" s="648" t="s">
        <v>112</v>
      </c>
      <c r="B57" s="640">
        <v>1.6373590149999999</v>
      </c>
      <c r="C57" s="640">
        <v>1.7286366</v>
      </c>
      <c r="D57" s="641">
        <f t="shared" si="0"/>
        <v>-5.2803223650361275E-2</v>
      </c>
      <c r="E57" s="138"/>
      <c r="F57" s="138"/>
      <c r="G57" s="138"/>
      <c r="H57" s="138"/>
      <c r="I57" s="138"/>
      <c r="J57" s="138"/>
      <c r="L57" s="816" t="s">
        <v>93</v>
      </c>
      <c r="M57" s="817">
        <v>113.357798</v>
      </c>
      <c r="N57" s="817">
        <v>96.457754245000004</v>
      </c>
    </row>
    <row r="58" spans="1:17" ht="8.4" customHeight="1">
      <c r="A58" s="647" t="s">
        <v>105</v>
      </c>
      <c r="B58" s="643">
        <v>1.6097044149999999</v>
      </c>
      <c r="C58" s="643">
        <v>1.996748505</v>
      </c>
      <c r="D58" s="644">
        <f t="shared" si="0"/>
        <v>-0.19383717530315625</v>
      </c>
      <c r="E58" s="138"/>
      <c r="F58" s="138"/>
      <c r="G58" s="138"/>
      <c r="H58" s="138"/>
      <c r="I58" s="138"/>
      <c r="J58" s="138"/>
      <c r="L58" s="817" t="s">
        <v>92</v>
      </c>
      <c r="M58" s="817">
        <v>119.98859774999998</v>
      </c>
      <c r="N58" s="817">
        <v>120.73721523250001</v>
      </c>
    </row>
    <row r="59" spans="1:17" ht="8.4" customHeight="1">
      <c r="A59" s="648" t="s">
        <v>603</v>
      </c>
      <c r="B59" s="651">
        <v>1.5782827975</v>
      </c>
      <c r="C59" s="651"/>
      <c r="D59" s="652" t="str">
        <f t="shared" si="0"/>
        <v/>
      </c>
      <c r="E59" s="138"/>
      <c r="F59" s="138"/>
      <c r="G59" s="138"/>
      <c r="H59" s="138"/>
      <c r="I59" s="138"/>
      <c r="J59" s="138"/>
      <c r="L59" s="816" t="s">
        <v>94</v>
      </c>
      <c r="M59" s="817">
        <v>125.86830449999999</v>
      </c>
      <c r="N59" s="817">
        <v>127.23365951</v>
      </c>
    </row>
    <row r="60" spans="1:17" ht="8.4" customHeight="1">
      <c r="A60" s="653" t="s">
        <v>117</v>
      </c>
      <c r="B60" s="643">
        <v>0.52959690000000004</v>
      </c>
      <c r="C60" s="643">
        <v>1.308844235</v>
      </c>
      <c r="D60" s="644">
        <f t="shared" si="0"/>
        <v>-0.59537056752975648</v>
      </c>
      <c r="E60" s="138"/>
      <c r="F60" s="138"/>
      <c r="G60" s="138"/>
      <c r="H60" s="138"/>
      <c r="I60" s="138"/>
      <c r="J60" s="138"/>
      <c r="L60" s="816" t="s">
        <v>239</v>
      </c>
      <c r="M60" s="817">
        <v>229.47994849999998</v>
      </c>
      <c r="N60" s="817">
        <v>253.33119499999998</v>
      </c>
    </row>
    <row r="61" spans="1:17" s="568" customFormat="1" ht="8.4" customHeight="1">
      <c r="A61" s="648" t="s">
        <v>408</v>
      </c>
      <c r="B61" s="651">
        <v>0.44842274999999998</v>
      </c>
      <c r="C61" s="651">
        <v>0.21446850000000001</v>
      </c>
      <c r="D61" s="652">
        <f t="shared" si="0"/>
        <v>1.0908559998321432</v>
      </c>
      <c r="E61" s="138"/>
      <c r="F61" s="138"/>
      <c r="G61" s="138"/>
      <c r="H61" s="138"/>
      <c r="I61" s="138"/>
      <c r="J61" s="138"/>
      <c r="K61" s="509"/>
      <c r="L61" s="816" t="s">
        <v>237</v>
      </c>
      <c r="M61" s="817">
        <v>236.51407881749998</v>
      </c>
      <c r="N61" s="817">
        <v>221.78918948999996</v>
      </c>
      <c r="O61" s="278"/>
      <c r="P61" s="278"/>
      <c r="Q61" s="751"/>
    </row>
    <row r="62" spans="1:17" s="568" customFormat="1" ht="8.4" customHeight="1">
      <c r="A62" s="653" t="s">
        <v>242</v>
      </c>
      <c r="B62" s="643">
        <v>0.38599749999999999</v>
      </c>
      <c r="C62" s="643">
        <v>0.80239053999999999</v>
      </c>
      <c r="D62" s="644">
        <f t="shared" si="0"/>
        <v>-0.5189406146288813</v>
      </c>
      <c r="E62" s="138"/>
      <c r="F62" s="138"/>
      <c r="G62" s="138"/>
      <c r="H62" s="138"/>
      <c r="I62" s="138"/>
      <c r="J62" s="138"/>
      <c r="K62" s="509"/>
      <c r="L62" s="816" t="s">
        <v>90</v>
      </c>
      <c r="M62" s="817">
        <v>243.442861975</v>
      </c>
      <c r="N62" s="817">
        <v>196.0444516725</v>
      </c>
      <c r="O62" s="278"/>
      <c r="P62" s="278"/>
      <c r="Q62" s="751"/>
    </row>
    <row r="63" spans="1:17" s="568" customFormat="1" ht="8.4" customHeight="1">
      <c r="A63" s="648" t="s">
        <v>477</v>
      </c>
      <c r="B63" s="651">
        <v>0.28534678000000002</v>
      </c>
      <c r="C63" s="651">
        <v>0.49063189499999998</v>
      </c>
      <c r="D63" s="652">
        <f t="shared" si="0"/>
        <v>-0.41840964089788735</v>
      </c>
      <c r="E63" s="138"/>
      <c r="F63" s="138"/>
      <c r="G63" s="138"/>
      <c r="H63" s="138"/>
      <c r="I63" s="138"/>
      <c r="J63" s="138"/>
      <c r="K63" s="509"/>
      <c r="L63" s="816" t="s">
        <v>235</v>
      </c>
      <c r="M63" s="817">
        <v>262.49282283750006</v>
      </c>
      <c r="N63" s="817">
        <v>196.95824636999998</v>
      </c>
      <c r="O63" s="278"/>
      <c r="P63" s="278"/>
      <c r="Q63" s="751"/>
    </row>
    <row r="64" spans="1:17" s="568" customFormat="1" ht="8.4" customHeight="1">
      <c r="A64" s="653" t="s">
        <v>604</v>
      </c>
      <c r="B64" s="643">
        <v>0.2375421425</v>
      </c>
      <c r="C64" s="643"/>
      <c r="D64" s="644" t="str">
        <f t="shared" si="0"/>
        <v/>
      </c>
      <c r="E64" s="138"/>
      <c r="F64" s="138"/>
      <c r="G64" s="138"/>
      <c r="H64" s="138"/>
      <c r="I64" s="138"/>
      <c r="J64" s="138"/>
      <c r="K64" s="509"/>
      <c r="L64" s="816" t="s">
        <v>88</v>
      </c>
      <c r="M64" s="817">
        <v>544.11249599999996</v>
      </c>
      <c r="N64" s="817">
        <v>591.48818378250019</v>
      </c>
      <c r="O64" s="278"/>
      <c r="P64" s="278"/>
      <c r="Q64" s="751"/>
    </row>
    <row r="65" spans="1:17" s="568" customFormat="1" ht="8.4" customHeight="1">
      <c r="A65" s="648" t="s">
        <v>116</v>
      </c>
      <c r="B65" s="651">
        <v>2.56850975E-2</v>
      </c>
      <c r="C65" s="651">
        <v>0.82901806500000008</v>
      </c>
      <c r="D65" s="652">
        <f t="shared" si="0"/>
        <v>-0.96901744535566903</v>
      </c>
      <c r="E65" s="138"/>
      <c r="F65" s="138"/>
      <c r="G65" s="138"/>
      <c r="H65" s="138"/>
      <c r="I65" s="138"/>
      <c r="J65" s="138"/>
      <c r="K65" s="509"/>
      <c r="L65" s="816" t="s">
        <v>89</v>
      </c>
      <c r="M65" s="817">
        <v>566.86458719999996</v>
      </c>
      <c r="N65" s="817">
        <v>573.34540391999997</v>
      </c>
      <c r="O65" s="278"/>
      <c r="P65" s="278"/>
      <c r="Q65" s="751"/>
    </row>
    <row r="66" spans="1:17" s="568" customFormat="1" ht="8.4" customHeight="1">
      <c r="A66" s="653" t="s">
        <v>241</v>
      </c>
      <c r="B66" s="643">
        <v>1.7090524999999999E-2</v>
      </c>
      <c r="C66" s="643">
        <v>2.2231E-3</v>
      </c>
      <c r="D66" s="644">
        <f t="shared" si="0"/>
        <v>6.6876996086545812</v>
      </c>
      <c r="E66" s="138"/>
      <c r="F66" s="138"/>
      <c r="G66" s="138"/>
      <c r="H66" s="138"/>
      <c r="I66" s="138"/>
      <c r="J66" s="138"/>
      <c r="K66" s="509"/>
      <c r="L66" s="816" t="s">
        <v>87</v>
      </c>
      <c r="M66" s="817">
        <v>598.16508173500006</v>
      </c>
      <c r="N66" s="817">
        <v>727.05083995000007</v>
      </c>
      <c r="O66" s="278"/>
      <c r="P66" s="278"/>
      <c r="Q66" s="751"/>
    </row>
    <row r="67" spans="1:17" s="568" customFormat="1" ht="8.4" customHeight="1">
      <c r="A67" s="648" t="s">
        <v>234</v>
      </c>
      <c r="B67" s="651">
        <v>0</v>
      </c>
      <c r="C67" s="651">
        <v>0</v>
      </c>
      <c r="D67" s="652" t="str">
        <f t="shared" si="0"/>
        <v/>
      </c>
      <c r="E67" s="138"/>
      <c r="F67" s="138"/>
      <c r="G67" s="138"/>
      <c r="H67" s="138"/>
      <c r="I67" s="138"/>
      <c r="J67" s="138"/>
      <c r="K67" s="509"/>
      <c r="L67" s="816" t="s">
        <v>406</v>
      </c>
      <c r="M67" s="817">
        <v>751.2190250000001</v>
      </c>
      <c r="N67" s="817">
        <v>636.18840643249996</v>
      </c>
      <c r="O67" s="278"/>
      <c r="P67" s="278"/>
      <c r="Q67" s="751"/>
    </row>
    <row r="68" spans="1:17" s="568" customFormat="1" ht="8.4" customHeight="1">
      <c r="A68" s="653" t="s">
        <v>417</v>
      </c>
      <c r="B68" s="643"/>
      <c r="C68" s="643">
        <v>8.2314067800000004</v>
      </c>
      <c r="D68" s="644">
        <f t="shared" si="0"/>
        <v>-1</v>
      </c>
      <c r="E68" s="138"/>
      <c r="F68" s="138"/>
      <c r="G68" s="138"/>
      <c r="H68" s="138"/>
      <c r="I68" s="138"/>
      <c r="J68" s="138"/>
      <c r="K68" s="509"/>
      <c r="L68" s="816"/>
      <c r="M68" s="817"/>
      <c r="N68" s="817"/>
      <c r="O68" s="278"/>
      <c r="P68" s="278"/>
      <c r="Q68" s="751"/>
    </row>
    <row r="69" spans="1:17" ht="8.4" customHeight="1">
      <c r="A69" s="654" t="s">
        <v>42</v>
      </c>
      <c r="B69" s="655">
        <f>+SUM(B5:B68)</f>
        <v>4687.2619132824966</v>
      </c>
      <c r="C69" s="655">
        <f>+SUM(C5:C68)</f>
        <v>4583.2566370274999</v>
      </c>
      <c r="D69" s="656">
        <f>IF(C69=0,"",B69/C69-1)</f>
        <v>2.2692440003196035E-2</v>
      </c>
      <c r="E69" s="138"/>
      <c r="F69" s="138"/>
      <c r="G69" s="138"/>
      <c r="H69" s="138"/>
      <c r="I69" s="138"/>
      <c r="J69" s="138"/>
      <c r="L69" s="816"/>
      <c r="M69" s="817"/>
      <c r="N69" s="817"/>
    </row>
    <row r="70" spans="1:17" ht="40.5" customHeight="1">
      <c r="A70" s="873" t="str">
        <f>"Cuadro N° 6: Participación de las empresas generadoras del COES en la producción de energía eléctrica (GWh) en "&amp;'1. Resumen'!Q4</f>
        <v>Cuadro N° 6: Participación de las empresas generadoras del COES en la producción de energía eléctrica (GWh) en diciembre</v>
      </c>
      <c r="B70" s="873"/>
      <c r="C70" s="873"/>
      <c r="D70" s="414"/>
      <c r="E70" s="872" t="str">
        <f>"Gráfico N° 10: Comparación de producción energética (GWh) de las empresas generadoras del COES en "&amp;'1. Resumen'!Q4</f>
        <v>Gráfico N° 10: Comparación de producción energética (GWh) de las empresas generadoras del COES en diciembre</v>
      </c>
      <c r="F70" s="872"/>
      <c r="G70" s="872"/>
      <c r="H70" s="872"/>
      <c r="I70" s="872"/>
      <c r="J70" s="872"/>
    </row>
    <row r="71" spans="1:17">
      <c r="A71" s="866"/>
      <c r="B71" s="866"/>
      <c r="C71" s="866"/>
      <c r="D71" s="866"/>
      <c r="E71" s="866"/>
      <c r="F71" s="866"/>
      <c r="G71" s="866"/>
      <c r="H71" s="866"/>
      <c r="I71" s="866"/>
      <c r="J71" s="866"/>
    </row>
    <row r="72" spans="1:17">
      <c r="A72" s="867"/>
      <c r="B72" s="867"/>
      <c r="C72" s="867"/>
      <c r="D72" s="867"/>
      <c r="E72" s="867"/>
      <c r="F72" s="867"/>
      <c r="G72" s="867"/>
      <c r="H72" s="867"/>
      <c r="I72" s="867"/>
      <c r="J72" s="867"/>
    </row>
    <row r="73" spans="1:17">
      <c r="A73" s="866"/>
      <c r="B73" s="866"/>
      <c r="C73" s="866"/>
      <c r="D73" s="866"/>
      <c r="E73" s="866"/>
      <c r="F73" s="866"/>
      <c r="G73" s="866"/>
      <c r="H73" s="866"/>
      <c r="I73" s="866"/>
      <c r="J73" s="866"/>
    </row>
    <row r="74" spans="1:17">
      <c r="A74" s="867"/>
      <c r="B74" s="867"/>
      <c r="C74" s="867"/>
      <c r="D74" s="867"/>
      <c r="E74" s="867"/>
      <c r="F74" s="867"/>
      <c r="G74" s="867"/>
      <c r="H74" s="867"/>
      <c r="I74" s="867"/>
      <c r="J74" s="867"/>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Diciembre 2021
INFSGI-MES-12-2021
21/02/2022
Versión: 02</oddHeader>
    <oddFooter>&amp;L&amp;7COES, 2021&amp;C7&amp;R&amp;7Dirección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2022-02-28T17:59:22Z</cp:lastPrinted>
  <dcterms:created xsi:type="dcterms:W3CDTF">2018-02-13T14:18:17Z</dcterms:created>
  <dcterms:modified xsi:type="dcterms:W3CDTF">2022-02-28T22:36:56Z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