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ml.chartshapes+xml"/>
  <Override PartName="/xl/drawings/drawing16.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27.xml" ContentType="application/vnd.openxmlformats-officedocument.drawingml.chart+xml"/>
  <Override PartName="/xl/drawings/drawing19.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1\6. Junio 2021\"/>
    </mc:Choice>
  </mc:AlternateContent>
  <xr:revisionPtr revIDLastSave="0" documentId="13_ncr:1_{47623B60-2828-4551-ACC8-02E5A0696080}" xr6:coauthVersionLast="47" xr6:coauthVersionMax="47" xr10:uidLastSave="{00000000-0000-0000-0000-000000000000}"/>
  <bookViews>
    <workbookView xWindow="-108" yWindow="-108" windowWidth="23256" windowHeight="12576" tabRatio="618"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Contraportada" sheetId="59" r:id="rId30"/>
  </sheets>
  <definedNames>
    <definedName name="_xlnm._FilterDatabase" localSheetId="7" hidden="1">'6. FP RER'!$T$53:$V$54</definedName>
    <definedName name="_xlnm._FilterDatabase" localSheetId="8" hidden="1">'7. Generacion empresa'!$L$3:$N$60</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generación'!$A$1:$J$45</definedName>
    <definedName name="_xlnm.Print_Area" localSheetId="21">'20. ANEXOI-3'!$A$1:$G$58</definedName>
    <definedName name="_xlnm.Print_Area" localSheetId="22">'21. ANEXOII-1'!$A$1:$F$84</definedName>
    <definedName name="_xlnm.Print_Area" localSheetId="24">'23. ANEXOII-3'!$A$1:$F$53</definedName>
    <definedName name="_xlnm.Print_Area" localSheetId="26">'25.ANEXO III -1'!$A$1:$F$14</definedName>
    <definedName name="_xlnm.Print_Area" localSheetId="27">'26.ANEXO III-2'!$A$1:$F$10</definedName>
    <definedName name="_xlnm.Print_Area" localSheetId="28">'27.ANEXO III-3'!$A$1:$F$12</definedName>
    <definedName name="_xlnm.Print_Area" localSheetId="6">'5. RER'!$A$1:$K$61</definedName>
    <definedName name="_xlnm.Print_Area" localSheetId="7">'6. FP RER'!$A$1:$K$64</definedName>
    <definedName name="_xlnm.Print_Area" localSheetId="8">'7. Generacion empresa'!$A$1:$J$68</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6" l="1"/>
  <c r="M16" i="6"/>
  <c r="I11" i="6"/>
  <c r="H11" i="6"/>
  <c r="I8" i="22"/>
  <c r="I9" i="22"/>
  <c r="I10" i="22"/>
  <c r="I11" i="22"/>
  <c r="I12" i="22"/>
  <c r="B19" i="8" l="1"/>
  <c r="H19" i="8"/>
  <c r="D16" i="7" l="1"/>
  <c r="F44" i="38"/>
  <c r="A58" i="12" l="1"/>
  <c r="G11" i="21" l="1"/>
  <c r="F40" i="46" l="1"/>
  <c r="F39" i="46"/>
  <c r="F38" i="46"/>
  <c r="F37" i="46"/>
  <c r="F36" i="46"/>
  <c r="F35" i="46"/>
  <c r="F34" i="46"/>
  <c r="F33" i="46"/>
  <c r="F32" i="46"/>
  <c r="F31" i="46"/>
  <c r="F30" i="46"/>
  <c r="F29" i="46"/>
  <c r="F28" i="46"/>
  <c r="F27" i="46"/>
  <c r="F77" i="45"/>
  <c r="F76" i="45"/>
  <c r="F75" i="45"/>
  <c r="F74" i="45"/>
  <c r="F73" i="45"/>
  <c r="F72" i="45"/>
  <c r="F71" i="45"/>
  <c r="F70" i="45"/>
  <c r="F69" i="45"/>
  <c r="F68" i="45"/>
  <c r="F66" i="45"/>
  <c r="F65" i="45"/>
  <c r="D68" i="13" l="1"/>
  <c r="D67" i="13"/>
  <c r="D66" i="13"/>
  <c r="D65" i="13"/>
  <c r="D64" i="13"/>
  <c r="D63" i="13"/>
  <c r="D62" i="13"/>
  <c r="D61" i="13"/>
  <c r="D60" i="13"/>
  <c r="D59" i="13"/>
  <c r="D58" i="13"/>
  <c r="D57" i="13"/>
  <c r="C69" i="13"/>
  <c r="B69" i="13"/>
  <c r="D66" i="11"/>
  <c r="D65" i="11"/>
  <c r="D64" i="11"/>
  <c r="D63" i="11"/>
  <c r="D62" i="11"/>
  <c r="D61" i="11"/>
  <c r="D60" i="11"/>
  <c r="D59" i="11"/>
  <c r="D58" i="11"/>
  <c r="D57" i="11"/>
  <c r="D56" i="11"/>
  <c r="D55" i="11"/>
  <c r="D54" i="11"/>
  <c r="D53" i="11"/>
  <c r="D52" i="11"/>
  <c r="G12" i="7" l="1"/>
  <c r="E12" i="7"/>
  <c r="D25" i="6" l="1"/>
  <c r="J13" i="22" l="1"/>
  <c r="F81" i="36" l="1"/>
  <c r="F80" i="36"/>
  <c r="F79" i="36"/>
  <c r="F78" i="36"/>
  <c r="F76" i="36"/>
  <c r="F75" i="36"/>
  <c r="F13" i="21" l="1"/>
  <c r="D13" i="21"/>
  <c r="E45" i="46" l="1"/>
  <c r="F10" i="8" l="1"/>
  <c r="I10" i="8"/>
  <c r="K10" i="8"/>
  <c r="F19" i="46" l="1"/>
  <c r="F18" i="46"/>
  <c r="F17" i="46"/>
  <c r="F16" i="46"/>
  <c r="F15" i="46"/>
  <c r="F14" i="46"/>
  <c r="F13" i="46"/>
  <c r="F12" i="46"/>
  <c r="F11" i="46"/>
  <c r="F10" i="46"/>
  <c r="F9" i="46"/>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F43" i="45"/>
  <c r="F44" i="45"/>
  <c r="F45" i="45"/>
  <c r="F46" i="45"/>
  <c r="F47" i="45"/>
  <c r="F48" i="45"/>
  <c r="F49" i="45"/>
  <c r="F50" i="45"/>
  <c r="F51" i="45"/>
  <c r="F52" i="45"/>
  <c r="F53" i="45"/>
  <c r="F54" i="45"/>
  <c r="F55" i="45"/>
  <c r="F56" i="45"/>
  <c r="F57" i="45"/>
  <c r="F58" i="45"/>
  <c r="F59" i="45"/>
  <c r="F60" i="45"/>
  <c r="F61" i="45"/>
  <c r="F62" i="45"/>
  <c r="F63" i="45"/>
  <c r="F64" i="45"/>
  <c r="F67" i="45"/>
  <c r="I7" i="22" l="1"/>
  <c r="I13" i="22" l="1"/>
  <c r="G44" i="38"/>
  <c r="E13" i="21" l="1"/>
  <c r="C13" i="22" l="1"/>
  <c r="D13" i="22"/>
  <c r="E13" i="22"/>
  <c r="F13" i="22"/>
  <c r="G13" i="22"/>
  <c r="H13" i="22"/>
  <c r="B13" i="22"/>
  <c r="E30" i="6" l="1"/>
  <c r="G13" i="21" l="1"/>
  <c r="B16" i="7" l="1"/>
  <c r="C16" i="7"/>
  <c r="E16" i="7"/>
  <c r="E5" i="36" l="1"/>
  <c r="E4" i="36"/>
  <c r="C67" i="11" l="1"/>
  <c r="B67" i="11"/>
  <c r="D12" i="7" l="1"/>
  <c r="F42" i="46" l="1"/>
  <c r="D5" i="11"/>
  <c r="D2" i="46" l="1"/>
  <c r="C2" i="46"/>
  <c r="D2" i="45"/>
  <c r="C2" i="45"/>
  <c r="D33" i="11" l="1"/>
  <c r="C43" i="46" l="1"/>
  <c r="C45" i="46" s="1"/>
  <c r="D43" i="46"/>
  <c r="D45" i="46" s="1"/>
  <c r="F77"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H13" i="21" l="1"/>
  <c r="F26" i="46"/>
  <c r="F25" i="46"/>
  <c r="F24" i="46"/>
  <c r="F23" i="46"/>
  <c r="F22" i="46"/>
  <c r="F21" i="46"/>
  <c r="F20" i="46"/>
  <c r="F8" i="46"/>
  <c r="F7" i="46"/>
  <c r="F6" i="46"/>
  <c r="F5" i="46"/>
  <c r="D56" i="13" l="1"/>
  <c r="D55" i="13"/>
  <c r="D54" i="13"/>
  <c r="D53" i="13"/>
  <c r="D52" i="13"/>
  <c r="D51" i="13"/>
  <c r="D50" i="13"/>
  <c r="D49" i="13"/>
  <c r="D48" i="13"/>
  <c r="D47" i="13"/>
  <c r="D46" i="13"/>
  <c r="D45" i="13"/>
  <c r="D44" i="13"/>
  <c r="D43" i="13"/>
  <c r="D42" i="13"/>
  <c r="D41" i="13"/>
  <c r="D40" i="13"/>
  <c r="D39" i="13"/>
  <c r="D38" i="13"/>
  <c r="D37" i="13"/>
  <c r="D36"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51" i="11"/>
  <c r="D50" i="11"/>
  <c r="D49" i="11"/>
  <c r="D48" i="11"/>
  <c r="D47" i="11"/>
  <c r="D46" i="11"/>
  <c r="D45" i="11"/>
  <c r="D44" i="11"/>
  <c r="D43" i="11"/>
  <c r="D42" i="11"/>
  <c r="D41" i="11"/>
  <c r="D40" i="11"/>
  <c r="D39" i="11"/>
  <c r="D38" i="11"/>
  <c r="D37" i="11"/>
  <c r="D36" i="11"/>
  <c r="D35" i="11"/>
  <c r="D34" i="11"/>
  <c r="D32" i="11"/>
  <c r="D31" i="11"/>
  <c r="D30" i="11"/>
  <c r="D29" i="11"/>
  <c r="D28" i="11"/>
  <c r="D27" i="11"/>
  <c r="D25" i="11"/>
  <c r="D24" i="11"/>
  <c r="D23" i="11"/>
  <c r="D22" i="11"/>
  <c r="D21" i="11"/>
  <c r="D20" i="11"/>
  <c r="D19" i="11"/>
  <c r="D18" i="11"/>
  <c r="D17" i="11"/>
  <c r="D16" i="11"/>
  <c r="D15" i="11"/>
  <c r="D14" i="11"/>
  <c r="D13" i="11"/>
  <c r="D12" i="11"/>
  <c r="D11" i="11"/>
  <c r="D10" i="11"/>
  <c r="D9" i="11"/>
  <c r="D8" i="11"/>
  <c r="D7" i="11"/>
  <c r="D6" i="11"/>
  <c r="B11" i="9" l="1"/>
  <c r="C11" i="9"/>
  <c r="D11" i="9"/>
  <c r="E11" i="9"/>
  <c r="D7" i="13" l="1"/>
  <c r="K12" i="12" l="1"/>
  <c r="K11" i="12"/>
  <c r="F45" i="46" l="1"/>
  <c r="E4" i="45" l="1"/>
  <c r="E4" i="46" s="1"/>
  <c r="B14" i="12" l="1"/>
  <c r="F14" i="8"/>
  <c r="A64" i="10" l="1"/>
  <c r="A43" i="10"/>
  <c r="N14" i="18" l="1"/>
  <c r="J11" i="9" l="1"/>
  <c r="H11" i="9"/>
  <c r="G11" i="9"/>
  <c r="D6" i="16" l="1"/>
  <c r="C28" i="14" l="1"/>
  <c r="A38" i="22" l="1"/>
  <c r="F6" i="36" l="1"/>
  <c r="A68" i="11" l="1"/>
  <c r="F22" i="8" l="1"/>
  <c r="C19" i="8"/>
  <c r="D19" i="8"/>
  <c r="E19" i="8"/>
  <c r="E12" i="9" s="1"/>
  <c r="J12" i="7"/>
  <c r="H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0" i="21" l="1"/>
  <c r="A61" i="9" l="1"/>
  <c r="A34" i="9"/>
  <c r="A63" i="8"/>
  <c r="B49" i="4" l="1"/>
  <c r="F2" i="38" l="1"/>
  <c r="D69" i="13" l="1"/>
  <c r="N29" i="18"/>
  <c r="N28" i="18"/>
  <c r="N27" i="18"/>
  <c r="N26" i="18"/>
  <c r="N25" i="18"/>
  <c r="N24" i="18"/>
  <c r="N23" i="18"/>
  <c r="N20" i="18"/>
  <c r="N19" i="18"/>
  <c r="N18" i="18"/>
  <c r="N17" i="18"/>
  <c r="N16" i="18"/>
  <c r="N15" i="18"/>
  <c r="N12" i="18"/>
  <c r="N11" i="18"/>
  <c r="N10" i="18"/>
  <c r="N9" i="18"/>
  <c r="H47" i="4" l="1"/>
  <c r="A54" i="22" l="1"/>
  <c r="B58" i="18"/>
  <c r="B40" i="18"/>
  <c r="B21" i="18"/>
  <c r="F70" i="13"/>
  <c r="B18" i="12" l="1"/>
  <c r="B20" i="12" s="1"/>
  <c r="C18" i="12"/>
  <c r="D18" i="12"/>
  <c r="D20" i="12" s="1"/>
  <c r="E18" i="12"/>
  <c r="E20" i="12" s="1"/>
  <c r="G18" i="12"/>
  <c r="G20" i="12" s="1"/>
  <c r="H18" i="12"/>
  <c r="H20" i="12" s="1"/>
  <c r="J18" i="12"/>
  <c r="J20" i="12" s="1"/>
  <c r="F27" i="6" l="1"/>
  <c r="F29" i="6"/>
  <c r="F11" i="14" l="1"/>
  <c r="F28" i="6" l="1"/>
  <c r="F26" i="6"/>
  <c r="A58" i="7" l="1"/>
  <c r="E25" i="6"/>
  <c r="E68" i="11" l="1"/>
  <c r="C45" i="10"/>
  <c r="D3" i="36" l="1"/>
  <c r="C3" i="36"/>
  <c r="F2" i="37"/>
  <c r="F3" i="23"/>
  <c r="C2" i="23"/>
  <c r="C1" i="37" s="1"/>
  <c r="C1" i="38" s="1"/>
  <c r="E17" i="22"/>
  <c r="A17" i="22"/>
  <c r="A14" i="22"/>
  <c r="A14" i="21"/>
  <c r="F6" i="21"/>
  <c r="E6" i="21"/>
  <c r="D6" i="21"/>
  <c r="B47" i="18"/>
  <c r="B28" i="18"/>
  <c r="B10" i="18"/>
  <c r="C31" i="16"/>
  <c r="E6" i="16"/>
  <c r="A70" i="13"/>
  <c r="B3" i="13"/>
  <c r="B4" i="11"/>
  <c r="C4" i="11" s="1"/>
  <c r="B3" i="11"/>
  <c r="G6" i="7"/>
  <c r="G4" i="8" s="1"/>
  <c r="G4" i="9" s="1"/>
  <c r="D7" i="7"/>
  <c r="E7" i="7" s="1"/>
  <c r="A45" i="6"/>
  <c r="B31"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0" i="6"/>
  <c r="C5" i="9" l="1"/>
  <c r="F39" i="9"/>
  <c r="F30"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J19" i="8"/>
  <c r="I12" i="7"/>
  <c r="E5" i="8"/>
  <c r="I19" i="8" l="1"/>
  <c r="E5" i="9"/>
  <c r="I20" i="12"/>
  <c r="K20" i="12"/>
  <c r="F40" i="9"/>
  <c r="M39" i="9" s="1"/>
  <c r="F20" i="12"/>
  <c r="K19" i="8"/>
  <c r="J12" i="9"/>
  <c r="G12" i="9"/>
  <c r="K12" i="7"/>
  <c r="I11" i="9"/>
  <c r="H12" i="9"/>
  <c r="F11" i="9"/>
  <c r="K11" i="9"/>
  <c r="D67" i="11"/>
</calcChain>
</file>

<file path=xl/sharedStrings.xml><?xml version="1.0" encoding="utf-8"?>
<sst xmlns="http://schemas.openxmlformats.org/spreadsheetml/2006/main" count="1628" uniqueCount="734">
  <si>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</si>
  <si>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</si>
  <si>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</si>
  <si>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</si>
  <si>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</si>
  <si>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</si>
  <si>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</si>
  <si>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</si>
  <si>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</si>
  <si>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</si>
  <si>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</si>
  <si>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</si>
  <si>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</si>
  <si>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</si>
  <si>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</si>
  <si>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</si>
  <si>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</si>
  <si>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</si>
  <si>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</si>
  <si>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</si>
  <si>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</si>
  <si>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</si>
  <si>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</si>
  <si>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</si>
  <si>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</si>
  <si>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</si>
  <si>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</si>
  <si>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</si>
  <si>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</si>
  <si>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</si>
  <si>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</si>
  <si>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</si>
  <si>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</si>
  <si>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</si>
  <si>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</si>
  <si>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</si>
  <si>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</si>
  <si>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</si>
  <si>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</si>
  <si>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</si>
  <si>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</si>
  <si>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</si>
  <si>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</si>
  <si>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</si>
  <si>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</si>
  <si>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</si>
  <si>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</si>
  <si>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</si>
  <si>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</si>
  <si>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</si>
  <si>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</si>
  <si>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</si>
  <si>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</si>
  <si>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</si>
  <si>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</si>
  <si>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</si>
  <si>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</si>
  <si>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</si>
  <si>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</si>
  <si>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</si>
  <si>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</si>
  <si>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</si>
  <si>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</si>
  <si>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</si>
  <si>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</si>
  <si>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</si>
  <si>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</si>
  <si>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</si>
  <si>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</si>
  <si>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</si>
  <si>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</si>
  <si>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</si>
  <si>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</si>
  <si>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</si>
  <si>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</si>
  <si>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</si>
  <si>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</si>
  <si>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</si>
  <si>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</si>
  <si>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</si>
  <si>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</si>
  <si>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</si>
  <si>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</si>
  <si>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</si>
  <si>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</si>
  <si>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</si>
  <si>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</si>
  <si>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</si>
  <si>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</si>
  <si>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</si>
  <si>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</si>
  <si>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</si>
  <si>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</si>
  <si>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</si>
  <si>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</si>
  <si>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</si>
  <si>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</si>
  <si>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</si>
  <si>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</si>
  <si>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</si>
  <si>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</si>
  <si>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</si>
  <si>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</si>
  <si>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</si>
  <si>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</si>
  <si>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</si>
  <si>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</si>
  <si>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</si>
  <si>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</si>
  <si>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</si>
  <si>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</si>
  <si>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</si>
  <si>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</si>
  <si>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</si>
  <si>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</si>
  <si>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</si>
  <si>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</si>
  <si>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</si>
  <si>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</si>
  <si>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</si>
  <si>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</si>
  <si>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</si>
  <si>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</si>
  <si>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</si>
  <si>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</si>
  <si>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</si>
  <si>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</si>
  <si>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</si>
  <si>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</si>
  <si>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</si>
  <si>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</si>
  <si>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</si>
  <si>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</si>
  <si>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</si>
  <si>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</si>
  <si>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</si>
  <si>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</si>
  <si>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</si>
  <si>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</si>
  <si>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</si>
  <si>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</si>
  <si>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</si>
  <si>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</si>
  <si>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</si>
  <si>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</si>
  <si>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</si>
  <si>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</si>
  <si>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</si>
  <si>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</si>
  <si>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</si>
  <si>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</si>
  <si>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</si>
  <si>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</si>
  <si>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</si>
  <si>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</si>
  <si>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</si>
  <si>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</si>
  <si>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</si>
  <si>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</si>
  <si>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</si>
  <si>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</si>
  <si>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</si>
  <si>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</si>
  <si>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</si>
  <si>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</si>
  <si>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</si>
  <si>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</si>
  <si>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</si>
  <si>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</si>
  <si>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</si>
  <si>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</si>
  <si>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</si>
  <si>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</si>
  <si>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</si>
  <si>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</si>
  <si>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</si>
  <si>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</si>
  <si>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</si>
  <si>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</si>
  <si>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</si>
  <si>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</si>
  <si>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</si>
  <si>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</si>
  <si>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</si>
  <si>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</si>
  <si>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</si>
  <si>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</si>
  <si>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</si>
  <si>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</si>
  <si>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</si>
  <si>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</si>
  <si>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</si>
  <si>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</si>
  <si>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</si>
  <si>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</si>
  <si>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</si>
  <si>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</si>
  <si>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</si>
  <si>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</si>
  <si>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</si>
  <si>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</si>
  <si>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</si>
  <si>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</si>
  <si>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</si>
  <si>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</si>
  <si>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</si>
  <si>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</si>
  <si>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</si>
  <si>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</si>
  <si>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</si>
  <si>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</si>
  <si>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</si>
  <si>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</si>
  <si>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</si>
  <si>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</si>
  <si>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</si>
  <si>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</si>
  <si>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</si>
  <si>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</si>
  <si>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</si>
  <si>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</si>
  <si>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</si>
  <si>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</si>
  <si>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</si>
  <si>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</si>
  <si>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</si>
  <si>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</si>
  <si>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</si>
  <si>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</si>
  <si>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</si>
  <si>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</si>
  <si>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</si>
  <si>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</si>
  <si>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</si>
  <si>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</si>
  <si>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</si>
  <si>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</si>
  <si>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</si>
  <si>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</si>
  <si>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</si>
  <si>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</si>
  <si>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</si>
  <si>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</si>
  <si>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</si>
  <si>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</si>
  <si>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</si>
  <si>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</si>
  <si>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</si>
  <si>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</si>
  <si>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</si>
  <si>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</si>
  <si>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</si>
  <si>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</si>
  <si>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</si>
  <si>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</si>
  <si>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</si>
  <si>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</si>
  <si>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</si>
  <si>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</si>
  <si>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</si>
  <si>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</si>
  <si>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</si>
  <si>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</si>
  <si>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</si>
  <si>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</si>
  <si>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</si>
  <si>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</si>
  <si>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</si>
  <si>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</si>
  <si>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</si>
  <si>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</si>
  <si>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</si>
  <si>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</si>
  <si>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</si>
  <si>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</si>
  <si>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</si>
  <si>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</si>
  <si>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</si>
  <si>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</si>
  <si>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</si>
  <si>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</si>
  <si>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</si>
  <si>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</si>
  <si>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</si>
  <si>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</si>
  <si>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</si>
  <si>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</si>
  <si>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</si>
  <si>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</si>
  <si>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</si>
  <si>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</si>
  <si>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</si>
  <si>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</si>
  <si>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</si>
  <si>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</si>
  <si>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</si>
  <si>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</si>
  <si>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</si>
  <si>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</si>
  <si>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</si>
  <si>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</si>
  <si>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</si>
  <si>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</si>
  <si>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</si>
  <si>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</si>
  <si>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</si>
  <si>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</si>
  <si>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</si>
  <si>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</si>
  <si>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</si>
  <si>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</si>
  <si>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</si>
  <si>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</si>
  <si>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</si>
  <si>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</si>
  <si>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</si>
  <si>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</si>
  <si>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</si>
  <si>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</si>
  <si>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</si>
  <si>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</si>
  <si>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</si>
  <si>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</si>
  <si>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</si>
  <si>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</si>
  <si>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</si>
  <si>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</si>
  <si>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</si>
  <si>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</si>
  <si>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</si>
  <si>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</si>
  <si>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</si>
  <si>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</si>
  <si>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</si>
  <si>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</si>
  <si>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</si>
  <si>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</si>
  <si>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</si>
  <si>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</si>
  <si>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</si>
  <si>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</si>
  <si>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</si>
  <si>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</si>
  <si>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</si>
  <si>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</si>
  <si>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</si>
  <si>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</si>
  <si>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</si>
  <si>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</si>
  <si>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</si>
  <si>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</si>
  <si>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</si>
  <si>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</si>
  <si>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</si>
  <si>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</si>
  <si>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</si>
  <si>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</si>
  <si>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</si>
  <si>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</si>
  <si>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</si>
  <si>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</si>
  <si>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</si>
  <si>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</si>
  <si>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</si>
  <si>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</si>
  <si>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</si>
  <si>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</si>
  <si>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</si>
  <si>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</si>
  <si>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</si>
  <si>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</si>
  <si>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</si>
  <si>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</si>
  <si>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</si>
  <si>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</si>
  <si>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</si>
  <si>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</si>
  <si>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</si>
  <si>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</si>
  <si>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</si>
  <si>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</si>
  <si>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</si>
  <si>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</si>
  <si>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</si>
  <si>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</si>
  <si>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</si>
  <si>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</si>
  <si>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</si>
  <si>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</si>
  <si>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</si>
  <si>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</si>
  <si>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</si>
  <si>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</si>
  <si>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</si>
  <si>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</si>
  <si>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</si>
  <si>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</si>
  <si>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</si>
  <si>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</si>
  <si>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</si>
  <si>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</si>
  <si>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</si>
  <si>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</si>
  <si>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</si>
  <si>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</si>
  <si>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</si>
  <si>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</si>
  <si>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</si>
  <si>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</si>
  <si>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</si>
  <si>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</si>
  <si>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</si>
  <si>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</si>
  <si>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</si>
  <si>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</si>
  <si>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</si>
  <si>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</si>
  <si>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</si>
  <si>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</si>
  <si>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</si>
  <si>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C.H. ZAÑA</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</si>
  <si>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</si>
  <si>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</si>
  <si>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</si>
  <si>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</si>
  <si>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</si>
  <si>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</si>
  <si>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</si>
  <si>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</si>
  <si>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</si>
  <si>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</si>
  <si>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</si>
  <si>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</si>
  <si>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</si>
  <si>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</si>
  <si>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</si>
  <si>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</si>
  <si>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</si>
  <si>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</si>
  <si>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</si>
  <si>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</si>
  <si>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</si>
  <si>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</si>
  <si>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</si>
  <si>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</si>
  <si>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</si>
  <si>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</si>
  <si>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</si>
  <si>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</si>
  <si>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</si>
  <si>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</si>
  <si>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</si>
  <si>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</si>
  <si>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</si>
  <si>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</si>
  <si>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</si>
  <si>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</si>
  <si>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</si>
  <si>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Var (%)
2020/2019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</si>
  <si>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</si>
  <si>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</si>
  <si>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</si>
  <si>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INVERSION DE ENERGÍA RENOVABLES</t>
  </si>
  <si>
    <t>12:00</t>
  </si>
  <si>
    <t>00:15</t>
  </si>
  <si>
    <t>Empresa</t>
  </si>
  <si>
    <t>Recurso Energético</t>
  </si>
  <si>
    <t>Tipo de Tecnologia</t>
  </si>
  <si>
    <t>Central</t>
  </si>
  <si>
    <t>Unidad</t>
  </si>
  <si>
    <t>Tensión  
(kV)</t>
  </si>
  <si>
    <t>Potencia Instalada (MW)</t>
  </si>
  <si>
    <t xml:space="preserve">Potencia Efectiva  (MW) </t>
  </si>
  <si>
    <t>20:00</t>
  </si>
  <si>
    <t>11:45</t>
  </si>
  <si>
    <t>C.T. CALLAO</t>
  </si>
  <si>
    <t>RED DE ENERGIA DEL PERU S.A.</t>
  </si>
  <si>
    <t>T62-161  T6-261</t>
  </si>
  <si>
    <t>C.H. MANTA I</t>
  </si>
  <si>
    <t>ELECTRO SUR ESTE</t>
  </si>
  <si>
    <t>HIDRANDINA</t>
  </si>
  <si>
    <t>T-30  T3-261  T4-261</t>
  </si>
  <si>
    <t>INDEPENDENCIA</t>
  </si>
  <si>
    <t>MAJES</t>
  </si>
  <si>
    <t>REPARTICION</t>
  </si>
  <si>
    <t>GR PAINO</t>
  </si>
  <si>
    <t>GR TARUCA</t>
  </si>
  <si>
    <t>ATRIA</t>
  </si>
  <si>
    <t>EMGE JUNÍN</t>
  </si>
  <si>
    <t>CELEPSA RENOVABLES</t>
  </si>
  <si>
    <t>STATKRAFT S.A</t>
  </si>
  <si>
    <t>ISA PERU</t>
  </si>
  <si>
    <t>Aerpgenerador</t>
  </si>
  <si>
    <t>Viento</t>
  </si>
  <si>
    <t>C.E. Duna</t>
  </si>
  <si>
    <t>CE. Huambos</t>
  </si>
  <si>
    <t>7 Aerogeneradores</t>
  </si>
  <si>
    <t>2. MODIFICACIÓN DE LA OFERTA DE GENERACIÓN ELÉCTRICA DEL SEIN EN EL 2021</t>
  </si>
  <si>
    <t>Var (%)
2021/2020</t>
  </si>
  <si>
    <t>Variación 2021/2020 (MW)</t>
  </si>
  <si>
    <t>Variación 2021/2020 (GWh)</t>
  </si>
  <si>
    <t>2021 / 2020</t>
  </si>
  <si>
    <t>C.E. HUAMBOS  (1)</t>
  </si>
  <si>
    <t>12:45</t>
  </si>
  <si>
    <t>Var. (2021/2020)</t>
  </si>
  <si>
    <t>Gráfico N°13: Evolución semanal del volumen de las lagunas de ENEL durante los años 2018 - 2021</t>
  </si>
  <si>
    <t>Gráfico N°14: Evolución semanal del volumen del lago JUNÍN durante los años 2018 - 2021</t>
  </si>
  <si>
    <t>Gráfico N°15: Evolución semanal del volumen de los embalses de EGASA durante los años 2018 - 2021.</t>
  </si>
  <si>
    <t>Gráfico N°16: Evolución del promedio semanal de caudales de los ríos SANTA, CHANCAY y PATIVILCA en los años 2018 - 2021.</t>
  </si>
  <si>
    <t>Gráfico N°17: Evolución del promedio semanal de caudales de los ríos RÍMAC y SANTA EULALIA en los años 2018 - 2021.</t>
  </si>
  <si>
    <t>Gráfico N°18: Evolución del promedio semanal de caudales de los ríos MANTARO, TULUMAYO y TARMA  en los años 2018 - 2021.</t>
  </si>
  <si>
    <t>Gráfico N°19: Evolución del promedio semanal de caudales de las cuencas CHILI, ARICOTA, VILCANOTA Y SAN GABÁN en los años 2018 - 2021.</t>
  </si>
  <si>
    <t>2.3. POTENCIA INSTALADA EN EL SEIN</t>
  </si>
  <si>
    <t>Aerogenerador</t>
  </si>
  <si>
    <t>C.E. HUAMBOS</t>
  </si>
  <si>
    <t>C.E. DUNA</t>
  </si>
  <si>
    <t>11:15</t>
  </si>
  <si>
    <t>18:45</t>
  </si>
  <si>
    <t>19:00</t>
  </si>
  <si>
    <t>LA VIRGEN</t>
  </si>
  <si>
    <t>(1) Inicio de operación comercial de la C.E. Huambos propiedad de GR PAINO S.A.C. a las 00:00 horas del 06.05.2021</t>
  </si>
  <si>
    <t>(2) Inicio de operación comercial de la C.E. Dunas propiedad de GR TARUCA S.A.C. a las 00:00 horas del 06.05.2021</t>
  </si>
  <si>
    <t>11:30</t>
  </si>
  <si>
    <t>18:30</t>
  </si>
  <si>
    <t>L. PARAMONGA N. - 09 DE OCTUBRE - LINEA L-6655</t>
  </si>
  <si>
    <t>L. SAN GABÁN II - MAZUCO - LINEA L-1014</t>
  </si>
  <si>
    <t>Operación Comercial</t>
  </si>
  <si>
    <t>06.05.2021</t>
  </si>
  <si>
    <t>Central Solar</t>
  </si>
  <si>
    <t>Central Hidroeléctrica</t>
  </si>
  <si>
    <t>Central Eólica</t>
  </si>
  <si>
    <r>
      <t>GR TARUCA</t>
    </r>
    <r>
      <rPr>
        <vertAlign val="superscript"/>
        <sz val="6"/>
        <color theme="1"/>
        <rFont val="Arial"/>
        <family val="2"/>
      </rPr>
      <t xml:space="preserve"> </t>
    </r>
  </si>
  <si>
    <r>
      <t>GR PAINO</t>
    </r>
    <r>
      <rPr>
        <vertAlign val="superscript"/>
        <sz val="6"/>
        <color theme="1"/>
        <rFont val="Arial"/>
        <family val="2"/>
      </rPr>
      <t xml:space="preserve"> </t>
    </r>
  </si>
  <si>
    <t>Central Termoeléctrica</t>
  </si>
  <si>
    <t>23:15</t>
  </si>
  <si>
    <t>18:15</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</si>
  <si>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</si>
  <si>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</si>
  <si>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</si>
  <si>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</si>
  <si>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</si>
  <si>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</si>
  <si>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</si>
  <si>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</si>
  <si>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</si>
  <si>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</si>
  <si>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</si>
  <si>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</si>
  <si>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</si>
  <si>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</si>
  <si>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</si>
  <si>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 ZAÑA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</si>
  <si>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</si>
  <si>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</si>
  <si>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</si>
  <si>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</si>
  <si>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</si>
  <si>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</si>
  <si>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</si>
  <si>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</si>
  <si>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</si>
  <si>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</si>
  <si>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</si>
  <si>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</si>
  <si>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</si>
  <si>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</si>
  <si>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</si>
  <si>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</si>
  <si>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</si>
  <si>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HYDRO PATAPO</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</si>
  <si>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</si>
  <si>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</si>
  <si>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</si>
  <si>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</si>
  <si>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</si>
  <si>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</si>
  <si>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</si>
  <si>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</si>
  <si>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</si>
  <si>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</si>
  <si>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</si>
  <si>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</si>
  <si>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</si>
  <si>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</si>
  <si>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</si>
  <si>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</si>
  <si>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</si>
  <si>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</si>
  <si>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</si>
  <si>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</si>
  <si>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</si>
  <si>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</si>
  <si>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</si>
  <si>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</si>
  <si>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</si>
  <si>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</si>
  <si>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</si>
  <si>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</si>
  <si>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L. CARHUAMAYO - SHELBY - LINEA L-6515</t>
  </si>
  <si>
    <t>L. AGUAYTÍA - TINGO MARÍA - LINEA L-2251</t>
  </si>
  <si>
    <t>ELECTRONOROESTE S.A.</t>
  </si>
  <si>
    <t>L. PACHACHACA - MOROCOCHA - LINEA L-6529</t>
  </si>
  <si>
    <t>CONCESIONARIA LINEA DE TRANSMISION CCNCM S.A.C.</t>
  </si>
  <si>
    <t>L. CACLIC - BELAUNDE TERRY - LINEA L-2194</t>
  </si>
  <si>
    <t>LINEA DE TRANSMISION</t>
  </si>
  <si>
    <t>TRANSFORMADOR 2D</t>
  </si>
  <si>
    <t>Pelton</t>
  </si>
  <si>
    <t>C.H. La Virgen</t>
  </si>
  <si>
    <t>G2</t>
  </si>
  <si>
    <t>15.05.2021</t>
  </si>
  <si>
    <t>(3) Inicio de operación comercial del Grupo 2 de la C.H. La Virgen propiedad de LA VIRGEN S.A.C. a las 00:00 horas del 15.05.2021</t>
  </si>
  <si>
    <t>1.1. Producción de energía eléctrica en junio 2021 en comparación al mismo mes del año anterior</t>
  </si>
  <si>
    <t>junio</t>
  </si>
  <si>
    <t>El total de la producción de energía eléctrica de la empresas generadoras integrantes del COES en el mes de junio 2021 fue de 4 438,20  GWh, lo que representa un incremento de 681,49 GWh (18,14%) en comparación con el año 2020.</t>
  </si>
  <si>
    <t>La producción de electricidad con centrales hidroeléctricas durante el mes de junio 2021 fue de 2 161,60 GWh (0,38% mayor al registrado durante junio del año 2020).</t>
  </si>
  <si>
    <t>La producción de electricidad con centrales termoeléctricas durante el mes de junio 2021 fue de 2 088,26 GWh, 50,62% mayor al registrado durante junio del año 2020. La participación del gas natural de Camisea fue de 44,24%, mientras que las del gas que proviene de los yacimientos de Aguaytía y Malacas fue del 1,96%, la producción con diesel, residual, carbón, biogás y bagazo tuvieron una intervención del 0,07%, 0,02%, 0,00%, 0,13%, 0,63% respectivamente.</t>
  </si>
  <si>
    <t>La producción de energía eléctrica con centrales eólicas fue de 134,09 GWh y con centrales solares fue de 54,26 GWh, los cuales tuvieron una participación de 3,02% y 1,22% respectivamente.</t>
  </si>
  <si>
    <t>NORTE</t>
  </si>
  <si>
    <t>L-2232</t>
  </si>
  <si>
    <t>TRUJILLO NORTE - CHIMBOTE 1</t>
  </si>
  <si>
    <t>L-2018</t>
  </si>
  <si>
    <t>SAN JUAN - LOS INDUSTRIALES</t>
  </si>
  <si>
    <t>L-2011</t>
  </si>
  <si>
    <t>SAN JUAN - SANTA ROSA N.</t>
  </si>
  <si>
    <t>L-2003  L-2004</t>
  </si>
  <si>
    <t>SANTA ROSA N. - CHAVARRÍA</t>
  </si>
  <si>
    <t>C.E. HUAMBOS (1)</t>
  </si>
  <si>
    <t xml:space="preserve">C.E. DUNA (2)  </t>
  </si>
  <si>
    <t>C.E. DUNA  (2)</t>
  </si>
  <si>
    <t>01/06/2021</t>
  </si>
  <si>
    <t>02/06/2021</t>
  </si>
  <si>
    <t>03/06/2021</t>
  </si>
  <si>
    <t>04/06/2021</t>
  </si>
  <si>
    <t>05/06/2021</t>
  </si>
  <si>
    <t>21:00</t>
  </si>
  <si>
    <t>06/06/2021</t>
  </si>
  <si>
    <t>20:30</t>
  </si>
  <si>
    <t>07/06/2021</t>
  </si>
  <si>
    <t>08/06/2021</t>
  </si>
  <si>
    <t>09/06/2021</t>
  </si>
  <si>
    <t>10/06/2021</t>
  </si>
  <si>
    <t>11/06/2021</t>
  </si>
  <si>
    <t>12/06/2021</t>
  </si>
  <si>
    <t>20:45</t>
  </si>
  <si>
    <t>13/06/2021</t>
  </si>
  <si>
    <t>19:45</t>
  </si>
  <si>
    <t>14/06/2021</t>
  </si>
  <si>
    <t>15/06/2021</t>
  </si>
  <si>
    <t>16/06/2021</t>
  </si>
  <si>
    <t>14:45</t>
  </si>
  <si>
    <t>17/06/2021</t>
  </si>
  <si>
    <t>12:30</t>
  </si>
  <si>
    <t>18/06/2021</t>
  </si>
  <si>
    <t>09:30</t>
  </si>
  <si>
    <t>19/06/2021</t>
  </si>
  <si>
    <t>20/06/2021</t>
  </si>
  <si>
    <t>20:15</t>
  </si>
  <si>
    <t>21/06/2021</t>
  </si>
  <si>
    <t>11:00</t>
  </si>
  <si>
    <t>22/06/2021</t>
  </si>
  <si>
    <t>16:15</t>
  </si>
  <si>
    <t>23/06/2021</t>
  </si>
  <si>
    <t>24/06/2021</t>
  </si>
  <si>
    <t>10:45</t>
  </si>
  <si>
    <t>25/06/2021</t>
  </si>
  <si>
    <t>12:15</t>
  </si>
  <si>
    <t>26/06/2021</t>
  </si>
  <si>
    <t>27/06/2021</t>
  </si>
  <si>
    <t>17:00</t>
  </si>
  <si>
    <t>28/06/2021</t>
  </si>
  <si>
    <t>29/06/2021</t>
  </si>
  <si>
    <t>30/06/2021</t>
  </si>
  <si>
    <t>VOLUMEN ÚTIL
30-06-2021</t>
  </si>
  <si>
    <t>VOLUMEN ÚTIL
30-06-2020</t>
  </si>
  <si>
    <t>GENERADOR HIDROELÉCTRICO</t>
  </si>
  <si>
    <t>CENTRAL TERMOELÉCTRICA</t>
  </si>
  <si>
    <t>TRANSFORMADOR 3D</t>
  </si>
  <si>
    <t>Se ejecutó el rechazo manual de carga de usuarios libres de la zona, por sobrecarga de la línea L-6529 (Pachachaca - Morococha) de 50 kV, debido a mantenimiento de la CH Huanchor programado desde las 08:00 h del 02/06/2021 hasta las 12:00 h de hoy 03/06/2021.  El CCO-COES coordinó el RMC de los usuarios libres: Mineras Los Quenuales, Alpayana, Austria Duvaz, Argentum y Volcan con un total de 9.50 MW. 
A las 03:43 h del 03.06.2021, sincronizó el generador G1 de la CH Huanchor con el SEIN.
A las 03:46 h, se coordinó recuperar toda la carga rechazada de todos los usuario libres involucrados de la zona.</t>
  </si>
  <si>
    <t/>
  </si>
  <si>
    <t>MINERA ARES</t>
  </si>
  <si>
    <t>L. CALLALLI - CAYLLOMA - LINEA L-6015</t>
  </si>
  <si>
    <t>Desconectó la línea L-6015 (Callalli-Caylloma) de 60 kV por falla cuya causa no ha sido informada por Mina Ares, titular de la línea. Como consecuencias se interrumpió la SE. Caylloma con una carga de 0.135 MW. A las16:50 h, Ares energizó la línea con resultado negativo. A las 17:04 h, Minera Ares conectó la línea y se procedió a recuperar la carga.</t>
  </si>
  <si>
    <t>ELECTRO ZAÑA S.A.C.</t>
  </si>
  <si>
    <t>L. CAYALTI - ZAÑA - LINEA L-6547</t>
  </si>
  <si>
    <t>Desconectó la línea L-6547 (Zaña – Cayaltí) de 60 kV en la S.E. Zaña, por actuación de su sistema de protección, debido a una oscilación de tensión originada por la desconexión de la línea de 60 kV que va de Chiclayo Oeste - Lambayaque de la empresa ENSA, según lo informado por ELECTRO ZAÑA titular de la línea L-6547. Como consecuencia desconectó la C.H. Zaña con una generación de 13.2 MW. El usuario libre Cementos Pacasmayo reportó una reducción de suministros de 3.31MW. A las 07:24 h, Cementos Pacasmayo recuperó la carga interrumpida. A las 09:38 h se conectó la línea L-6547, a las 09:49 h sincronizó la unidad G2 y a las 09:50 la unidad G1 de las C.H. Zaña.</t>
  </si>
  <si>
    <t>SHOUGANG HIERRO PERU</t>
  </si>
  <si>
    <t>L. EL HIERRO - MARCONA - LINEA L-2299</t>
  </si>
  <si>
    <t>Desconectó la línea L-2299 (El Hierro - Marcona) de 220 kV por falla, debido a una descargas por condiciones climatológicas, según informe de Shougang Hierro Perú, titular del equipo. Como consecuencia se interrumpió el suministro de la S.E. Hierro con un total de 36 MW. A las 18:49 h se conectó la línea y se procedió a normalizar los suministros interrumpidos.</t>
  </si>
  <si>
    <t>L. PARAMONGA E. - CAHUA - LINEA L-1102</t>
  </si>
  <si>
    <t>Desconexión de la línea L-1102 (Paramonga Existente-Cahua) de 138 kV por falla bifásica entre las fases "R" y "S" ubicada a 3.4 km desde la S.E. Paramonga Existente, cuya causa se investiga, según lo informado por Statkraft, titular de la línea. Como consecuencia, se redujo carga del usuario libre Quimpac y Panasa en  3.78 MW. A las 12:33 h, se coordinó con Quimpac recuperar carga. A las 12:35 h, se coordinó con AIPSA recuperar carga. A las 13:32 h, se conectó la línea L-1102.</t>
  </si>
  <si>
    <t>Desconectó la línea L-6655 (Paramonga N. - 09 de Octubre) de 66 kV por falla monofásica a tierra en la fase "T",  en la estructura N° 29, debido al contacto de ave con el conductor de la línea, según lo informado por Hidrandina, titular de la línea. Como consecuencia se interrumpió el suministro de la S.E. Huarmey con un total de 2.67 MW y Puerto Mina Antamina con 1.4 MW. A las 18:01 h, se conectó la línea L-6655 con lo cual se normalizaron los suministros interrumpidos.</t>
  </si>
  <si>
    <t>ATN S.A.</t>
  </si>
  <si>
    <t>L. CAJAMARCA NORTE - PAMPA HONDA - LINEA L-2287</t>
  </si>
  <si>
    <t xml:space="preserve">Se produjo recierre exitoso fase R de la línea L-2287 (Cajamarca Norte - Pampa Honda) de 220 kV por falla monofásica en la fase "R", debido a fenómenos atmosféricos en la zona de falla, según lo informado por ATN, titular de la línea. Como consecuencia se produjo reducción de carga del usuario libre Cerro Corona con 8 MW. A las 17:11 h, se coordinó con Cerro Corona recuperar carga. </t>
  </si>
  <si>
    <t>C.H. YAUPI - GH G4</t>
  </si>
  <si>
    <t>Desconectaron los generadores G4 y G5 de la C.H. Yaupi con 42.47 MW y el transformador TR2,  por alta temperatura de aceite en el banco de transformadores de potencia TR2, el cual activo el relé de bloqueo 86T, informada por Statkraft, titular de los equipos. Como consecuencia se interrumpió el suministro de las SS.EE. Oxapampa, Villa Rica,  Pichanaki,  Puerto Bermúdez,  Satipo, Ciudad Constitución y Chalhuamayo con tun total de 10 MW aproximadamente. A las 04:40 h, se puso en servicio el transformador y se procedió a recuperar el suministro interrumpido. A las 08:13 h, sincronizó el generador G4. A las 10:07 h, sincronizó el generador G5.</t>
  </si>
  <si>
    <t>ADINELSA ADN</t>
  </si>
  <si>
    <t>L. HUACHO - ANDAHUASI - LINEA L-6670</t>
  </si>
  <si>
    <t>Desconectó la línea en 60 kV L-6670 (Huacho - Andahuasi) por falla monofásica en la fase "R" ubicada a 24.6 km desde la S.E. Huacho, cuya causa no fue informada por Adinelsa, titular de la línea. Como consecuencia desconectó la C.H. Yarucaya con 17.14 MW y se interrumpió la carga en la S.E. Andahuasi. A las 08:41 h entró en servicio la línea L-6670 y se procedió a recuperar la carga interrumpida. A las 08:57 h y 09:25 h, los generadores G1 y G2 de la C.H. Yarucaya, sincronizaron con el SEIN, respectivamente.</t>
  </si>
  <si>
    <t>AGRO INDUSTRIAL PARAMONGA</t>
  </si>
  <si>
    <t>C.T. PARAMONGA - CT CENTRAL</t>
  </si>
  <si>
    <t>Desconectó el generador TV1 de la C.T. Paramonga con 13.5 MW por pérdida de presión de vacío en el Condensador debido a la falta de suministro eléctrico en los equipos de Torre de Enfriamiento y en los  servicios auxiliares de la Caldera CBS originado por una falla eléctrica en las instalaciones de la Planta Químpac, según lo informado por Agro Industrial Paramonga, titular de la central. Como consecuencia se interrumpió la carga de Panasa en 7.21 MW y de AIPSA en 5.3 MW. A las 11:20 h se coordinó recuperar la carga interrumpida. A las 15:04 h, el generador TV1 sincronizó con el SEIN.</t>
  </si>
  <si>
    <t>Desconectó la línea en 220 kV L-2194 (Caclic - Belaunde) por falla monofásica en la fase "S" ubicada a 77.5 km desde la S.E. Cáclic, debido a quema de vegetación en la zona de falla, informada por Concesionaria Línea de Transmisión CCNCM, titular de la línea. Como consecuencia se interrumpió la carga de Electro Oriente en las SS.EE. Rioja, Cementos Selva, Nueva Cajamarca y Pongo de Caynarachi con un total de 21.060 MW. A las 11:37 h, se coordinó rechazar 5 MW en las SS.EE. Bellavista y Juanjuí debido a la caída de tensión. A las 11:39 h, entró en servicio la línea L-2194 y se coordinó recuperar la carga interrumpida.</t>
  </si>
  <si>
    <t>L. ZORRITOS - TUMBES - LINEA L-6665A</t>
  </si>
  <si>
    <t>Desconectó la línea L-6665 (Zorritos – Tumbes) de 60 kV por falla ocasionado por contacto de cometas, según lo informado por Electronoroeste, titular de la línea. Como consecuencia se interrumpió el suministro de las SS.EE. Puerto Pizarro, Tumbes y Zarumilla con un total de 17.75 MW. A las 05:26 h se conectó la línea y se procedió a normalizar el suministro interrumpido.</t>
  </si>
  <si>
    <t>Desconectó la línea L-1014 (San Gabán - Mazuko) de 138 kV por falla bifásica entre las fases "R" y "T" debido a caída de árbol entre las estructuras T-140 y T-141 a una distancia de 59.13 km desde la S.E. San Gabán, según lo informado por Electro Sur Este, titular de la línea. Como consecuencia se interrumpió la carga de las subestaciones Mazuko y Puerto Maldonado con un total de 13.91 MW, así mismo, desconectó la C.H. El Angel I,II y III cuando generaban 23.3 MW. A las 07:52 h Electro Sur Este declaró disponible la línea L-1014 y a las 07:53 h se energizó sin éxito, quedando fuera de servicio para su inspección. A las 07:56 h se dio orden de arranque a la C.T. Reserva Fría de Puerto Maldonado para recuperar la carga de la S.E: Puerto Maldonado en sistema aislado. A las 08:30 h entró en servicio la C.T. Reserva Fría de Puerto Maldonado en sistema aislado con la carga de la S.E. Puerto Maldonado. La línea L-1015 quedó fuera de servicio porque la barra 138 kV de la S.E. Mazuco tiene cuellos muertos cerrados con la línea L-1014. Después de desconectar cuellos muertos de la línea L-1014, a las 20:33 h, se energizó la línea L-1015 pero a las 20:37 h se desconectó por regulación de voltaje. A las 20:51 h, se energizó  la línea L-1015. A las 20:55 h, se energizó la barra 138 kV y el transformador 138/22.9 kV de la S.E. Mazuco. A las 20:56 h, se energizó la barra 22.9 kV y el reactor 3 MVar de la S.E. Mazuco y se procedió a recuperar su carga interrumpida.</t>
  </si>
  <si>
    <t>Desconectó la línea L-2251 (Aguaytía - Tingo María) de 220 kV en la S.E. Tingo María, durante las actividades de mantenimiento del autotransformador AT01 de 220/138 kV de la S.E. Tingo María, la desconexión se produjo en el momento que se realizó inyección secundaria al relé de sobrecorriente lado 220kV del autotransformador AT01, pero esta misma inyección fue registrada por el relé 7SJ611 donde se tiene implementado el esquema AGR que envió el disparo al IN-2342 de la línea L-2251, según lo informado por ISA PERÚ, titular de la línea.
Como consecuencia se interrumpió la carga de las SS.EE. Aguaytía y Pucallpa con un total de 53.85 MW. A las 11:21 h se dio orden de arranque a la C.T. Reserva Fría Pucallpa y a las 11:27 h entró en servicio la central. A las 11:29 h se energizó la barra de 60 kV de la S.E. Pucallpa y se procedió a recuperar la carga interrumpida. A las 11:27 h entró en servicio la línea L-2251 (Tingo María - Aguaytía) de 220 kV y a las 11:40 h se conectó la línea L-1125 (Aguaytía - Pucallpa) de 138 kV junto con la barra de 138 kV de la S.E. Pucallpa. A las 11:45 h se energizó el autotransformador AT111-161 desde el lado de 138 kV en la S.E. Pucallpa y a las 11:46 h se cerró en el lado de 60 kV del transformador sincronizando el sistema aislado con el SEIN. A las 11:49 h entró en servicio la línea L-1156 (Aguaytía - Pucallpa) de 138 kV.</t>
  </si>
  <si>
    <t>L. TOQUEPALA - ARICOTA 2 - LINEA L-1026</t>
  </si>
  <si>
    <t>Desconectaron las líneas en 60 kV L-6620 (Tomasiri - Aricota 2) en la S.E. Aricota 2, L-6617 (Aricota 1 - Aricota 2), L-6667 (Aricota 1 - Sarita) y la línea en 138 kV L-1126 (Toquepala - Aricota 2) en la S.E. Aricota 2 por falla en las instalaciones de 10.5 kV en la S.E. Aricota 2, cuya causa no fue informada por Egesur, titular de las instalaciones. Como consecuencia, desconectó la C.H. Aricota 1 y se interrumpió el suministro de las SS.EE Tarata, Candarave y el Ayro con 0.77 MW. La C.H. Aricota 2 quedó operando en sietema aislado con la carga de Ilabaya, Paquiña, Totorales y el campamento Aricota 2.
A las 21:12 h, se desconecta manualmente la C.H. Aricota 2 y se interrumpe el suministro en las SS.EE. Ilabaya, Paquiña, Totorales y Curibaya con un total de 0.21 MW. A las 21:20 h, se conecta la línea L-1026 en la S.E. Aricota 2. 
A las 21:25 h ,se cierra la línea L-6620 con resultado negativo.
A las 21:35 h, se puso en servicio la línea L-6617.
A las 22:02 h se conectó la línea L-6620 en Aricota 2.
A las 22:24 h, se conectó la línea L-6667 (Aricota 1 - Sarita) y se procedió a restablecer la carga interrumpida.</t>
  </si>
  <si>
    <t>UNION ANDINA DE CEMENTO</t>
  </si>
  <si>
    <t>S.E. CARIPA - BARRA BARRA_138 KV</t>
  </si>
  <si>
    <t>Desconectó la barra 138 kV de la S.E. Caripa provocado por falso contacto en el tablero de protección del relé diferencial de barras, según lo informado por UNACEM, titular de la barra. Como consecuencia, se produjo la interrupción de suministro de las Subestaciones Condorcocha y Chanchamayo con un total de 20 MW. Así mismo, desconectaron las CC.HH. Huasahuasi I y II cuando generaban 3.79 MW.
A las 11:20 h, se conectó la línea L-1705 (Oroya Nueva - Caripa)  y se procedió a recuperar el suministro interrumpido de UNACEM. A las 11:39 h, se conectó la línea L-1710 (Caripa - La Virgen) y a las 12:02 h, se conectó el transformador de 138/60 kV en la S.E. La Virgen.</t>
  </si>
  <si>
    <t>ELECTRO DUNAS</t>
  </si>
  <si>
    <t>L. MARCONA - NAZCA - LINEA L-6630</t>
  </si>
  <si>
    <t>Desconectó la línea L-6630 (Marcona - Nazca) de 60 kV con 25 MW por falla monofásica en la  fases "T" ubicada a 30.6 km desde la S.E. Marcona, cuya causa se encuentra en investigación por Electrodunas, titular de la línea. Como consecuencia, se interrumpió la carga de las subestaciones Nazca, Puquio, Cora Cora y Llipata con un total de 24.77 MW. A las 17:23 h se conectó la línea L-6630 en la S.E. Marcona con resultado negativo. La línea quedó fuera de servicio para su inspección. A las 19:19 h la línea L-6630 entró en servicio.</t>
  </si>
  <si>
    <t>SEAL</t>
  </si>
  <si>
    <t>S.E. CALLALLI - TRAFO3D T91-162</t>
  </si>
  <si>
    <t>Desconectó el transformador T91-126 de 138/66/22.9 kV de la S.E. Callalli por falla bifásica en el interruptor del lado 22.9 kV del transformador, segun  lo informado por SEAL, titular del equipo. Como consecuencia desconectó la línea L-6015 (Callalli - Caylloma) de 66 kV interrumpiendo la carga de las SS.EE. Callalli y Caylloma con un total de 8.244 MW, según lo reportado por Seal. A las 21:40 h entró en servicio el transformador T91-126 y la línea L-6015 procediendo a recuperar la carga interrumpida.</t>
  </si>
  <si>
    <t>CONENHUA</t>
  </si>
  <si>
    <t>L. ARES - HUANCARAMA - LINEA L-6017</t>
  </si>
  <si>
    <t>Desconectó la línea L-6017 (Ares – Huancarama) de 66 kV por falla en la fase "T" a 10.64 km desde la S.E. Ares, cuya causa se encuentra en investigación por Conenhua, titular de la línea. Como consecuencia, se interrumpió el suministro de la SSEE Chipmo, Huancarama y Cotahuasi,  y a la minera Buenaventura con un total 10.12 MW. A las 01:50 h, se conectó la línea L-6017 y se procedió a normalizar el suministro interrumpido.</t>
  </si>
  <si>
    <t>L. GUADALUPE - GALLITO CIEGO - LINEA L-6646</t>
  </si>
  <si>
    <t>Desconectaron las líneas L-6646 / L-6656 (Guadalupe – Gallito Ciego) de 60 kV por falla  bifásica entre las fases "S" Y "T", cuya causa se encuentra en investigación, según lo informado por Hidrandina, titular de la línea. Como consecuencia se interrumpió el suministro de Tembladera, Chilete y Cajamarca con un total 18,02 MW y la reducción de carga del usuario Cementos Pacasmayo (2.92 MW). A las 07:43 h, se coordinó normalizar el suministro de Cementos Pacasmayo. A las 07:52 h, se conectaron las líneas L-6646 / L-6656. A las 07:54 h, se conectaron las líneas de 60 kV: L-6042 (Gallito Ciego – Tembladera) y L-6045 (Gallito Ciego – Cajamarca). A las 07:59 h, 08:09 h y 08:28 h, se procedió a normalizar el suministro interrumpido en Celendín, Chilete y Tembladera.</t>
  </si>
  <si>
    <t>S.E. AGUAYTÍA - TRAFO3D T38-212</t>
  </si>
  <si>
    <t>Desconectó el transformador 220/138/22.9 kV AT38-212 de la S.E. Aguaytía por falla en el aislador soporte SA-1237 de la fase S, según lo informado por Isa Perú, titular del equipo. Como consecuencia, se interrumpió el suministro de Pueblo de Aguaytía en 2.24 MW. A las 08:31 h, se energizó la barra de 10 kV con el autotransformador paralelo AT110-212. A las 11:00 h, se conectó la línea de 22.9 kV L-1051 y se procedió a recuperar la carga de Pueblo de Aguaytía. A las 12:22 h, se conectó el transformador AT38-212.</t>
  </si>
  <si>
    <t>Desconectaron las líneas L-6515 / L-6517 (Carhuamayo – Shelby - Excelsior) de 50 kV por falla monofásica a tierra en la fase "R", cuya causa se encuentra en investigación por parte de Statkraft, titular de la línea. Como consecuencia se interrumpieron los suministros de Electro Centro: Fundición de (0.319 MW) y Shelby – Vicco (0.247 MW) . A las 05:39 h, se conectaron las líneas L-6515 / L-6517 y se procedió a normalizar el suministro interrumpido.</t>
  </si>
  <si>
    <t xml:space="preserve">Desconectó la línea L-1102 (Paramonga Existente - Cahua) de 138 kV por falla bifásica entre las fases "R" y "S" a 56.4 km desde la S.E. Cahua, debido a causa se encuentra en investigación por Statkraft, titular de la línea. Como consecuencia se produjo la reducción de 5 MW de carga del usuario libre Quimpac - Panasa. A las 09:35 h, se coordinó recuperar la carga reducida. A las 11:25 h, se conectó la línea L-1102 después de su inspección. </t>
  </si>
  <si>
    <t>S.E. MAZUCO - TRAFO MZ-TR-1001</t>
  </si>
  <si>
    <t>Desconectó el transformador de 138/22.9 kV en la S.E. Mazuko por falla cuya causa se encuentra en investigación por Electro Sur Este, titular del equipo. Como consecuencia, se interrumpió 1.7 MW en la S.E. Mazuko. A las 08:26 h del 29/06/2021 el transformador se puso en servicio y se procedió a recuperar la carga interrumpida.</t>
  </si>
  <si>
    <t>G1</t>
  </si>
  <si>
    <t>26.06.2021</t>
  </si>
  <si>
    <t>(4) Inicio de operación comercial del Grupo 1 de la C.H. La Virgen propiedad de LA VIRGEN S.A.C. a las 00:00 horas del 26.06.2021</t>
  </si>
  <si>
    <t>C.H. LA VIRGEN  (3) (4)</t>
  </si>
  <si>
    <t>C.H. LA VIRGEN (3)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</si>
</sst>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78">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4" tint="-0.249977111117893"/>
      <name val="Arial"/>
      <family val="2"/>
    </font>
    <font>
      <sz val="8"/>
      <color theme="3"/>
      <name val="Arial"/>
      <family val="2"/>
    </font>
    <font>
      <b/>
      <sz val="11"/>
      <color theme="1"/>
      <name val="Arial"/>
      <family val="2"/>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6"/>
      <color theme="1"/>
      <name val="Arial"/>
      <family val="2"/>
    </font>
    <font>
      <sz val="6"/>
      <color theme="0"/>
      <name val="Arial"/>
      <family val="2"/>
    </font>
    <font>
      <b/>
      <sz val="12"/>
      <color rgb="FF1F2532"/>
      <name val="Calibri"/>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i/>
      <sz val="9"/>
      <color theme="1"/>
      <name val="Arial"/>
      <family val="2"/>
    </font>
    <font>
      <sz val="6"/>
      <color theme="0" tint="-0.34998626667073579"/>
      <name val="Calibri"/>
      <family val="2"/>
      <scheme val="minor"/>
    </font>
    <font>
      <b/>
      <sz val="11"/>
      <color theme="0" tint="-0.34998626667073579"/>
      <name val="Arial"/>
      <family val="2"/>
    </font>
    <font>
      <sz val="6"/>
      <color theme="0" tint="-0.34998626667073579"/>
      <name val="Arial"/>
      <family val="2"/>
    </font>
    <font>
      <b/>
      <sz val="10"/>
      <color theme="0" tint="-0.34998626667073579"/>
      <name val="Tahoma"/>
      <family val="2"/>
    </font>
    <font>
      <b/>
      <sz val="8.5"/>
      <color theme="0" tint="-0.34998626667073579"/>
      <name val="Tahoma"/>
      <family val="2"/>
    </font>
    <font>
      <sz val="8.5"/>
      <color theme="0" tint="-0.34998626667073579"/>
      <name val="Tahoma"/>
      <family val="2"/>
    </font>
    <font>
      <b/>
      <sz val="8"/>
      <color theme="0" tint="-0.34998626667073579"/>
      <name val="Arial"/>
      <family val="2"/>
    </font>
    <font>
      <sz val="8"/>
      <color theme="0" tint="-0.34998626667073579"/>
      <name val="Helvetica"/>
      <family val="2"/>
    </font>
    <font>
      <sz val="8"/>
      <color theme="0" tint="-0.34998626667073579"/>
      <name val="Arial Narrow"/>
      <family val="2"/>
    </font>
    <font>
      <b/>
      <sz val="10"/>
      <color theme="0" tint="-0.34998626667073579"/>
      <name val="Arial"/>
      <family val="2"/>
    </font>
    <font>
      <sz val="10"/>
      <color theme="0" tint="-0.34998626667073579"/>
      <name val="Arial"/>
      <family val="2"/>
    </font>
    <font>
      <i/>
      <sz val="8"/>
      <color theme="0" tint="-0.34998626667073579"/>
      <name val="Arial"/>
      <family val="2"/>
    </font>
    <font>
      <vertAlign val="superscript"/>
      <sz val="6"/>
      <color theme="1"/>
      <name val="Arial"/>
      <family val="2"/>
    </font>
    <font>
      <sz val="7"/>
      <color theme="0" tint="-0.34998626667073579"/>
      <name val="Arial"/>
      <family val="2"/>
    </font>
    <font>
      <sz val="8"/>
      <name val="Calibri"/>
      <family val="2"/>
    </font>
    <font>
      <b/>
      <sz val="12"/>
      <color rgb="FFFF0000"/>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8">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941">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70"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0" fillId="0" borderId="0" xfId="0" applyFont="1"/>
    <xf numFmtId="0" fontId="41" fillId="0" borderId="0" xfId="0" applyFont="1" applyAlignment="1">
      <alignment vertical="center"/>
    </xf>
    <xf numFmtId="0" fontId="41"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2"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3" fillId="0" borderId="0" xfId="0" applyFont="1" applyAlignment="1">
      <alignment vertical="center"/>
    </xf>
    <xf numFmtId="0" fontId="43" fillId="0" borderId="0" xfId="0" applyFont="1"/>
    <xf numFmtId="0" fontId="44" fillId="0" borderId="0" xfId="0" applyFont="1" applyAlignment="1">
      <alignment vertical="center"/>
    </xf>
    <xf numFmtId="0" fontId="30" fillId="0" borderId="0" xfId="0" applyFont="1"/>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0" fontId="36" fillId="2" borderId="0" xfId="0" applyFont="1" applyFill="1" applyAlignment="1">
      <alignment horizontal="left" vertical="center"/>
    </xf>
    <xf numFmtId="170" fontId="0" fillId="0" borderId="0" xfId="0" applyNumberFormat="1" applyAlignment="1">
      <alignment horizontal="center"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0" fontId="29" fillId="7" borderId="0" xfId="0" applyFont="1" applyFill="1"/>
    <xf numFmtId="0" fontId="0" fillId="7" borderId="0" xfId="0" applyFill="1"/>
    <xf numFmtId="0" fontId="48"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50" fillId="0" borderId="0" xfId="0" applyFont="1"/>
    <xf numFmtId="0" fontId="30" fillId="0" borderId="86" xfId="0" applyFont="1" applyBorder="1"/>
    <xf numFmtId="43" fontId="30" fillId="0" borderId="86" xfId="1" applyFont="1" applyBorder="1"/>
    <xf numFmtId="0" fontId="46" fillId="0" borderId="0" xfId="0" applyFont="1" applyAlignment="1">
      <alignment vertical="center"/>
    </xf>
    <xf numFmtId="0" fontId="46" fillId="0" borderId="0" xfId="0" applyFont="1" applyAlignment="1">
      <alignment horizontal="center"/>
    </xf>
    <xf numFmtId="0" fontId="46" fillId="0" borderId="0" xfId="0" applyFont="1" applyAlignment="1">
      <alignment vertical="center" wrapText="1"/>
    </xf>
    <xf numFmtId="0" fontId="46" fillId="0" borderId="0" xfId="0" applyFont="1" applyAlignment="1">
      <alignment horizontal="left" vertical="center" wrapText="1"/>
    </xf>
    <xf numFmtId="49" fontId="47" fillId="0" borderId="0" xfId="0" applyNumberFormat="1" applyFont="1" applyAlignment="1">
      <alignment horizontal="right"/>
    </xf>
    <xf numFmtId="1" fontId="47" fillId="0" borderId="0" xfId="0" applyNumberFormat="1" applyFont="1" applyAlignment="1">
      <alignment horizontal="right"/>
    </xf>
    <xf numFmtId="49" fontId="47" fillId="0" borderId="0" xfId="0" applyNumberFormat="1" applyFont="1" applyAlignment="1">
      <alignment horizontal="center"/>
    </xf>
    <xf numFmtId="1" fontId="47" fillId="0" borderId="0" xfId="0" applyNumberFormat="1" applyFont="1" applyAlignment="1">
      <alignment horizontal="center"/>
    </xf>
    <xf numFmtId="165" fontId="47" fillId="0" borderId="0" xfId="0" applyNumberFormat="1" applyFont="1" applyAlignment="1">
      <alignment horizontal="center"/>
    </xf>
    <xf numFmtId="0" fontId="30" fillId="0" borderId="0" xfId="0" applyFont="1" applyAlignment="1">
      <alignment horizontal="center"/>
    </xf>
    <xf numFmtId="0" fontId="47" fillId="0" borderId="0" xfId="0" applyFont="1" applyAlignment="1">
      <alignment vertical="center"/>
    </xf>
    <xf numFmtId="0" fontId="47" fillId="0" borderId="0" xfId="0" quotePrefix="1" applyFont="1" applyAlignment="1">
      <alignment horizontal="left" vertical="top"/>
    </xf>
    <xf numFmtId="170" fontId="30" fillId="5" borderId="24" xfId="0" applyNumberFormat="1" applyFont="1" applyFill="1" applyBorder="1" applyAlignment="1">
      <alignment horizontal="center" vertical="center"/>
    </xf>
    <xf numFmtId="170" fontId="47" fillId="5" borderId="29" xfId="0"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47" fillId="2" borderId="31" xfId="0"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47" fillId="5" borderId="31" xfId="0"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47" fillId="2" borderId="34" xfId="0" applyNumberFormat="1" applyFont="1" applyFill="1" applyBorder="1" applyAlignment="1">
      <alignment horizontal="center" vertical="center"/>
    </xf>
    <xf numFmtId="170" fontId="51" fillId="5" borderId="23" xfId="0" applyNumberFormat="1" applyFont="1" applyFill="1" applyBorder="1" applyAlignment="1">
      <alignment horizontal="center" vertical="center"/>
    </xf>
    <xf numFmtId="170" fontId="51" fillId="5" borderId="40" xfId="0" applyNumberFormat="1" applyFont="1" applyFill="1" applyBorder="1" applyAlignment="1">
      <alignment horizontal="center" vertical="center"/>
    </xf>
    <xf numFmtId="0" fontId="53"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52"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39" fillId="8" borderId="93" xfId="0" applyNumberFormat="1" applyFont="1" applyFill="1" applyBorder="1" applyAlignment="1">
      <alignment horizontal="center" vertical="center"/>
    </xf>
    <xf numFmtId="174" fontId="39" fillId="8" borderId="93" xfId="0" applyNumberFormat="1" applyFont="1" applyFill="1" applyBorder="1" applyAlignment="1">
      <alignment horizontal="center" vertical="center" wrapText="1"/>
    </xf>
    <xf numFmtId="0" fontId="5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51" fillId="4" borderId="87" xfId="0" applyFont="1" applyFill="1" applyBorder="1"/>
    <xf numFmtId="43" fontId="51" fillId="4" borderId="87" xfId="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0" fillId="2" borderId="0" xfId="0" applyFill="1"/>
    <xf numFmtId="0" fontId="51" fillId="0" borderId="0" xfId="0" applyFont="1"/>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0" fontId="55" fillId="0" borderId="0" xfId="0" applyFont="1"/>
    <xf numFmtId="0" fontId="56" fillId="0" borderId="0" xfId="0" applyFont="1" applyAlignment="1">
      <alignment vertical="center"/>
    </xf>
    <xf numFmtId="49" fontId="55" fillId="0" borderId="0" xfId="0" applyNumberFormat="1" applyFont="1" applyAlignment="1">
      <alignment horizontal="center"/>
    </xf>
    <xf numFmtId="1" fontId="55" fillId="0" borderId="0" xfId="0" applyNumberFormat="1" applyFont="1" applyAlignment="1">
      <alignment horizontal="center"/>
    </xf>
    <xf numFmtId="49" fontId="55" fillId="0" borderId="0" xfId="0" applyNumberFormat="1" applyFont="1" applyAlignment="1">
      <alignment horizontal="left"/>
    </xf>
    <xf numFmtId="1" fontId="55" fillId="0" borderId="0" xfId="0" applyNumberFormat="1" applyFont="1" applyAlignment="1">
      <alignment horizontal="left"/>
    </xf>
    <xf numFmtId="165" fontId="55" fillId="0" borderId="0" xfId="0" applyNumberFormat="1" applyFont="1" applyAlignment="1">
      <alignment horizontal="center"/>
    </xf>
    <xf numFmtId="10" fontId="55"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4" fontId="35" fillId="8" borderId="120" xfId="0" applyNumberFormat="1" applyFont="1" applyFill="1" applyBorder="1" applyAlignment="1">
      <alignment vertical="center"/>
    </xf>
    <xf numFmtId="4" fontId="52"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52" fillId="8" borderId="120" xfId="2" applyNumberFormat="1" applyFont="1" applyFill="1" applyBorder="1" applyAlignment="1">
      <alignment vertical="center"/>
    </xf>
    <xf numFmtId="0" fontId="52"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1" fillId="0" borderId="0" xfId="0" applyFont="1" applyAlignment="1">
      <alignment horizontal="center" vertical="center"/>
    </xf>
    <xf numFmtId="0" fontId="57" fillId="2" borderId="0" xfId="0" applyFont="1" applyFill="1" applyAlignment="1">
      <alignment horizontal="left" vertical="center" wrapText="1"/>
    </xf>
    <xf numFmtId="0" fontId="51" fillId="0" borderId="30" xfId="0" applyFont="1" applyBorder="1"/>
    <xf numFmtId="0" fontId="51" fillId="4" borderId="133" xfId="0" applyFont="1" applyFill="1" applyBorder="1"/>
    <xf numFmtId="43" fontId="30" fillId="0" borderId="31" xfId="1" applyFont="1" applyBorder="1"/>
    <xf numFmtId="43" fontId="51" fillId="4" borderId="134" xfId="1" applyFont="1" applyFill="1" applyBorder="1"/>
    <xf numFmtId="0" fontId="51" fillId="0" borderId="30" xfId="0" applyFont="1" applyBorder="1" applyAlignment="1">
      <alignment wrapText="1"/>
    </xf>
    <xf numFmtId="43" fontId="30" fillId="0" borderId="136" xfId="1" applyFont="1" applyBorder="1"/>
    <xf numFmtId="0" fontId="51" fillId="0" borderId="135"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0" fontId="35" fillId="8" borderId="138"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39" xfId="0" applyFont="1" applyFill="1" applyBorder="1" applyAlignment="1">
      <alignment horizontal="center" vertical="center" wrapText="1"/>
    </xf>
    <xf numFmtId="0" fontId="46" fillId="4" borderId="141" xfId="0" applyFont="1" applyFill="1" applyBorder="1" applyAlignment="1">
      <alignment horizontal="center" vertical="center"/>
    </xf>
    <xf numFmtId="4" fontId="46" fillId="4" borderId="142" xfId="0" applyNumberFormat="1" applyFont="1" applyFill="1" applyBorder="1" applyAlignment="1">
      <alignment horizontal="center" vertical="center"/>
    </xf>
    <xf numFmtId="0" fontId="30" fillId="0" borderId="0" xfId="0" applyFont="1" applyAlignment="1">
      <alignment vertical="center"/>
    </xf>
    <xf numFmtId="0" fontId="58" fillId="4" borderId="140" xfId="0" applyFont="1" applyFill="1" applyBorder="1" applyAlignment="1">
      <alignment vertical="center"/>
    </xf>
    <xf numFmtId="0" fontId="58" fillId="0" borderId="140" xfId="0" applyFont="1" applyFill="1" applyBorder="1" applyAlignment="1">
      <alignment vertical="center" wrapText="1"/>
    </xf>
    <xf numFmtId="0" fontId="47" fillId="0" borderId="141" xfId="0" applyFont="1" applyFill="1" applyBorder="1" applyAlignment="1">
      <alignment horizontal="center" vertical="center"/>
    </xf>
    <xf numFmtId="0" fontId="46" fillId="0" borderId="141" xfId="0" applyFont="1" applyFill="1" applyBorder="1" applyAlignment="1">
      <alignment horizontal="center" vertical="center"/>
    </xf>
    <xf numFmtId="4" fontId="47" fillId="0" borderId="142" xfId="0" applyNumberFormat="1" applyFont="1" applyFill="1" applyBorder="1" applyAlignment="1">
      <alignment horizontal="center" vertical="center"/>
    </xf>
    <xf numFmtId="176" fontId="21" fillId="0" borderId="39" xfId="2" applyNumberFormat="1" applyFont="1" applyBorder="1" applyAlignment="1">
      <alignment horizontal="right" vertical="center"/>
    </xf>
    <xf numFmtId="0" fontId="0" fillId="0" borderId="0" xfId="0"/>
    <xf numFmtId="43" fontId="21" fillId="4" borderId="40" xfId="1" applyNumberFormat="1"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9" fontId="21" fillId="4" borderId="78" xfId="2" applyFont="1" applyFill="1" applyBorder="1" applyAlignment="1">
      <alignment horizontal="center" vertical="center"/>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59" fillId="0" borderId="0" xfId="0" applyFont="1"/>
    <xf numFmtId="0" fontId="60" fillId="0" borderId="0" xfId="0" applyFont="1" applyAlignment="1">
      <alignment vertical="center"/>
    </xf>
    <xf numFmtId="0" fontId="60" fillId="0" borderId="0" xfId="0" applyFont="1"/>
    <xf numFmtId="0" fontId="45"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45"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45"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47" fillId="0" borderId="78" xfId="1" applyFont="1" applyBorder="1" applyAlignment="1">
      <alignment vertical="center" wrapText="1"/>
    </xf>
    <xf numFmtId="0" fontId="47"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49" fontId="41" fillId="0" borderId="0" xfId="0" applyNumberFormat="1" applyFont="1" applyAlignment="1">
      <alignment horizontal="center"/>
    </xf>
    <xf numFmtId="0" fontId="41" fillId="0" borderId="0" xfId="0" applyFont="1" applyAlignment="1">
      <alignment horizontal="center"/>
    </xf>
    <xf numFmtId="2" fontId="41" fillId="0" borderId="0" xfId="0" applyNumberFormat="1" applyFont="1"/>
    <xf numFmtId="10" fontId="41" fillId="0" borderId="0" xfId="2" applyNumberFormat="1" applyFont="1"/>
    <xf numFmtId="0" fontId="58" fillId="0" borderId="143" xfId="0" applyFont="1" applyFill="1" applyBorder="1" applyAlignment="1">
      <alignment vertical="center" wrapText="1"/>
    </xf>
    <xf numFmtId="0" fontId="47" fillId="0" borderId="144" xfId="0" applyFont="1" applyFill="1" applyBorder="1" applyAlignment="1">
      <alignment horizontal="center" vertical="center"/>
    </xf>
    <xf numFmtId="4" fontId="47" fillId="0" borderId="14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46" xfId="0" applyNumberFormat="1" applyFont="1" applyFill="1" applyBorder="1" applyAlignment="1">
      <alignment horizontal="center" vertical="center" wrapText="1"/>
    </xf>
    <xf numFmtId="169" fontId="35" fillId="8" borderId="146" xfId="0" applyNumberFormat="1" applyFont="1" applyFill="1" applyBorder="1" applyAlignment="1">
      <alignment horizontal="center" vertical="center" wrapText="1"/>
    </xf>
    <xf numFmtId="0" fontId="35" fillId="8" borderId="146" xfId="0" applyFont="1" applyFill="1" applyBorder="1" applyAlignment="1">
      <alignment horizontal="center" vertical="center" wrapText="1"/>
    </xf>
    <xf numFmtId="0" fontId="35" fillId="8" borderId="147" xfId="0" applyFont="1" applyFill="1" applyBorder="1" applyAlignment="1">
      <alignment horizontal="center" vertical="center" wrapText="1"/>
    </xf>
    <xf numFmtId="0" fontId="35" fillId="8" borderId="148" xfId="0" quotePrefix="1" applyFont="1" applyFill="1" applyBorder="1" applyAlignment="1">
      <alignment horizontal="left" vertical="center"/>
    </xf>
    <xf numFmtId="168" fontId="35" fillId="8" borderId="149" xfId="0" applyNumberFormat="1" applyFont="1" applyFill="1" applyBorder="1" applyAlignment="1">
      <alignment horizontal="right" vertical="center"/>
    </xf>
    <xf numFmtId="168" fontId="35" fillId="8" borderId="149" xfId="0" applyNumberFormat="1" applyFont="1" applyFill="1" applyBorder="1" applyAlignment="1">
      <alignment horizontal="left" vertical="center"/>
    </xf>
    <xf numFmtId="0" fontId="35" fillId="8" borderId="149" xfId="2" applyNumberFormat="1" applyFont="1" applyFill="1" applyBorder="1" applyAlignment="1">
      <alignment horizontal="left" vertical="center"/>
    </xf>
    <xf numFmtId="0" fontId="35" fillId="8" borderId="150" xfId="2" applyNumberFormat="1" applyFont="1" applyFill="1" applyBorder="1" applyAlignment="1">
      <alignment horizontal="center" vertical="center"/>
    </xf>
    <xf numFmtId="4" fontId="35" fillId="8" borderId="151" xfId="0" applyNumberFormat="1" applyFont="1" applyFill="1" applyBorder="1" applyAlignment="1">
      <alignment horizontal="center" vertical="center"/>
    </xf>
    <xf numFmtId="0" fontId="35" fillId="8" borderId="151" xfId="0" applyFont="1" applyFill="1" applyBorder="1" applyAlignment="1">
      <alignment horizontal="center" vertical="center"/>
    </xf>
    <xf numFmtId="168" fontId="30" fillId="2" borderId="151" xfId="0" applyNumberFormat="1" applyFont="1" applyFill="1" applyBorder="1" applyAlignment="1">
      <alignment horizontal="center" vertical="center" wrapText="1"/>
    </xf>
    <xf numFmtId="0" fontId="30" fillId="2" borderId="151" xfId="2" applyNumberFormat="1" applyFont="1" applyFill="1" applyBorder="1" applyAlignment="1">
      <alignment horizontal="center" vertical="center" wrapText="1"/>
    </xf>
    <xf numFmtId="2" fontId="30" fillId="2" borderId="151" xfId="2" applyNumberFormat="1" applyFont="1" applyFill="1" applyBorder="1" applyAlignment="1">
      <alignment horizontal="center" vertical="center" wrapText="1"/>
    </xf>
    <xf numFmtId="4" fontId="30" fillId="2" borderId="151" xfId="0" applyNumberFormat="1" applyFont="1" applyFill="1" applyBorder="1" applyAlignment="1">
      <alignment horizontal="center" vertical="center" wrapText="1"/>
    </xf>
    <xf numFmtId="0" fontId="30" fillId="2" borderId="151" xfId="0" applyFont="1" applyFill="1" applyBorder="1" applyAlignment="1">
      <alignment horizontal="center" vertical="center" wrapText="1"/>
    </xf>
    <xf numFmtId="0" fontId="29" fillId="0" borderId="0" xfId="0" applyFont="1" applyAlignment="1">
      <alignment horizontal="left" vertical="center"/>
    </xf>
    <xf numFmtId="0" fontId="4" fillId="0" borderId="0" xfId="0" applyFont="1" applyAlignment="1">
      <alignment horizontal="center" vertical="center" wrapText="1"/>
    </xf>
    <xf numFmtId="0" fontId="47" fillId="2" borderId="0" xfId="0" applyFont="1" applyFill="1" applyAlignment="1">
      <alignment vertical="center"/>
    </xf>
    <xf numFmtId="43" fontId="47" fillId="2" borderId="46" xfId="1" applyFont="1" applyFill="1" applyBorder="1" applyAlignment="1">
      <alignment vertical="center"/>
    </xf>
    <xf numFmtId="43" fontId="47" fillId="2" borderId="46" xfId="0" applyNumberFormat="1" applyFont="1" applyFill="1" applyBorder="1" applyAlignment="1">
      <alignment vertical="center"/>
    </xf>
    <xf numFmtId="167" fontId="46" fillId="2" borderId="47" xfId="2" applyNumberFormat="1" applyFont="1" applyFill="1" applyBorder="1" applyAlignment="1">
      <alignment vertical="center"/>
    </xf>
    <xf numFmtId="0" fontId="47" fillId="4" borderId="0" xfId="0" applyFont="1" applyFill="1" applyAlignment="1">
      <alignment vertical="center"/>
    </xf>
    <xf numFmtId="43" fontId="47" fillId="4" borderId="46" xfId="0" applyNumberFormat="1" applyFont="1" applyFill="1" applyBorder="1" applyAlignment="1">
      <alignment vertical="center"/>
    </xf>
    <xf numFmtId="167" fontId="46" fillId="4" borderId="47" xfId="2" applyNumberFormat="1" applyFont="1" applyFill="1" applyBorder="1" applyAlignment="1">
      <alignment vertical="center"/>
    </xf>
    <xf numFmtId="167" fontId="51" fillId="4" borderId="47" xfId="2" applyNumberFormat="1" applyFont="1" applyFill="1" applyBorder="1" applyAlignment="1">
      <alignment vertical="center"/>
    </xf>
    <xf numFmtId="0" fontId="47" fillId="2" borderId="48" xfId="0" applyFont="1" applyFill="1" applyBorder="1" applyAlignment="1">
      <alignment vertical="center"/>
    </xf>
    <xf numFmtId="0" fontId="47" fillId="4" borderId="49" xfId="0" applyFont="1" applyFill="1" applyBorder="1" applyAlignment="1">
      <alignment vertical="center"/>
    </xf>
    <xf numFmtId="0" fontId="47" fillId="2" borderId="49" xfId="0" applyFont="1" applyFill="1" applyBorder="1" applyAlignment="1">
      <alignment vertical="center"/>
    </xf>
    <xf numFmtId="0" fontId="47" fillId="4" borderId="49" xfId="0" applyFont="1" applyFill="1" applyBorder="1" applyAlignment="1">
      <alignment vertical="center" wrapText="1"/>
    </xf>
    <xf numFmtId="0" fontId="47" fillId="2" borderId="49" xfId="0" applyFont="1" applyFill="1" applyBorder="1" applyAlignment="1">
      <alignment vertical="center" wrapText="1"/>
    </xf>
    <xf numFmtId="43" fontId="47" fillId="2" borderId="50" xfId="0" applyNumberFormat="1" applyFont="1" applyFill="1" applyBorder="1" applyAlignment="1">
      <alignment vertical="center"/>
    </xf>
    <xf numFmtId="167" fontId="46" fillId="2" borderId="51" xfId="2" applyNumberFormat="1" applyFont="1" applyFill="1" applyBorder="1" applyAlignment="1">
      <alignment vertical="center"/>
    </xf>
    <xf numFmtId="0" fontId="47" fillId="4" borderId="52" xfId="0" applyFont="1" applyFill="1" applyBorder="1" applyAlignment="1">
      <alignment vertical="center"/>
    </xf>
    <xf numFmtId="0" fontId="35" fillId="3" borderId="91" xfId="0" applyFont="1" applyFill="1" applyBorder="1" applyAlignment="1">
      <alignment vertical="center"/>
    </xf>
    <xf numFmtId="174" fontId="35" fillId="3" borderId="91" xfId="0" applyNumberFormat="1" applyFont="1" applyFill="1" applyBorder="1" applyAlignment="1">
      <alignment vertical="center"/>
    </xf>
    <xf numFmtId="10" fontId="35" fillId="3" borderId="45" xfId="2" applyNumberFormat="1" applyFont="1" applyFill="1" applyBorder="1" applyAlignment="1">
      <alignment vertical="center"/>
    </xf>
    <xf numFmtId="0" fontId="47" fillId="2" borderId="61" xfId="0" applyFont="1" applyFill="1" applyBorder="1" applyAlignment="1">
      <alignment vertical="center"/>
    </xf>
    <xf numFmtId="170" fontId="47" fillId="2" borderId="61" xfId="0" applyNumberFormat="1" applyFont="1" applyFill="1" applyBorder="1" applyAlignment="1">
      <alignment vertical="center"/>
    </xf>
    <xf numFmtId="167" fontId="46" fillId="2" borderId="61" xfId="2" applyNumberFormat="1" applyFont="1" applyFill="1" applyBorder="1" applyAlignment="1">
      <alignment vertical="center"/>
    </xf>
    <xf numFmtId="0" fontId="47" fillId="4" borderId="62" xfId="0" applyFont="1" applyFill="1" applyBorder="1" applyAlignment="1">
      <alignment vertical="center"/>
    </xf>
    <xf numFmtId="170" fontId="47" fillId="4" borderId="62" xfId="0" applyNumberFormat="1" applyFont="1" applyFill="1" applyBorder="1" applyAlignment="1">
      <alignment vertical="center"/>
    </xf>
    <xf numFmtId="167" fontId="46" fillId="4" borderId="62" xfId="2" applyNumberFormat="1" applyFont="1" applyFill="1" applyBorder="1" applyAlignment="1">
      <alignment vertical="center"/>
    </xf>
    <xf numFmtId="0" fontId="47" fillId="2" borderId="62" xfId="0" applyFont="1" applyFill="1" applyBorder="1" applyAlignment="1">
      <alignment vertical="center"/>
    </xf>
    <xf numFmtId="170" fontId="47" fillId="2" borderId="62" xfId="0" applyNumberFormat="1" applyFont="1" applyFill="1" applyBorder="1" applyAlignment="1">
      <alignment vertical="center"/>
    </xf>
    <xf numFmtId="167" fontId="46" fillId="2" borderId="62" xfId="2" applyNumberFormat="1" applyFont="1" applyFill="1" applyBorder="1" applyAlignment="1">
      <alignment vertical="center"/>
    </xf>
    <xf numFmtId="0" fontId="47" fillId="2" borderId="63" xfId="0" applyFont="1" applyFill="1" applyBorder="1" applyAlignment="1">
      <alignment vertical="center"/>
    </xf>
    <xf numFmtId="170" fontId="47" fillId="2" borderId="63" xfId="0" applyNumberFormat="1" applyFont="1" applyFill="1" applyBorder="1" applyAlignment="1">
      <alignment vertical="center"/>
    </xf>
    <xf numFmtId="167" fontId="46" fillId="2" borderId="63" xfId="2" applyNumberFormat="1" applyFont="1" applyFill="1" applyBorder="1" applyAlignment="1">
      <alignment vertical="center"/>
    </xf>
    <xf numFmtId="0" fontId="47" fillId="4" borderId="64" xfId="0" applyFont="1" applyFill="1" applyBorder="1" applyAlignment="1">
      <alignment vertical="center"/>
    </xf>
    <xf numFmtId="170" fontId="47" fillId="4" borderId="64" xfId="0" applyNumberFormat="1" applyFont="1" applyFill="1" applyBorder="1" applyAlignment="1">
      <alignment vertical="center"/>
    </xf>
    <xf numFmtId="167" fontId="46" fillId="4" borderId="64" xfId="2" applyNumberFormat="1" applyFont="1" applyFill="1" applyBorder="1" applyAlignment="1">
      <alignment vertical="center"/>
    </xf>
    <xf numFmtId="0" fontId="47" fillId="2" borderId="64" xfId="0" applyFont="1" applyFill="1" applyBorder="1" applyAlignment="1">
      <alignment vertical="center"/>
    </xf>
    <xf numFmtId="170" fontId="47" fillId="2" borderId="64" xfId="0" applyNumberFormat="1" applyFont="1" applyFill="1" applyBorder="1" applyAlignment="1">
      <alignment vertical="center"/>
    </xf>
    <xf numFmtId="167" fontId="46" fillId="2" borderId="64" xfId="2" applyNumberFormat="1" applyFont="1" applyFill="1" applyBorder="1" applyAlignment="1">
      <alignment vertical="center"/>
    </xf>
    <xf numFmtId="0" fontId="47" fillId="2" borderId="64" xfId="0" applyFont="1" applyFill="1" applyBorder="1" applyAlignment="1">
      <alignment vertical="center" wrapText="1"/>
    </xf>
    <xf numFmtId="0" fontId="47" fillId="4" borderId="64" xfId="0" applyFont="1" applyFill="1" applyBorder="1" applyAlignment="1">
      <alignment vertical="center" wrapText="1"/>
    </xf>
    <xf numFmtId="2" fontId="47" fillId="4" borderId="64" xfId="0" applyNumberFormat="1" applyFont="1" applyFill="1" applyBorder="1" applyAlignment="1">
      <alignment vertical="center" wrapText="1"/>
    </xf>
    <xf numFmtId="0" fontId="47" fillId="0" borderId="62" xfId="0" applyFont="1" applyBorder="1" applyAlignment="1">
      <alignment vertical="center"/>
    </xf>
    <xf numFmtId="166" fontId="47" fillId="0" borderId="62" xfId="0" applyNumberFormat="1" applyFont="1" applyBorder="1" applyAlignment="1">
      <alignment vertical="center"/>
    </xf>
    <xf numFmtId="0" fontId="47" fillId="4" borderId="94" xfId="0" applyFont="1" applyFill="1" applyBorder="1" applyAlignment="1">
      <alignment vertical="center"/>
    </xf>
    <xf numFmtId="170" fontId="47" fillId="4" borderId="94" xfId="0" applyNumberFormat="1" applyFont="1" applyFill="1" applyBorder="1" applyAlignment="1">
      <alignment vertical="center"/>
    </xf>
    <xf numFmtId="167" fontId="46" fillId="4" borderId="94" xfId="2" applyNumberFormat="1" applyFont="1" applyFill="1" applyBorder="1" applyAlignment="1">
      <alignment vertical="center"/>
    </xf>
    <xf numFmtId="0" fontId="35" fillId="3" borderId="0" xfId="0" applyFont="1" applyFill="1" applyAlignment="1">
      <alignment vertical="center"/>
    </xf>
    <xf numFmtId="174" fontId="35" fillId="3" borderId="0" xfId="0" applyNumberFormat="1" applyFont="1" applyFill="1" applyAlignment="1">
      <alignment vertical="center"/>
    </xf>
    <xf numFmtId="10" fontId="35" fillId="3" borderId="0" xfId="2" applyNumberFormat="1" applyFont="1" applyFill="1" applyAlignment="1">
      <alignment vertical="center"/>
    </xf>
    <xf numFmtId="2" fontId="62" fillId="0" borderId="0" xfId="0" applyNumberFormat="1" applyFont="1" applyAlignment="1">
      <alignment vertical="center"/>
    </xf>
    <xf numFmtId="2" fontId="41" fillId="0" borderId="0" xfId="0" applyNumberFormat="1" applyFont="1" applyAlignment="1">
      <alignment vertical="center"/>
    </xf>
    <xf numFmtId="0" fontId="63" fillId="0" borderId="0" xfId="0" applyFont="1" applyAlignment="1">
      <alignment vertical="center"/>
    </xf>
    <xf numFmtId="49" fontId="64" fillId="0" borderId="0" xfId="0" applyNumberFormat="1" applyFont="1" applyAlignment="1">
      <alignment horizontal="center"/>
    </xf>
    <xf numFmtId="0" fontId="64" fillId="0" borderId="0" xfId="0" applyFont="1"/>
    <xf numFmtId="49" fontId="64" fillId="0" borderId="0" xfId="0" applyNumberFormat="1" applyFont="1" applyAlignment="1">
      <alignment horizontal="right"/>
    </xf>
    <xf numFmtId="0" fontId="64" fillId="0" borderId="0" xfId="0" applyFont="1" applyAlignment="1">
      <alignment horizontal="right"/>
    </xf>
    <xf numFmtId="165" fontId="64" fillId="0" borderId="0" xfId="0" applyNumberFormat="1" applyFont="1" applyAlignment="1">
      <alignment horizontal="right"/>
    </xf>
    <xf numFmtId="1" fontId="64" fillId="0" borderId="0" xfId="0" applyNumberFormat="1" applyFont="1" applyAlignment="1">
      <alignment horizontal="right"/>
    </xf>
    <xf numFmtId="0" fontId="30" fillId="0" borderId="0" xfId="0" applyFont="1" applyAlignment="1">
      <alignment vertical="center" wrapText="1"/>
    </xf>
    <xf numFmtId="10" fontId="30" fillId="0" borderId="86" xfId="2" applyNumberFormat="1" applyFont="1" applyBorder="1"/>
    <xf numFmtId="10" fontId="51" fillId="4" borderId="87" xfId="2" applyNumberFormat="1" applyFont="1" applyFill="1" applyBorder="1"/>
    <xf numFmtId="10" fontId="30" fillId="0" borderId="0" xfId="2" applyNumberFormat="1" applyFont="1" applyBorder="1"/>
    <xf numFmtId="10" fontId="29" fillId="0" borderId="0" xfId="2" applyNumberFormat="1" applyFont="1"/>
    <xf numFmtId="174" fontId="13" fillId="0" borderId="0" xfId="5" applyNumberFormat="1" applyFont="1" applyAlignment="1" applyProtection="1">
      <alignment horizontal="right"/>
    </xf>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43" fontId="41" fillId="0" borderId="0" xfId="1" applyFont="1"/>
    <xf numFmtId="43" fontId="41" fillId="0" borderId="0" xfId="1" applyFont="1" applyAlignment="1">
      <alignment vertical="center"/>
    </xf>
    <xf numFmtId="172" fontId="66" fillId="7" borderId="0" xfId="3" applyNumberFormat="1" applyFont="1" applyFill="1" applyAlignment="1">
      <alignment horizontal="center"/>
    </xf>
    <xf numFmtId="0" fontId="68" fillId="0" borderId="0" xfId="0" applyFont="1"/>
    <xf numFmtId="175" fontId="41" fillId="0" borderId="0" xfId="0" applyNumberFormat="1" applyFont="1" applyAlignment="1">
      <alignment vertical="center"/>
    </xf>
    <xf numFmtId="2" fontId="67" fillId="2" borderId="0" xfId="3" applyNumberFormat="1" applyFont="1" applyFill="1"/>
    <xf numFmtId="2" fontId="69" fillId="0" borderId="0" xfId="0" applyNumberFormat="1" applyFont="1"/>
    <xf numFmtId="2" fontId="70" fillId="0" borderId="0" xfId="4" applyNumberFormat="1" applyFont="1"/>
    <xf numFmtId="166" fontId="41" fillId="0" borderId="0" xfId="0" applyNumberFormat="1" applyFont="1" applyAlignment="1">
      <alignment vertical="center"/>
    </xf>
    <xf numFmtId="2" fontId="67" fillId="0" borderId="0" xfId="3" applyNumberFormat="1" applyFont="1" applyAlignment="1">
      <alignment horizontal="right"/>
    </xf>
    <xf numFmtId="166" fontId="41" fillId="0" borderId="0" xfId="0" applyNumberFormat="1" applyFont="1"/>
    <xf numFmtId="0" fontId="41" fillId="0" borderId="0" xfId="0" applyFont="1" applyAlignment="1">
      <alignment horizontal="right"/>
    </xf>
    <xf numFmtId="166" fontId="41" fillId="7" borderId="0" xfId="0" applyNumberFormat="1" applyFont="1" applyFill="1"/>
    <xf numFmtId="2" fontId="60" fillId="0" borderId="0" xfId="0" applyNumberFormat="1" applyFont="1" applyAlignment="1">
      <alignment horizontal="center" vertical="center" wrapText="1"/>
    </xf>
    <xf numFmtId="2" fontId="60" fillId="0" borderId="0" xfId="0" quotePrefix="1" applyNumberFormat="1" applyFont="1" applyAlignment="1">
      <alignment horizontal="center" vertical="center" wrapText="1"/>
    </xf>
    <xf numFmtId="17" fontId="60" fillId="0" borderId="0" xfId="0" quotePrefix="1" applyNumberFormat="1" applyFont="1" applyAlignment="1">
      <alignment horizontal="center" vertical="center" wrapText="1"/>
    </xf>
    <xf numFmtId="0" fontId="60" fillId="0" borderId="0" xfId="0" quotePrefix="1" applyFont="1" applyAlignment="1">
      <alignment horizontal="center" vertical="center" wrapText="1"/>
    </xf>
    <xf numFmtId="0" fontId="60" fillId="0" borderId="0" xfId="0" applyFont="1" applyAlignment="1">
      <alignment horizontal="center"/>
    </xf>
    <xf numFmtId="2" fontId="60" fillId="0" borderId="0" xfId="0" applyNumberFormat="1" applyFont="1" applyAlignment="1">
      <alignment horizontal="left"/>
    </xf>
    <xf numFmtId="2" fontId="57" fillId="0" borderId="0" xfId="0" applyNumberFormat="1" applyFont="1" applyAlignment="1">
      <alignment horizontal="center"/>
    </xf>
    <xf numFmtId="2" fontId="60" fillId="0" borderId="0" xfId="0" applyNumberFormat="1" applyFont="1" applyAlignment="1">
      <alignment horizontal="center"/>
    </xf>
    <xf numFmtId="175" fontId="60" fillId="0" borderId="0" xfId="0" applyNumberFormat="1" applyFont="1"/>
    <xf numFmtId="175" fontId="60" fillId="0" borderId="0" xfId="0" applyNumberFormat="1" applyFont="1" applyAlignment="1">
      <alignment horizontal="center"/>
    </xf>
    <xf numFmtId="43" fontId="60" fillId="0" borderId="0" xfId="1" applyFont="1" applyAlignment="1">
      <alignment horizontal="left"/>
    </xf>
    <xf numFmtId="0" fontId="60" fillId="0" borderId="0" xfId="0" applyFont="1" applyAlignment="1">
      <alignment vertical="top" wrapText="1"/>
    </xf>
    <xf numFmtId="168" fontId="30" fillId="0" borderId="0" xfId="0" applyNumberFormat="1" applyFont="1" applyFill="1" applyBorder="1" applyAlignment="1">
      <alignment horizontal="center" vertical="center"/>
    </xf>
    <xf numFmtId="0" fontId="30" fillId="0" borderId="0" xfId="2" applyNumberFormat="1" applyFont="1" applyFill="1" applyBorder="1" applyAlignment="1">
      <alignment horizontal="center" vertical="center"/>
    </xf>
    <xf numFmtId="2" fontId="30" fillId="0" borderId="0" xfId="2" applyNumberFormat="1" applyFont="1" applyFill="1" applyBorder="1" applyAlignment="1">
      <alignment horizontal="center" vertical="center"/>
    </xf>
    <xf numFmtId="4" fontId="30" fillId="0" borderId="0" xfId="0" applyNumberFormat="1" applyFont="1" applyFill="1" applyBorder="1" applyAlignment="1">
      <alignment horizontal="center" vertical="center"/>
    </xf>
    <xf numFmtId="0" fontId="30" fillId="0" borderId="0" xfId="0" applyFont="1" applyFill="1" applyBorder="1" applyAlignment="1">
      <alignment horizontal="center" vertical="center"/>
    </xf>
    <xf numFmtId="0" fontId="29" fillId="0" borderId="0" xfId="0" quotePrefix="1" applyFont="1" applyFill="1" applyBorder="1" applyAlignment="1">
      <alignment vertical="center"/>
    </xf>
    <xf numFmtId="176" fontId="47" fillId="5" borderId="24" xfId="2" applyNumberFormat="1" applyFont="1" applyFill="1" applyBorder="1" applyAlignment="1">
      <alignment horizontal="center" vertical="center"/>
    </xf>
    <xf numFmtId="176" fontId="47" fillId="2" borderId="25" xfId="2" applyNumberFormat="1" applyFont="1" applyFill="1" applyBorder="1" applyAlignment="1">
      <alignment horizontal="center" vertical="center"/>
    </xf>
    <xf numFmtId="176" fontId="47" fillId="5" borderId="25" xfId="2" applyNumberFormat="1" applyFont="1" applyFill="1" applyBorder="1" applyAlignment="1">
      <alignment horizontal="center" vertical="center"/>
    </xf>
    <xf numFmtId="176" fontId="47" fillId="2" borderId="26" xfId="2" applyNumberFormat="1" applyFont="1" applyFill="1" applyBorder="1" applyAlignment="1">
      <alignment horizontal="center" vertical="center"/>
    </xf>
    <xf numFmtId="176" fontId="46" fillId="5" borderId="23" xfId="2" applyNumberFormat="1" applyFont="1" applyFill="1" applyBorder="1" applyAlignment="1">
      <alignment horizontal="center" vertical="center"/>
    </xf>
    <xf numFmtId="0" fontId="30" fillId="2" borderId="151" xfId="0" quotePrefix="1" applyFont="1" applyFill="1" applyBorder="1" applyAlignment="1">
      <alignment vertical="center" wrapText="1"/>
    </xf>
    <xf numFmtId="0" fontId="30" fillId="0" borderId="0" xfId="0" applyFont="1" applyAlignment="1">
      <alignment horizontal="left" vertical="center"/>
    </xf>
    <xf numFmtId="0" fontId="30" fillId="0" borderId="0" xfId="0" quotePrefix="1" applyFont="1" applyFill="1" applyBorder="1" applyAlignment="1">
      <alignment vertical="center"/>
    </xf>
    <xf numFmtId="175" fontId="49" fillId="0" borderId="0" xfId="0" applyNumberFormat="1" applyFont="1"/>
    <xf numFmtId="1" fontId="8" fillId="0" borderId="0" xfId="0" applyNumberFormat="1" applyFont="1" applyAlignment="1">
      <alignment horizontal="center" vertical="center"/>
    </xf>
    <xf numFmtId="165" fontId="8" fillId="0" borderId="0" xfId="0" applyNumberFormat="1" applyFont="1" applyAlignment="1">
      <alignment horizontal="right" vertical="center"/>
    </xf>
    <xf numFmtId="166" fontId="8" fillId="0" borderId="0" xfId="0" applyNumberFormat="1" applyFont="1" applyAlignment="1">
      <alignment horizontal="right" vertical="center"/>
    </xf>
    <xf numFmtId="167" fontId="8" fillId="0" borderId="0" xfId="2" applyNumberFormat="1" applyFont="1" applyAlignment="1">
      <alignment horizontal="right" vertical="center"/>
    </xf>
    <xf numFmtId="0" fontId="0" fillId="0" borderId="0" xfId="0" applyFont="1" applyAlignment="1">
      <alignment horizontal="right"/>
    </xf>
    <xf numFmtId="166" fontId="41" fillId="0" borderId="0" xfId="0" applyNumberFormat="1" applyFont="1" applyAlignment="1">
      <alignment horizontal="right" vertical="center"/>
    </xf>
    <xf numFmtId="166" fontId="41" fillId="0" borderId="0" xfId="7" applyNumberFormat="1" applyFont="1" applyAlignment="1">
      <alignment vertical="center"/>
    </xf>
    <xf numFmtId="0" fontId="71" fillId="0" borderId="0" xfId="0" applyFont="1" applyAlignment="1">
      <alignment vertical="center"/>
    </xf>
    <xf numFmtId="0" fontId="72" fillId="0" borderId="0" xfId="0" applyFont="1" applyAlignment="1">
      <alignment vertical="center"/>
    </xf>
    <xf numFmtId="0" fontId="72" fillId="0" borderId="0" xfId="0" applyFont="1" applyAlignment="1">
      <alignment horizontal="right" vertical="center"/>
    </xf>
    <xf numFmtId="14" fontId="71" fillId="0" borderId="0" xfId="0" applyNumberFormat="1" applyFont="1" applyAlignment="1">
      <alignment vertical="center"/>
    </xf>
    <xf numFmtId="0" fontId="71" fillId="0" borderId="0" xfId="0" applyFont="1" applyAlignment="1">
      <alignment horizontal="center" vertical="center"/>
    </xf>
    <xf numFmtId="0" fontId="72" fillId="0" borderId="0" xfId="0" applyFont="1" applyAlignment="1">
      <alignment horizontal="justify" vertical="center"/>
    </xf>
    <xf numFmtId="0" fontId="62" fillId="0" borderId="0" xfId="0" applyFont="1" applyAlignment="1">
      <alignment vertical="center"/>
    </xf>
    <xf numFmtId="17" fontId="62" fillId="0" borderId="0" xfId="0" applyNumberFormat="1" applyFont="1" applyAlignment="1">
      <alignment horizontal="center" vertical="center"/>
    </xf>
    <xf numFmtId="2" fontId="62" fillId="0" borderId="0" xfId="0" applyNumberFormat="1" applyFont="1" applyAlignment="1">
      <alignment horizontal="center" vertical="center"/>
    </xf>
    <xf numFmtId="0" fontId="62" fillId="0" borderId="0" xfId="0" quotePrefix="1" applyFont="1" applyAlignment="1">
      <alignment vertical="center" wrapText="1"/>
    </xf>
    <xf numFmtId="2" fontId="62" fillId="0" borderId="0" xfId="0" quotePrefix="1" applyNumberFormat="1" applyFont="1" applyAlignment="1">
      <alignment horizontal="center" vertical="center" wrapText="1"/>
    </xf>
    <xf numFmtId="2" fontId="72" fillId="0" borderId="0" xfId="0" applyNumberFormat="1" applyFont="1" applyAlignment="1">
      <alignment vertical="center"/>
    </xf>
    <xf numFmtId="0" fontId="73" fillId="0" borderId="0" xfId="0" applyFont="1" applyAlignment="1">
      <alignment vertical="center"/>
    </xf>
    <xf numFmtId="1" fontId="41" fillId="0" borderId="0" xfId="0" applyNumberFormat="1" applyFont="1"/>
    <xf numFmtId="165" fontId="41" fillId="0" borderId="0" xfId="0" applyNumberFormat="1" applyFont="1" applyAlignment="1">
      <alignment horizontal="right"/>
    </xf>
    <xf numFmtId="167" fontId="41" fillId="0" borderId="0" xfId="2" applyNumberFormat="1" applyFont="1" applyAlignment="1">
      <alignment horizontal="right"/>
    </xf>
    <xf numFmtId="166" fontId="41" fillId="0" borderId="0" xfId="0" applyNumberFormat="1" applyFont="1" applyAlignment="1">
      <alignment horizontal="right"/>
    </xf>
    <xf numFmtId="0" fontId="30" fillId="0" borderId="0" xfId="0" applyFont="1" applyAlignment="1">
      <alignment horizontal="left" vertical="center"/>
    </xf>
    <xf numFmtId="0" fontId="57" fillId="0" borderId="0" xfId="0" applyFont="1" applyAlignment="1">
      <alignment vertical="center"/>
    </xf>
    <xf numFmtId="49" fontId="60" fillId="0" borderId="0" xfId="0" applyNumberFormat="1" applyFont="1" applyAlignment="1">
      <alignment horizontal="right"/>
    </xf>
    <xf numFmtId="1" fontId="60" fillId="0" borderId="0" xfId="0" applyNumberFormat="1" applyFont="1" applyAlignment="1">
      <alignment horizontal="right"/>
    </xf>
    <xf numFmtId="0" fontId="60" fillId="0" borderId="0" xfId="0" applyFont="1" applyAlignment="1">
      <alignment horizontal="right"/>
    </xf>
    <xf numFmtId="1" fontId="60" fillId="0" borderId="0" xfId="0" applyNumberFormat="1" applyFont="1"/>
    <xf numFmtId="1" fontId="75" fillId="0" borderId="0" xfId="0" applyNumberFormat="1" applyFont="1" applyAlignment="1">
      <alignment horizontal="right"/>
    </xf>
    <xf numFmtId="2" fontId="41" fillId="0" borderId="0" xfId="0" applyNumberFormat="1" applyFont="1" applyAlignment="1">
      <alignment horizontal="right"/>
    </xf>
    <xf numFmtId="0" fontId="51" fillId="0" borderId="30" xfId="0" applyFont="1" applyBorder="1" applyAlignment="1">
      <alignment vertical="center" wrapText="1"/>
    </xf>
    <xf numFmtId="0" fontId="30" fillId="0" borderId="0" xfId="0" applyFont="1" applyBorder="1" applyAlignment="1">
      <alignment vertical="center"/>
    </xf>
    <xf numFmtId="43" fontId="30" fillId="0" borderId="0" xfId="1" applyFont="1" applyBorder="1" applyAlignment="1">
      <alignment vertical="center"/>
    </xf>
    <xf numFmtId="10" fontId="30" fillId="0" borderId="0" xfId="2" applyNumberFormat="1" applyFont="1" applyBorder="1" applyAlignment="1">
      <alignment vertical="center"/>
    </xf>
    <xf numFmtId="0" fontId="51" fillId="0" borderId="0" xfId="0" applyFont="1" applyAlignment="1">
      <alignment vertical="center"/>
    </xf>
    <xf numFmtId="0" fontId="32" fillId="0" borderId="0" xfId="9" applyFont="1" applyBorder="1" applyAlignment="1">
      <alignment vertical="center" wrapText="1"/>
    </xf>
    <xf numFmtId="49" fontId="27" fillId="0" borderId="0" xfId="9" applyNumberFormat="1" applyFont="1" applyBorder="1" applyAlignment="1">
      <alignment horizontal="center" vertical="center"/>
    </xf>
    <xf numFmtId="0" fontId="29" fillId="0" borderId="0" xfId="9" applyFont="1" applyBorder="1" applyAlignment="1">
      <alignment vertical="center"/>
    </xf>
    <xf numFmtId="0" fontId="30" fillId="0" borderId="0" xfId="9" applyFont="1" applyBorder="1" applyAlignment="1">
      <alignment horizontal="center" vertical="center" wrapText="1"/>
    </xf>
    <xf numFmtId="22" fontId="30" fillId="0" borderId="0" xfId="9" applyNumberFormat="1" applyFont="1" applyBorder="1" applyAlignment="1">
      <alignment horizontal="center" vertical="center" wrapText="1"/>
    </xf>
    <xf numFmtId="0" fontId="45" fillId="0" borderId="0" xfId="9" applyFont="1" applyBorder="1" applyAlignment="1">
      <alignment horizontal="justify" vertical="center" wrapText="1"/>
    </xf>
    <xf numFmtId="0" fontId="29" fillId="0" borderId="0" xfId="9" applyFont="1" applyBorder="1" applyAlignment="1">
      <alignment horizontal="center" vertical="center"/>
    </xf>
    <xf numFmtId="0" fontId="41" fillId="0" borderId="0" xfId="0" applyFont="1" applyAlignment="1">
      <alignment vertical="center" wrapText="1"/>
    </xf>
    <xf numFmtId="0" fontId="76" fillId="0" borderId="93" xfId="0" applyFont="1" applyBorder="1"/>
    <xf numFmtId="174" fontId="76" fillId="0" borderId="93" xfId="0" applyNumberFormat="1" applyFont="1" applyBorder="1"/>
    <xf numFmtId="174" fontId="76" fillId="11" borderId="93" xfId="0" applyNumberFormat="1" applyFont="1" applyFill="1" applyBorder="1"/>
    <xf numFmtId="43" fontId="47" fillId="0" borderId="78" xfId="1" applyFont="1" applyBorder="1" applyAlignment="1">
      <alignment horizontal="center" vertical="center" wrapText="1"/>
    </xf>
    <xf numFmtId="0" fontId="12" fillId="0" borderId="0" xfId="0" applyFont="1" applyAlignment="1">
      <alignment horizontal="center" vertical="center"/>
    </xf>
    <xf numFmtId="0" fontId="61"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46" fillId="5" borderId="38" xfId="0" applyFont="1" applyFill="1" applyBorder="1" applyAlignment="1">
      <alignment horizontal="left" vertical="center"/>
    </xf>
    <xf numFmtId="0" fontId="46"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12" fillId="2" borderId="0" xfId="0" applyFont="1" applyFill="1" applyAlignment="1">
      <alignment horizontal="center" vertical="center" wrapText="1"/>
    </xf>
    <xf numFmtId="0" fontId="46" fillId="5" borderId="27" xfId="0" applyFont="1" applyFill="1" applyBorder="1" applyAlignment="1">
      <alignment horizontal="left" vertical="center"/>
    </xf>
    <xf numFmtId="0" fontId="46" fillId="5" borderId="29" xfId="0" applyFont="1" applyFill="1" applyBorder="1" applyAlignment="1">
      <alignment horizontal="left" vertical="center"/>
    </xf>
    <xf numFmtId="0" fontId="46" fillId="2" borderId="30" xfId="0" applyFont="1" applyFill="1" applyBorder="1" applyAlignment="1">
      <alignment horizontal="left" vertical="center"/>
    </xf>
    <xf numFmtId="0" fontId="46" fillId="2" borderId="31" xfId="0" applyFont="1" applyFill="1" applyBorder="1" applyAlignment="1">
      <alignment horizontal="left" vertical="center"/>
    </xf>
    <xf numFmtId="0" fontId="46" fillId="5" borderId="30" xfId="0" applyFont="1" applyFill="1" applyBorder="1" applyAlignment="1">
      <alignment horizontal="left" vertical="center"/>
    </xf>
    <xf numFmtId="0" fontId="46" fillId="5" borderId="31" xfId="0" applyFont="1" applyFill="1" applyBorder="1" applyAlignment="1">
      <alignment horizontal="left" vertical="center"/>
    </xf>
    <xf numFmtId="0" fontId="46" fillId="2" borderId="32" xfId="0" applyFont="1" applyFill="1" applyBorder="1" applyAlignment="1">
      <alignment horizontal="left" vertical="center"/>
    </xf>
    <xf numFmtId="0" fontId="46" fillId="2" borderId="34"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54" fillId="2" borderId="0" xfId="0" applyFont="1" applyFill="1" applyAlignment="1">
      <alignment horizontal="left" vertical="center"/>
    </xf>
    <xf numFmtId="43" fontId="47" fillId="0" borderId="78"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7"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39" fillId="8" borderId="155" xfId="0" applyFont="1" applyFill="1" applyBorder="1" applyAlignment="1">
      <alignment horizontal="center" vertical="center"/>
    </xf>
    <xf numFmtId="0" fontId="39" fillId="8" borderId="156" xfId="0" applyFont="1" applyFill="1" applyBorder="1" applyAlignment="1">
      <alignment horizontal="center" vertical="center"/>
    </xf>
    <xf numFmtId="0" fontId="39" fillId="8" borderId="157" xfId="0" applyFont="1" applyFill="1" applyBorder="1" applyAlignment="1">
      <alignment horizontal="center" vertical="center"/>
    </xf>
    <xf numFmtId="174" fontId="39" fillId="8" borderId="152" xfId="0" applyNumberFormat="1" applyFont="1" applyFill="1" applyBorder="1" applyAlignment="1">
      <alignment horizontal="center"/>
    </xf>
    <xf numFmtId="174" fontId="39" fillId="8" borderId="153" xfId="0" applyNumberFormat="1" applyFont="1" applyFill="1" applyBorder="1" applyAlignment="1">
      <alignment horizontal="center"/>
    </xf>
    <xf numFmtId="174" fontId="39" fillId="8" borderId="154" xfId="0" applyNumberFormat="1" applyFont="1" applyFill="1" applyBorder="1" applyAlignment="1">
      <alignment horizontal="center"/>
    </xf>
    <xf numFmtId="0" fontId="77" fillId="2" borderId="0" xfId="0" applyFont="1" applyFill="1" applyAlignment="1">
      <alignment vertical="center" wrapText="1"/>
    </xf>
    <xf numFmtId="0" fontId="55" fillId="0" borderId="0" xfId="0" applyFont="1" applyAlignment="1">
      <alignment vertical="center"/>
    </xf>
    <xf numFmtId="49" fontId="55" fillId="0" borderId="0" xfId="0" applyNumberFormat="1" applyFont="1" applyAlignment="1">
      <alignment horizontal="right" vertical="center"/>
    </xf>
    <xf numFmtId="1" fontId="55" fillId="0" borderId="0" xfId="0" applyNumberFormat="1" applyFont="1" applyAlignment="1">
      <alignment horizontal="right" vertical="center" wrapText="1"/>
    </xf>
    <xf numFmtId="0" fontId="55" fillId="0" borderId="0" xfId="0" applyFont="1" applyAlignment="1">
      <alignment vertical="center" wrapText="1"/>
    </xf>
    <xf numFmtId="49" fontId="55" fillId="0" borderId="0" xfId="0" applyNumberFormat="1" applyFont="1" applyAlignment="1">
      <alignment horizontal="center" vertical="center"/>
    </xf>
    <xf numFmtId="0" fontId="55" fillId="2" borderId="0" xfId="0" applyFont="1" applyFill="1"/>
    <xf numFmtId="0" fontId="41" fillId="2" borderId="0" xfId="0" applyFont="1" applyFill="1" applyAlignment="1">
      <alignment horizontal="right"/>
    </xf>
    <xf numFmtId="0" fontId="30" fillId="0" borderId="0" xfId="0" quotePrefix="1" applyFont="1" applyAlignment="1">
      <alignment vertical="center"/>
    </xf>
  </cellXfs>
  <cellStyles count="11">
    <cellStyle name="Comma" xfId="1" xr:uid="{9BCC24FE-5DE2-45CE-B0FE-4BFB8519D0F5}"/>
    <cellStyle name="Millares 2" xfId="10" xr:uid="{6056FAAB-A910-4673-96C4-279031F9CDE7}"/>
    <cellStyle name="Moneda" xfId="7" builtinId="4"/>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orcentaje" xfId="2" builtinId="5"/>
  </cellStyles>
  <dxfs count="0"/>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2161.5951565824998</c:v>
                </c:pt>
                <c:pt idx="1">
                  <c:v>2050.4336159999998</c:v>
                </c:pt>
                <c:pt idx="2">
                  <c:v>0</c:v>
                </c:pt>
                <c:pt idx="3">
                  <c:v>4.0630857574999997</c:v>
                </c:pt>
                <c:pt idx="4">
                  <c:v>33.762957344999997</c:v>
                </c:pt>
                <c:pt idx="5">
                  <c:v>134.0867127425</c:v>
                </c:pt>
                <c:pt idx="6">
                  <c:v>54.256861282500005</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2050.4336159999998</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4.0630857574999997</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33.762957344999997</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134.0867127425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54.256861282500005</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RER'!$O$36:$O$42</c:f>
              <c:numCache>
                <c:formatCode>0.00</c:formatCode>
                <c:ptCount val="7"/>
                <c:pt idx="0">
                  <c:v>43.498279457500004</c:v>
                </c:pt>
                <c:pt idx="1">
                  <c:v>38.573131142500003</c:v>
                </c:pt>
                <c:pt idx="2">
                  <c:v>16.157776547499999</c:v>
                </c:pt>
                <c:pt idx="3">
                  <c:v>13.23948869</c:v>
                </c:pt>
                <c:pt idx="4">
                  <c:v>12.326949584999999</c:v>
                </c:pt>
                <c:pt idx="5">
                  <c:v>6.0990137850000004</c:v>
                </c:pt>
                <c:pt idx="6">
                  <c:v>4.1920735350000005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RER'!$L$36:$L$42</c:f>
              <c:strCache>
                <c:ptCount val="7"/>
                <c:pt idx="0">
                  <c:v>C.E. WAYRA I</c:v>
                </c:pt>
                <c:pt idx="1">
                  <c:v>C.E. TRES HERMANAS</c:v>
                </c:pt>
                <c:pt idx="2">
                  <c:v>C.E. CUPISNIQUE</c:v>
                </c:pt>
                <c:pt idx="3">
                  <c:v>C.E. MARCONA</c:v>
                </c:pt>
                <c:pt idx="4">
                  <c:v>C.E. TALARA</c:v>
                </c:pt>
                <c:pt idx="5">
                  <c:v>C.E. DUNA</c:v>
                </c:pt>
                <c:pt idx="6">
                  <c:v>C.E. HUAMBOS</c:v>
                </c:pt>
              </c:strCache>
            </c:strRef>
          </c:cat>
          <c:val>
            <c:numRef>
              <c:f>'6. FP RER'!$P$36:$P$42</c:f>
              <c:numCache>
                <c:formatCode>0.00</c:formatCode>
                <c:ptCount val="7"/>
                <c:pt idx="0">
                  <c:v>0.44191556597400006</c:v>
                </c:pt>
                <c:pt idx="1">
                  <c:v>0.53366553138783279</c:v>
                </c:pt>
                <c:pt idx="2">
                  <c:v>0.261183903741457</c:v>
                </c:pt>
                <c:pt idx="3">
                  <c:v>0.55609411500336026</c:v>
                </c:pt>
                <c:pt idx="4">
                  <c:v>0.53689178953337657</c:v>
                </c:pt>
                <c:pt idx="5">
                  <c:v>0.44624927454475211</c:v>
                </c:pt>
                <c:pt idx="6">
                  <c:v>0.30672332278258735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RER'!$L$43:$L$49</c:f>
              <c:strCache>
                <c:ptCount val="7"/>
                <c:pt idx="0">
                  <c:v>C.S. RUBI</c:v>
                </c:pt>
                <c:pt idx="1">
                  <c:v>C.S. INTIPAMPA</c:v>
                </c:pt>
                <c:pt idx="2">
                  <c:v>C.S. PANAMERICANA SOLAR</c:v>
                </c:pt>
                <c:pt idx="3">
                  <c:v>C.S. TACNA SOLAR</c:v>
                </c:pt>
                <c:pt idx="4">
                  <c:v>C.S. REPARTICION</c:v>
                </c:pt>
                <c:pt idx="5">
                  <c:v>C.S. MAJES SOLAR</c:v>
                </c:pt>
                <c:pt idx="6">
                  <c:v>C.S. MOQUEGUA FV</c:v>
                </c:pt>
              </c:strCache>
            </c:strRef>
          </c:cat>
          <c:val>
            <c:numRef>
              <c:f>'6. FP RER'!$O$43:$O$49</c:f>
              <c:numCache>
                <c:formatCode>0.00</c:formatCode>
                <c:ptCount val="7"/>
                <c:pt idx="0">
                  <c:v>29.6899954975</c:v>
                </c:pt>
                <c:pt idx="1">
                  <c:v>7.3651776399999997</c:v>
                </c:pt>
                <c:pt idx="2">
                  <c:v>3.9085683924999999</c:v>
                </c:pt>
                <c:pt idx="3">
                  <c:v>3.4419913625</c:v>
                </c:pt>
                <c:pt idx="4">
                  <c:v>3.3025214825</c:v>
                </c:pt>
                <c:pt idx="5">
                  <c:v>3.2769572999999999</c:v>
                </c:pt>
                <c:pt idx="6">
                  <c:v>3.2716496075000001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RER'!$L$43:$L$49</c:f>
              <c:strCache>
                <c:ptCount val="7"/>
                <c:pt idx="0">
                  <c:v>C.S. RUBI</c:v>
                </c:pt>
                <c:pt idx="1">
                  <c:v>C.S. INTIPAMPA</c:v>
                </c:pt>
                <c:pt idx="2">
                  <c:v>C.S. PANAMERICANA SOLAR</c:v>
                </c:pt>
                <c:pt idx="3">
                  <c:v>C.S. TACNA SOLAR</c:v>
                </c:pt>
                <c:pt idx="4">
                  <c:v>C.S. REPARTICION</c:v>
                </c:pt>
                <c:pt idx="5">
                  <c:v>C.S. MAJES SOLAR</c:v>
                </c:pt>
                <c:pt idx="6">
                  <c:v>C.S. MOQUEGUA FV</c:v>
                </c:pt>
              </c:strCache>
            </c:strRef>
          </c:cat>
          <c:val>
            <c:numRef>
              <c:f>'6. FP RER'!$P$43:$P$49</c:f>
              <c:numCache>
                <c:formatCode>0.00</c:formatCode>
                <c:ptCount val="7"/>
                <c:pt idx="0">
                  <c:v>0.27620368166353348</c:v>
                </c:pt>
                <c:pt idx="1">
                  <c:v>0.22225936937197927</c:v>
                </c:pt>
                <c:pt idx="2">
                  <c:v>0.26267260702284945</c:v>
                </c:pt>
                <c:pt idx="3">
                  <c:v>0.23131662382392473</c:v>
                </c:pt>
                <c:pt idx="4">
                  <c:v>0.2219436480174731</c:v>
                </c:pt>
                <c:pt idx="5">
                  <c:v>0.22022562500000001</c:v>
                </c:pt>
                <c:pt idx="6">
                  <c:v>0.27483615654401883</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RER'!$L$50:$L$54</c:f>
              <c:strCache>
                <c:ptCount val="5"/>
                <c:pt idx="0">
                  <c:v>C.T. PARAMONGA</c:v>
                </c:pt>
                <c:pt idx="1">
                  <c:v>C.T. HUAYCOLORO</c:v>
                </c:pt>
                <c:pt idx="2">
                  <c:v>C.T. LA GRINGA</c:v>
                </c:pt>
                <c:pt idx="3">
                  <c:v>C.T. CALLAO</c:v>
                </c:pt>
                <c:pt idx="4">
                  <c:v>C.T. DOÑA CATALINA</c:v>
                </c:pt>
              </c:strCache>
            </c:strRef>
          </c:cat>
          <c:val>
            <c:numRef>
              <c:f>'6. FP RER'!$O$50:$O$54</c:f>
              <c:numCache>
                <c:formatCode>0.00</c:formatCode>
                <c:ptCount val="5"/>
                <c:pt idx="0">
                  <c:v>9.6311175724999991</c:v>
                </c:pt>
                <c:pt idx="1">
                  <c:v>2.0990672500000001</c:v>
                </c:pt>
                <c:pt idx="2">
                  <c:v>1.7365401999999999</c:v>
                </c:pt>
                <c:pt idx="3">
                  <c:v>1.4166322249999999</c:v>
                </c:pt>
                <c:pt idx="4">
                  <c:v>0.47790939999999998</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RER'!$L$50:$L$53</c:f>
              <c:strCache>
                <c:ptCount val="4"/>
                <c:pt idx="0">
                  <c:v>C.T. PARAMONGA</c:v>
                </c:pt>
                <c:pt idx="1">
                  <c:v>C.T. HUAYCOLORO</c:v>
                </c:pt>
                <c:pt idx="2">
                  <c:v>C.T. LA GRINGA</c:v>
                </c:pt>
                <c:pt idx="3">
                  <c:v>C.T. CALLAO</c:v>
                </c:pt>
              </c:strCache>
            </c:strRef>
          </c:cat>
          <c:val>
            <c:numRef>
              <c:f>'6. FP RER'!$P$50:$P$54</c:f>
              <c:numCache>
                <c:formatCode>0.00</c:formatCode>
                <c:ptCount val="5"/>
                <c:pt idx="0">
                  <c:v>1.01601127855805</c:v>
                </c:pt>
                <c:pt idx="1">
                  <c:v>0.66189488537823604</c:v>
                </c:pt>
                <c:pt idx="2">
                  <c:v>0.790215461489708</c:v>
                </c:pt>
                <c:pt idx="3">
                  <c:v>0.79336482134856623</c:v>
                </c:pt>
                <c:pt idx="4">
                  <c:v>0.26764639336917562</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2021</c:v>
                </c:pt>
              </c:strCache>
            </c:strRef>
          </c:tx>
          <c:spPr>
            <a:solidFill>
              <a:srgbClr val="0077A5"/>
            </a:solidFill>
          </c:spPr>
          <c:invertIfNegative val="0"/>
          <c:cat>
            <c:multiLvlStrRef>
              <c:f>'6. FP RER'!$S$6:$T$54</c:f>
              <c:multiLvlStrCache>
                <c:ptCount val="49"/>
                <c:lvl>
                  <c:pt idx="0">
                    <c:v>C.H. YARUCAYA</c:v>
                  </c:pt>
                  <c:pt idx="1">
                    <c:v>C.H. RENOVANDES H1</c:v>
                  </c:pt>
                  <c:pt idx="2">
                    <c:v>C.H. CHANCAY</c:v>
                  </c:pt>
                  <c:pt idx="3">
                    <c:v>C.H. ZAÑA</c:v>
                  </c:pt>
                  <c:pt idx="4">
                    <c:v>C.H. RUCUY</c:v>
                  </c:pt>
                  <c:pt idx="5">
                    <c:v>C.H. LAS PIZARRAS</c:v>
                  </c:pt>
                  <c:pt idx="6">
                    <c:v>C.H. YANAPAMPA</c:v>
                  </c:pt>
                  <c:pt idx="7">
                    <c:v>C.H. CARHUAQUERO IV</c:v>
                  </c:pt>
                  <c:pt idx="8">
                    <c:v>C.H. POTRERO</c:v>
                  </c:pt>
                  <c:pt idx="9">
                    <c:v>C.H. CAÑA BRAVA</c:v>
                  </c:pt>
                  <c:pt idx="10">
                    <c:v>C.H. ÁNGEL II</c:v>
                  </c:pt>
                  <c:pt idx="11">
                    <c:v>C.H. RUNATULLO III</c:v>
                  </c:pt>
                  <c:pt idx="12">
                    <c:v>C.H. ÁNGEL III</c:v>
                  </c:pt>
                  <c:pt idx="13">
                    <c:v>C.H. HUASAHUASI II</c:v>
                  </c:pt>
                  <c:pt idx="14">
                    <c:v>C.H. LA JOYA</c:v>
                  </c:pt>
                  <c:pt idx="15">
                    <c:v>C.H. ÁNGEL I</c:v>
                  </c:pt>
                  <c:pt idx="16">
                    <c:v>C.H. IMPERIAL</c:v>
                  </c:pt>
                  <c:pt idx="17">
                    <c:v>C.H. HUASAHUASI I</c:v>
                  </c:pt>
                  <c:pt idx="18">
                    <c:v>C.H. CARHUAC</c:v>
                  </c:pt>
                  <c:pt idx="19">
                    <c:v>C.H. EL CARMEN</c:v>
                  </c:pt>
                  <c:pt idx="20">
                    <c:v>C.H. RUNATULLO II</c:v>
                  </c:pt>
                  <c:pt idx="21">
                    <c:v>C.H. RONCADOR</c:v>
                  </c:pt>
                  <c:pt idx="22">
                    <c:v>C.H. SANTA CRUZ II</c:v>
                  </c:pt>
                  <c:pt idx="23">
                    <c:v>C.H. SANTA CRUZ I</c:v>
                  </c:pt>
                  <c:pt idx="24">
                    <c:v>C.H. POECHOS II</c:v>
                  </c:pt>
                  <c:pt idx="25">
                    <c:v>C.H. 8 DE AGOSTO</c:v>
                  </c:pt>
                  <c:pt idx="26">
                    <c:v>C.H. CANCHAYLLO</c:v>
                  </c:pt>
                  <c:pt idx="27">
                    <c:v>C.H. MANTA I</c:v>
                  </c:pt>
                  <c:pt idx="28">
                    <c:v>C.H. HER 1</c:v>
                  </c:pt>
                  <c:pt idx="29">
                    <c:v>C.H. PURMACANA</c:v>
                  </c:pt>
                  <c:pt idx="30">
                    <c:v>C.E. MARCONA</c:v>
                  </c:pt>
                  <c:pt idx="31">
                    <c:v>C.E. TRES HERMANAS</c:v>
                  </c:pt>
                  <c:pt idx="32">
                    <c:v>C.E. WAYRA I</c:v>
                  </c:pt>
                  <c:pt idx="33">
                    <c:v>C.E. TALARA</c:v>
                  </c:pt>
                  <c:pt idx="34">
                    <c:v>C.E. CUPISNIQUE</c:v>
                  </c:pt>
                  <c:pt idx="35">
                    <c:v>C.E. DUNA</c:v>
                  </c:pt>
                  <c:pt idx="36">
                    <c:v>C.E. HUAMBOS</c:v>
                  </c:pt>
                  <c:pt idx="37">
                    <c:v>C.S. MOQUEGUA FV</c:v>
                  </c:pt>
                  <c:pt idx="38">
                    <c:v>C.S. RUBI</c:v>
                  </c:pt>
                  <c:pt idx="39">
                    <c:v>C.S. PANAMERICANA SOLAR</c:v>
                  </c:pt>
                  <c:pt idx="40">
                    <c:v>C.S. TACNA SOLAR</c:v>
                  </c:pt>
                  <c:pt idx="41">
                    <c:v>C.S. INTIPAMPA</c:v>
                  </c:pt>
                  <c:pt idx="42">
                    <c:v>C.S. REPARTICION</c:v>
                  </c:pt>
                  <c:pt idx="43">
                    <c:v>C.S. MAJES SOLAR</c:v>
                  </c:pt>
                  <c:pt idx="44">
                    <c:v>C.T. LA GRINGA</c:v>
                  </c:pt>
                  <c:pt idx="45">
                    <c:v>C.T. HUAYCOLORO</c:v>
                  </c:pt>
                  <c:pt idx="46">
                    <c:v>C.T. PARAMONGA</c:v>
                  </c:pt>
                  <c:pt idx="47">
                    <c:v>C.T. DOÑA CATALINA</c:v>
                  </c:pt>
                  <c:pt idx="48">
                    <c:v>C.T. CALLAO</c:v>
                  </c:pt>
                </c:lvl>
                <c:lvl>
                  <c:pt idx="0">
                    <c:v>HIDROELÉCTRICAS</c:v>
                  </c:pt>
                  <c:pt idx="30">
                    <c:v>EÓLICAS</c:v>
                  </c:pt>
                  <c:pt idx="35">
                    <c:v>SOLARES</c:v>
                  </c:pt>
                  <c:pt idx="44">
                    <c:v>TERMOELÉCTRICAS</c:v>
                  </c:pt>
                </c:lvl>
              </c:multiLvlStrCache>
            </c:multiLvlStrRef>
          </c:cat>
          <c:val>
            <c:numRef>
              <c:f>'6. FP RER'!$U$6:$U$54</c:f>
              <c:numCache>
                <c:formatCode>0.000</c:formatCode>
                <c:ptCount val="49"/>
                <c:pt idx="0">
                  <c:v>1</c:v>
                </c:pt>
                <c:pt idx="1">
                  <c:v>0.96356886092406091</c:v>
                </c:pt>
                <c:pt idx="2">
                  <c:v>0.95921939735842521</c:v>
                </c:pt>
                <c:pt idx="3">
                  <c:v>0.93736525156754502</c:v>
                </c:pt>
                <c:pt idx="4">
                  <c:v>0.90331060974907929</c:v>
                </c:pt>
                <c:pt idx="5">
                  <c:v>0.89434485850373924</c:v>
                </c:pt>
                <c:pt idx="6">
                  <c:v>0.89359154923426054</c:v>
                </c:pt>
                <c:pt idx="7">
                  <c:v>0.89258490688774961</c:v>
                </c:pt>
                <c:pt idx="8">
                  <c:v>0.88340288857963856</c:v>
                </c:pt>
                <c:pt idx="9">
                  <c:v>0.8626714885377792</c:v>
                </c:pt>
                <c:pt idx="10">
                  <c:v>0.84198601902431902</c:v>
                </c:pt>
                <c:pt idx="11">
                  <c:v>0.83536515362257646</c:v>
                </c:pt>
                <c:pt idx="12">
                  <c:v>0.83098565343827269</c:v>
                </c:pt>
                <c:pt idx="13">
                  <c:v>0.79969386147174026</c:v>
                </c:pt>
                <c:pt idx="14">
                  <c:v>0.79870274108580497</c:v>
                </c:pt>
                <c:pt idx="15">
                  <c:v>0.79541096823434032</c:v>
                </c:pt>
                <c:pt idx="16">
                  <c:v>0.77791514050022947</c:v>
                </c:pt>
                <c:pt idx="17">
                  <c:v>0.77785482350356661</c:v>
                </c:pt>
                <c:pt idx="18">
                  <c:v>0.74651148434622472</c:v>
                </c:pt>
                <c:pt idx="19">
                  <c:v>0.72973511370075594</c:v>
                </c:pt>
                <c:pt idx="20">
                  <c:v>0.71138494517911288</c:v>
                </c:pt>
                <c:pt idx="21">
                  <c:v>0.69266492327903739</c:v>
                </c:pt>
                <c:pt idx="22">
                  <c:v>0.69179606561654106</c:v>
                </c:pt>
                <c:pt idx="23">
                  <c:v>0.67935377102459527</c:v>
                </c:pt>
                <c:pt idx="24">
                  <c:v>0.67819389027533439</c:v>
                </c:pt>
                <c:pt idx="25">
                  <c:v>0.65979033827586553</c:v>
                </c:pt>
                <c:pt idx="26">
                  <c:v>0.65346431977600294</c:v>
                </c:pt>
                <c:pt idx="27">
                  <c:v>0.55710732366482496</c:v>
                </c:pt>
                <c:pt idx="28">
                  <c:v>0.45284137726913981</c:v>
                </c:pt>
                <c:pt idx="29">
                  <c:v>0.25001480233468931</c:v>
                </c:pt>
                <c:pt idx="30">
                  <c:v>0.64485289684766334</c:v>
                </c:pt>
                <c:pt idx="31">
                  <c:v>0.6105069610214785</c:v>
                </c:pt>
                <c:pt idx="32">
                  <c:v>0.49951754734812887</c:v>
                </c:pt>
                <c:pt idx="33">
                  <c:v>0.40277185111816094</c:v>
                </c:pt>
                <c:pt idx="34">
                  <c:v>0.40005060845185364</c:v>
                </c:pt>
                <c:pt idx="35">
                  <c:v>0.22526203770259587</c:v>
                </c:pt>
                <c:pt idx="36">
                  <c:v>0.16128854458335964</c:v>
                </c:pt>
                <c:pt idx="37">
                  <c:v>0.33201249503625685</c:v>
                </c:pt>
                <c:pt idx="38">
                  <c:v>0.32729608374237001</c:v>
                </c:pt>
                <c:pt idx="39">
                  <c:v>0.3211948695039134</c:v>
                </c:pt>
                <c:pt idx="40">
                  <c:v>0.31290277719267962</c:v>
                </c:pt>
                <c:pt idx="41">
                  <c:v>0.25583823463514077</c:v>
                </c:pt>
                <c:pt idx="42">
                  <c:v>0.23736586320211789</c:v>
                </c:pt>
                <c:pt idx="43">
                  <c:v>0.23619736418047879</c:v>
                </c:pt>
                <c:pt idx="44">
                  <c:v>0.88169674942144216</c:v>
                </c:pt>
                <c:pt idx="45">
                  <c:v>0.86261552375474582</c:v>
                </c:pt>
                <c:pt idx="46">
                  <c:v>0.8538768363710304</c:v>
                </c:pt>
                <c:pt idx="47" formatCode="General">
                  <c:v>0.69355076518377845</c:v>
                </c:pt>
                <c:pt idx="48" formatCode="General">
                  <c:v>0.63098806903199822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2020</c:v>
                </c:pt>
              </c:strCache>
            </c:strRef>
          </c:tx>
          <c:spPr>
            <a:solidFill>
              <a:schemeClr val="accent2"/>
            </a:solidFill>
          </c:spPr>
          <c:invertIfNegative val="0"/>
          <c:cat>
            <c:multiLvlStrRef>
              <c:f>'6. FP RER'!$S$6:$T$54</c:f>
              <c:multiLvlStrCache>
                <c:ptCount val="49"/>
                <c:lvl>
                  <c:pt idx="0">
                    <c:v>C.H. YARUCAYA</c:v>
                  </c:pt>
                  <c:pt idx="1">
                    <c:v>C.H. RENOVANDES H1</c:v>
                  </c:pt>
                  <c:pt idx="2">
                    <c:v>C.H. CHANCAY</c:v>
                  </c:pt>
                  <c:pt idx="3">
                    <c:v>C.H. ZAÑA</c:v>
                  </c:pt>
                  <c:pt idx="4">
                    <c:v>C.H. RUCUY</c:v>
                  </c:pt>
                  <c:pt idx="5">
                    <c:v>C.H. LAS PIZARRAS</c:v>
                  </c:pt>
                  <c:pt idx="6">
                    <c:v>C.H. YANAPAMPA</c:v>
                  </c:pt>
                  <c:pt idx="7">
                    <c:v>C.H. CARHUAQUERO IV</c:v>
                  </c:pt>
                  <c:pt idx="8">
                    <c:v>C.H. POTRERO</c:v>
                  </c:pt>
                  <c:pt idx="9">
                    <c:v>C.H. CAÑA BRAVA</c:v>
                  </c:pt>
                  <c:pt idx="10">
                    <c:v>C.H. ÁNGEL II</c:v>
                  </c:pt>
                  <c:pt idx="11">
                    <c:v>C.H. RUNATULLO III</c:v>
                  </c:pt>
                  <c:pt idx="12">
                    <c:v>C.H. ÁNGEL III</c:v>
                  </c:pt>
                  <c:pt idx="13">
                    <c:v>C.H. HUASAHUASI II</c:v>
                  </c:pt>
                  <c:pt idx="14">
                    <c:v>C.H. LA JOYA</c:v>
                  </c:pt>
                  <c:pt idx="15">
                    <c:v>C.H. ÁNGEL I</c:v>
                  </c:pt>
                  <c:pt idx="16">
                    <c:v>C.H. IMPERIAL</c:v>
                  </c:pt>
                  <c:pt idx="17">
                    <c:v>C.H. HUASAHUASI I</c:v>
                  </c:pt>
                  <c:pt idx="18">
                    <c:v>C.H. CARHUAC</c:v>
                  </c:pt>
                  <c:pt idx="19">
                    <c:v>C.H. EL CARMEN</c:v>
                  </c:pt>
                  <c:pt idx="20">
                    <c:v>C.H. RUNATULLO II</c:v>
                  </c:pt>
                  <c:pt idx="21">
                    <c:v>C.H. RONCADOR</c:v>
                  </c:pt>
                  <c:pt idx="22">
                    <c:v>C.H. SANTA CRUZ II</c:v>
                  </c:pt>
                  <c:pt idx="23">
                    <c:v>C.H. SANTA CRUZ I</c:v>
                  </c:pt>
                  <c:pt idx="24">
                    <c:v>C.H. POECHOS II</c:v>
                  </c:pt>
                  <c:pt idx="25">
                    <c:v>C.H. 8 DE AGOSTO</c:v>
                  </c:pt>
                  <c:pt idx="26">
                    <c:v>C.H. CANCHAYLLO</c:v>
                  </c:pt>
                  <c:pt idx="27">
                    <c:v>C.H. MANTA I</c:v>
                  </c:pt>
                  <c:pt idx="28">
                    <c:v>C.H. HER 1</c:v>
                  </c:pt>
                  <c:pt idx="29">
                    <c:v>C.H. PURMACANA</c:v>
                  </c:pt>
                  <c:pt idx="30">
                    <c:v>C.E. MARCONA</c:v>
                  </c:pt>
                  <c:pt idx="31">
                    <c:v>C.E. TRES HERMANAS</c:v>
                  </c:pt>
                  <c:pt idx="32">
                    <c:v>C.E. WAYRA I</c:v>
                  </c:pt>
                  <c:pt idx="33">
                    <c:v>C.E. TALARA</c:v>
                  </c:pt>
                  <c:pt idx="34">
                    <c:v>C.E. CUPISNIQUE</c:v>
                  </c:pt>
                  <c:pt idx="35">
                    <c:v>C.E. DUNA</c:v>
                  </c:pt>
                  <c:pt idx="36">
                    <c:v>C.E. HUAMBOS</c:v>
                  </c:pt>
                  <c:pt idx="37">
                    <c:v>C.S. MOQUEGUA FV</c:v>
                  </c:pt>
                  <c:pt idx="38">
                    <c:v>C.S. RUBI</c:v>
                  </c:pt>
                  <c:pt idx="39">
                    <c:v>C.S. PANAMERICANA SOLAR</c:v>
                  </c:pt>
                  <c:pt idx="40">
                    <c:v>C.S. TACNA SOLAR</c:v>
                  </c:pt>
                  <c:pt idx="41">
                    <c:v>C.S. INTIPAMPA</c:v>
                  </c:pt>
                  <c:pt idx="42">
                    <c:v>C.S. REPARTICION</c:v>
                  </c:pt>
                  <c:pt idx="43">
                    <c:v>C.S. MAJES SOLAR</c:v>
                  </c:pt>
                  <c:pt idx="44">
                    <c:v>C.T. LA GRINGA</c:v>
                  </c:pt>
                  <c:pt idx="45">
                    <c:v>C.T. HUAYCOLORO</c:v>
                  </c:pt>
                  <c:pt idx="46">
                    <c:v>C.T. PARAMONGA</c:v>
                  </c:pt>
                  <c:pt idx="47">
                    <c:v>C.T. DOÑA CATALINA</c:v>
                  </c:pt>
                  <c:pt idx="48">
                    <c:v>C.T. CALLAO</c:v>
                  </c:pt>
                </c:lvl>
                <c:lvl>
                  <c:pt idx="0">
                    <c:v>HIDROELÉCTRICAS</c:v>
                  </c:pt>
                  <c:pt idx="30">
                    <c:v>EÓLICAS</c:v>
                  </c:pt>
                  <c:pt idx="35">
                    <c:v>SOLARES</c:v>
                  </c:pt>
                  <c:pt idx="44">
                    <c:v>TERMOELÉCTRICAS</c:v>
                  </c:pt>
                </c:lvl>
              </c:multiLvlStrCache>
            </c:multiLvlStrRef>
          </c:cat>
          <c:val>
            <c:numRef>
              <c:f>'6. FP RER'!$V$6:$V$54</c:f>
              <c:numCache>
                <c:formatCode>0.000</c:formatCode>
                <c:ptCount val="49"/>
                <c:pt idx="0">
                  <c:v>1</c:v>
                </c:pt>
                <c:pt idx="1">
                  <c:v>1</c:v>
                </c:pt>
                <c:pt idx="2">
                  <c:v>0.95720026024496341</c:v>
                </c:pt>
                <c:pt idx="3">
                  <c:v>0.82273089384573772</c:v>
                </c:pt>
                <c:pt idx="4">
                  <c:v>0.90639394041895605</c:v>
                </c:pt>
                <c:pt idx="5">
                  <c:v>0.72824117070904903</c:v>
                </c:pt>
                <c:pt idx="6">
                  <c:v>0.86108549535067125</c:v>
                </c:pt>
                <c:pt idx="7">
                  <c:v>0.98504888547481262</c:v>
                </c:pt>
                <c:pt idx="8">
                  <c:v>0.76078917817682734</c:v>
                </c:pt>
                <c:pt idx="9">
                  <c:v>0.84904079613801842</c:v>
                </c:pt>
                <c:pt idx="10">
                  <c:v>0.82705605340426758</c:v>
                </c:pt>
                <c:pt idx="11">
                  <c:v>0.84184204860717438</c:v>
                </c:pt>
                <c:pt idx="12">
                  <c:v>0.73602895670487745</c:v>
                </c:pt>
                <c:pt idx="13">
                  <c:v>0.79667191843814567</c:v>
                </c:pt>
                <c:pt idx="14">
                  <c:v>0.86825174260186777</c:v>
                </c:pt>
                <c:pt idx="15">
                  <c:v>0.79110595995542976</c:v>
                </c:pt>
                <c:pt idx="16">
                  <c:v>0.80970261658959941</c:v>
                </c:pt>
                <c:pt idx="17">
                  <c:v>0.80961326665086175</c:v>
                </c:pt>
                <c:pt idx="18">
                  <c:v>0.69115007371794868</c:v>
                </c:pt>
                <c:pt idx="19">
                  <c:v>0.25412295482295483</c:v>
                </c:pt>
                <c:pt idx="20">
                  <c:v>0.70059766881723895</c:v>
                </c:pt>
                <c:pt idx="21">
                  <c:v>0.68419439428208284</c:v>
                </c:pt>
                <c:pt idx="22">
                  <c:v>0.64195034684806018</c:v>
                </c:pt>
                <c:pt idx="23">
                  <c:v>0.61321371328770635</c:v>
                </c:pt>
                <c:pt idx="24">
                  <c:v>0.75712592308620874</c:v>
                </c:pt>
                <c:pt idx="25">
                  <c:v>0.67912106109625037</c:v>
                </c:pt>
                <c:pt idx="26">
                  <c:v>0.79080764225376021</c:v>
                </c:pt>
                <c:pt idx="28">
                  <c:v>0.71374283833725805</c:v>
                </c:pt>
                <c:pt idx="29">
                  <c:v>0.36060475089865407</c:v>
                </c:pt>
                <c:pt idx="30">
                  <c:v>0.54449347652672841</c:v>
                </c:pt>
                <c:pt idx="31">
                  <c:v>0.5278933928606776</c:v>
                </c:pt>
                <c:pt idx="32">
                  <c:v>0.46080154263450396</c:v>
                </c:pt>
                <c:pt idx="33">
                  <c:v>0.42503318091095549</c:v>
                </c:pt>
                <c:pt idx="34">
                  <c:v>0.48813972030362407</c:v>
                </c:pt>
                <c:pt idx="37">
                  <c:v>0.30640816180889419</c:v>
                </c:pt>
                <c:pt idx="38">
                  <c:v>0.30953192245704186</c:v>
                </c:pt>
                <c:pt idx="39">
                  <c:v>0.27838034632554948</c:v>
                </c:pt>
                <c:pt idx="40">
                  <c:v>0.25921535608402013</c:v>
                </c:pt>
                <c:pt idx="41">
                  <c:v>0.2375466789328767</c:v>
                </c:pt>
                <c:pt idx="42">
                  <c:v>0.22929850071543037</c:v>
                </c:pt>
                <c:pt idx="43">
                  <c:v>0.23651505723443222</c:v>
                </c:pt>
                <c:pt idx="44">
                  <c:v>0.51530026139996266</c:v>
                </c:pt>
                <c:pt idx="45">
                  <c:v>0.48486496514238453</c:v>
                </c:pt>
                <c:pt idx="46">
                  <c:v>0.74927398270613943</c:v>
                </c:pt>
                <c:pt idx="47">
                  <c:v>0.50704021195818072</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empresa'!$M$3</c:f>
              <c:strCache>
                <c:ptCount val="1"/>
                <c:pt idx="0">
                  <c:v>2021</c:v>
                </c:pt>
              </c:strCache>
            </c:strRef>
          </c:tx>
          <c:spPr>
            <a:solidFill>
              <a:srgbClr val="0077A5"/>
            </a:solidFill>
          </c:spPr>
          <c:invertIfNegative val="0"/>
          <c:cat>
            <c:strRef>
              <c:f>'7. Generacion empresa'!$L$4:$L$65</c:f>
              <c:strCache>
                <c:ptCount val="62"/>
                <c:pt idx="0">
                  <c:v>CERRO VERDE</c:v>
                </c:pt>
                <c:pt idx="1">
                  <c:v>HYDRO PATAPO</c:v>
                </c:pt>
                <c:pt idx="2">
                  <c:v>ATRIA</c:v>
                </c:pt>
                <c:pt idx="3">
                  <c:v>IYEPSA</c:v>
                </c:pt>
                <c:pt idx="4">
                  <c:v>PLANTA  ETEN</c:v>
                </c:pt>
                <c:pt idx="5">
                  <c:v>SHOUGESA</c:v>
                </c:pt>
                <c:pt idx="6">
                  <c:v>SAMAY I</c:v>
                </c:pt>
                <c:pt idx="7">
                  <c:v>MAJA ENERGIA</c:v>
                </c:pt>
                <c:pt idx="8">
                  <c:v>EGECSAC</c:v>
                </c:pt>
                <c:pt idx="9">
                  <c:v>HIDROCAÑETE</c:v>
                </c:pt>
                <c:pt idx="10">
                  <c:v>ELECTRICA YANAPAMPA</c:v>
                </c:pt>
                <c:pt idx="11">
                  <c:v>MOQUEGUA FV</c:v>
                </c:pt>
                <c:pt idx="12">
                  <c:v>MAJES</c:v>
                </c:pt>
                <c:pt idx="13">
                  <c:v>REPARTICION</c:v>
                </c:pt>
                <c:pt idx="14">
                  <c:v>TACNA SOLAR</c:v>
                </c:pt>
                <c:pt idx="15">
                  <c:v>PANAMERICANA SOLAR</c:v>
                </c:pt>
                <c:pt idx="16">
                  <c:v>GR PAINO</c:v>
                </c:pt>
                <c:pt idx="17">
                  <c:v>SDF ENERGIA</c:v>
                </c:pt>
                <c:pt idx="18">
                  <c:v>SAN JACINTO</c:v>
                </c:pt>
                <c:pt idx="19">
                  <c:v>PETRAMAS</c:v>
                </c:pt>
                <c:pt idx="20">
                  <c:v>GR TARUCA</c:v>
                </c:pt>
                <c:pt idx="21">
                  <c:v>AGROAURORA</c:v>
                </c:pt>
                <c:pt idx="22">
                  <c:v>BIOENERGIA</c:v>
                </c:pt>
                <c:pt idx="23">
                  <c:v>INVERSION DE ENERGÍA RENOVABLES</c:v>
                </c:pt>
                <c:pt idx="24">
                  <c:v>ANDEAN POWER</c:v>
                </c:pt>
                <c:pt idx="25">
                  <c:v>GENERACIÓN ANDINA</c:v>
                </c:pt>
                <c:pt idx="26">
                  <c:v>AGUA AZUL</c:v>
                </c:pt>
                <c:pt idx="27">
                  <c:v>RIO BAÑOS</c:v>
                </c:pt>
                <c:pt idx="28">
                  <c:v>ELECTRO ZAÑA</c:v>
                </c:pt>
                <c:pt idx="29">
                  <c:v>AIPSA</c:v>
                </c:pt>
                <c:pt idx="30">
                  <c:v>HIDROELECTRICA HUANCHOR</c:v>
                </c:pt>
                <c:pt idx="31">
                  <c:v>HUAURA POWER</c:v>
                </c:pt>
                <c:pt idx="32">
                  <c:v>RIO DOBLE</c:v>
                </c:pt>
                <c:pt idx="33">
                  <c:v>EGESUR</c:v>
                </c:pt>
                <c:pt idx="34">
                  <c:v>CELEPSA RENOVABLES</c:v>
                </c:pt>
                <c:pt idx="35">
                  <c:v>P.E. MARCONA</c:v>
                </c:pt>
                <c:pt idx="36">
                  <c:v>SANTA ANA</c:v>
                </c:pt>
                <c:pt idx="37">
                  <c:v>SINERSA</c:v>
                </c:pt>
                <c:pt idx="38">
                  <c:v>EMGE JUNÍN</c:v>
                </c:pt>
                <c:pt idx="39">
                  <c:v>GEPSA</c:v>
                </c:pt>
                <c:pt idx="40">
                  <c:v>TERMOSELVA</c:v>
                </c:pt>
                <c:pt idx="41">
                  <c:v>LA VIRGEN</c:v>
                </c:pt>
                <c:pt idx="42">
                  <c:v>ENERGÍA EÓLICA</c:v>
                </c:pt>
                <c:pt idx="43">
                  <c:v>EMGE HUANZA</c:v>
                </c:pt>
                <c:pt idx="44">
                  <c:v>P.E. TRES HERMANAS</c:v>
                </c:pt>
                <c:pt idx="45">
                  <c:v>SAN GABAN</c:v>
                </c:pt>
                <c:pt idx="46">
                  <c:v>INLAND</c:v>
                </c:pt>
                <c:pt idx="47">
                  <c:v>ENEL GENERACION PIURA</c:v>
                </c:pt>
                <c:pt idx="48">
                  <c:v>CELEPSA</c:v>
                </c:pt>
                <c:pt idx="49">
                  <c:v>CHINANGO</c:v>
                </c:pt>
                <c:pt idx="50">
                  <c:v>EGASA</c:v>
                </c:pt>
                <c:pt idx="51">
                  <c:v>ENEL GREEN POWER PERU</c:v>
                </c:pt>
                <c:pt idx="52">
                  <c:v>TERMOCHILCA</c:v>
                </c:pt>
                <c:pt idx="53">
                  <c:v>EMGE HUALLAGA</c:v>
                </c:pt>
                <c:pt idx="54">
                  <c:v>EGEMSA</c:v>
                </c:pt>
                <c:pt idx="55">
                  <c:v>STATKRAFT</c:v>
                </c:pt>
                <c:pt idx="56">
                  <c:v>ORAZUL ENERGY PERÚ</c:v>
                </c:pt>
                <c:pt idx="57">
                  <c:v>FENIX POWER</c:v>
                </c:pt>
                <c:pt idx="58">
                  <c:v>ENEL GENERACION PERU</c:v>
                </c:pt>
                <c:pt idx="59">
                  <c:v>ELECTROPERU</c:v>
                </c:pt>
                <c:pt idx="60">
                  <c:v>ENGIE</c:v>
                </c:pt>
                <c:pt idx="61">
                  <c:v>KALLPA</c:v>
                </c:pt>
              </c:strCache>
            </c:strRef>
          </c:cat>
          <c:val>
            <c:numRef>
              <c:f>'7. Generacion empresa'!$M$4:$M$65</c:f>
              <c:numCache>
                <c:formatCode>General</c:formatCode>
                <c:ptCount val="62"/>
                <c:pt idx="0">
                  <c:v>0</c:v>
                </c:pt>
                <c:pt idx="1">
                  <c:v>0.18479599999999999</c:v>
                </c:pt>
                <c:pt idx="2">
                  <c:v>0.30371019999999999</c:v>
                </c:pt>
                <c:pt idx="3">
                  <c:v>0.38433295000000001</c:v>
                </c:pt>
                <c:pt idx="4">
                  <c:v>0.59797893999999996</c:v>
                </c:pt>
                <c:pt idx="5">
                  <c:v>0.77859313500000005</c:v>
                </c:pt>
                <c:pt idx="6">
                  <c:v>0.80773220000000001</c:v>
                </c:pt>
                <c:pt idx="7">
                  <c:v>1.3921643050000001</c:v>
                </c:pt>
                <c:pt idx="8">
                  <c:v>1.8214101550000001</c:v>
                </c:pt>
                <c:pt idx="9">
                  <c:v>1.9724000000000002</c:v>
                </c:pt>
                <c:pt idx="10">
                  <c:v>2.1523594775000001</c:v>
                </c:pt>
                <c:pt idx="11">
                  <c:v>3.2716496075000001</c:v>
                </c:pt>
                <c:pt idx="12">
                  <c:v>3.2769572999999999</c:v>
                </c:pt>
                <c:pt idx="13">
                  <c:v>3.3025214825</c:v>
                </c:pt>
                <c:pt idx="14">
                  <c:v>3.4419913625</c:v>
                </c:pt>
                <c:pt idx="15">
                  <c:v>3.9085683924999999</c:v>
                </c:pt>
                <c:pt idx="16">
                  <c:v>4.1920735350000005</c:v>
                </c:pt>
                <c:pt idx="17">
                  <c:v>4.4306151800000002</c:v>
                </c:pt>
                <c:pt idx="18">
                  <c:v>5.217454</c:v>
                </c:pt>
                <c:pt idx="19">
                  <c:v>5.7301490749999999</c:v>
                </c:pt>
                <c:pt idx="20">
                  <c:v>6.0990137850000004</c:v>
                </c:pt>
                <c:pt idx="21">
                  <c:v>6.1763460699999992</c:v>
                </c:pt>
                <c:pt idx="22">
                  <c:v>7.0078906275000001</c:v>
                </c:pt>
                <c:pt idx="23">
                  <c:v>7.5211444449999991</c:v>
                </c:pt>
                <c:pt idx="24">
                  <c:v>8.0713270250000004</c:v>
                </c:pt>
                <c:pt idx="25">
                  <c:v>8.1426670849999994</c:v>
                </c:pt>
                <c:pt idx="26">
                  <c:v>8.2153126424999989</c:v>
                </c:pt>
                <c:pt idx="27">
                  <c:v>8.6438365699999995</c:v>
                </c:pt>
                <c:pt idx="28">
                  <c:v>9.1583625399999988</c:v>
                </c:pt>
                <c:pt idx="29">
                  <c:v>9.6311175724999991</c:v>
                </c:pt>
                <c:pt idx="30">
                  <c:v>11.583227112499999</c:v>
                </c:pt>
                <c:pt idx="31">
                  <c:v>11.930665569999999</c:v>
                </c:pt>
                <c:pt idx="32">
                  <c:v>11.9598513625</c:v>
                </c:pt>
                <c:pt idx="33">
                  <c:v>12.710065015</c:v>
                </c:pt>
                <c:pt idx="34">
                  <c:v>13.194489557500001</c:v>
                </c:pt>
                <c:pt idx="35">
                  <c:v>13.23948869</c:v>
                </c:pt>
                <c:pt idx="36">
                  <c:v>14.3996138975</c:v>
                </c:pt>
                <c:pt idx="37">
                  <c:v>16.245014170000001</c:v>
                </c:pt>
                <c:pt idx="38">
                  <c:v>18.822407947500004</c:v>
                </c:pt>
                <c:pt idx="39">
                  <c:v>22.310216005000001</c:v>
                </c:pt>
                <c:pt idx="40">
                  <c:v>22.330118052499998</c:v>
                </c:pt>
                <c:pt idx="41">
                  <c:v>24.978724379999999</c:v>
                </c:pt>
                <c:pt idx="42">
                  <c:v>28.484726132500001</c:v>
                </c:pt>
                <c:pt idx="43">
                  <c:v>32.441926084999999</c:v>
                </c:pt>
                <c:pt idx="44">
                  <c:v>38.573131142500003</c:v>
                </c:pt>
                <c:pt idx="45">
                  <c:v>44.163238017499999</c:v>
                </c:pt>
                <c:pt idx="46">
                  <c:v>54.009388967500001</c:v>
                </c:pt>
                <c:pt idx="47">
                  <c:v>64.7966159275</c:v>
                </c:pt>
                <c:pt idx="48">
                  <c:v>67.067425929999999</c:v>
                </c:pt>
                <c:pt idx="49">
                  <c:v>67.30903233250001</c:v>
                </c:pt>
                <c:pt idx="50">
                  <c:v>70.039126034999995</c:v>
                </c:pt>
                <c:pt idx="51">
                  <c:v>73.188274954999997</c:v>
                </c:pt>
                <c:pt idx="52">
                  <c:v>78.170038577499994</c:v>
                </c:pt>
                <c:pt idx="53">
                  <c:v>94.202229924999997</c:v>
                </c:pt>
                <c:pt idx="54">
                  <c:v>100.79807644</c:v>
                </c:pt>
                <c:pt idx="55">
                  <c:v>154.75683293</c:v>
                </c:pt>
                <c:pt idx="56">
                  <c:v>158.0561784775</c:v>
                </c:pt>
                <c:pt idx="57">
                  <c:v>367.01887198749995</c:v>
                </c:pt>
                <c:pt idx="58">
                  <c:v>586.20104074750009</c:v>
                </c:pt>
                <c:pt idx="59">
                  <c:v>586.60518911999998</c:v>
                </c:pt>
                <c:pt idx="60">
                  <c:v>652.32864483749984</c:v>
                </c:pt>
                <c:pt idx="61">
                  <c:v>800.45004372250003</c:v>
                </c:pt>
              </c:numCache>
            </c:numRef>
          </c:val>
          <c:extLst>
            <c:ext xmlns:c16="http://schemas.microsoft.com/office/drawing/2014/chart" uri="{C3380CC4-5D6E-409C-BE32-E72D297353CC}">
              <c16:uniqueId val="{00000000-EC2C-44BF-A1B0-E0FDC77FAEDA}"/>
            </c:ext>
          </c:extLst>
        </c:ser>
        <c:ser>
          <c:idx val="1"/>
          <c:order val="1"/>
          <c:tx>
            <c:strRef>
              <c:f>'7. Generacion empresa'!$N$3</c:f>
              <c:strCache>
                <c:ptCount val="1"/>
                <c:pt idx="0">
                  <c:v>2020</c:v>
                </c:pt>
              </c:strCache>
            </c:strRef>
          </c:tx>
          <c:spPr>
            <a:solidFill>
              <a:schemeClr val="accent2"/>
            </a:solidFill>
          </c:spPr>
          <c:invertIfNegative val="0"/>
          <c:cat>
            <c:strRef>
              <c:f>'7. Generacion empresa'!$L$4:$L$65</c:f>
              <c:strCache>
                <c:ptCount val="62"/>
                <c:pt idx="0">
                  <c:v>CERRO VERDE</c:v>
                </c:pt>
                <c:pt idx="1">
                  <c:v>HYDRO PATAPO</c:v>
                </c:pt>
                <c:pt idx="2">
                  <c:v>ATRIA</c:v>
                </c:pt>
                <c:pt idx="3">
                  <c:v>IYEPSA</c:v>
                </c:pt>
                <c:pt idx="4">
                  <c:v>PLANTA  ETEN</c:v>
                </c:pt>
                <c:pt idx="5">
                  <c:v>SHOUGESA</c:v>
                </c:pt>
                <c:pt idx="6">
                  <c:v>SAMAY I</c:v>
                </c:pt>
                <c:pt idx="7">
                  <c:v>MAJA ENERGIA</c:v>
                </c:pt>
                <c:pt idx="8">
                  <c:v>EGECSAC</c:v>
                </c:pt>
                <c:pt idx="9">
                  <c:v>HIDROCAÑETE</c:v>
                </c:pt>
                <c:pt idx="10">
                  <c:v>ELECTRICA YANAPAMPA</c:v>
                </c:pt>
                <c:pt idx="11">
                  <c:v>MOQUEGUA FV</c:v>
                </c:pt>
                <c:pt idx="12">
                  <c:v>MAJES</c:v>
                </c:pt>
                <c:pt idx="13">
                  <c:v>REPARTICION</c:v>
                </c:pt>
                <c:pt idx="14">
                  <c:v>TACNA SOLAR</c:v>
                </c:pt>
                <c:pt idx="15">
                  <c:v>PANAMERICANA SOLAR</c:v>
                </c:pt>
                <c:pt idx="16">
                  <c:v>GR PAINO</c:v>
                </c:pt>
                <c:pt idx="17">
                  <c:v>SDF ENERGIA</c:v>
                </c:pt>
                <c:pt idx="18">
                  <c:v>SAN JACINTO</c:v>
                </c:pt>
                <c:pt idx="19">
                  <c:v>PETRAMAS</c:v>
                </c:pt>
                <c:pt idx="20">
                  <c:v>GR TARUCA</c:v>
                </c:pt>
                <c:pt idx="21">
                  <c:v>AGROAURORA</c:v>
                </c:pt>
                <c:pt idx="22">
                  <c:v>BIOENERGIA</c:v>
                </c:pt>
                <c:pt idx="23">
                  <c:v>INVERSION DE ENERGÍA RENOVABLES</c:v>
                </c:pt>
                <c:pt idx="24">
                  <c:v>ANDEAN POWER</c:v>
                </c:pt>
                <c:pt idx="25">
                  <c:v>GENERACIÓN ANDINA</c:v>
                </c:pt>
                <c:pt idx="26">
                  <c:v>AGUA AZUL</c:v>
                </c:pt>
                <c:pt idx="27">
                  <c:v>RIO BAÑOS</c:v>
                </c:pt>
                <c:pt idx="28">
                  <c:v>ELECTRO ZAÑA</c:v>
                </c:pt>
                <c:pt idx="29">
                  <c:v>AIPSA</c:v>
                </c:pt>
                <c:pt idx="30">
                  <c:v>HIDROELECTRICA HUANCHOR</c:v>
                </c:pt>
                <c:pt idx="31">
                  <c:v>HUAURA POWER</c:v>
                </c:pt>
                <c:pt idx="32">
                  <c:v>RIO DOBLE</c:v>
                </c:pt>
                <c:pt idx="33">
                  <c:v>EGESUR</c:v>
                </c:pt>
                <c:pt idx="34">
                  <c:v>CELEPSA RENOVABLES</c:v>
                </c:pt>
                <c:pt idx="35">
                  <c:v>P.E. MARCONA</c:v>
                </c:pt>
                <c:pt idx="36">
                  <c:v>SANTA ANA</c:v>
                </c:pt>
                <c:pt idx="37">
                  <c:v>SINERSA</c:v>
                </c:pt>
                <c:pt idx="38">
                  <c:v>EMGE JUNÍN</c:v>
                </c:pt>
                <c:pt idx="39">
                  <c:v>GEPSA</c:v>
                </c:pt>
                <c:pt idx="40">
                  <c:v>TERMOSELVA</c:v>
                </c:pt>
                <c:pt idx="41">
                  <c:v>LA VIRGEN</c:v>
                </c:pt>
                <c:pt idx="42">
                  <c:v>ENERGÍA EÓLICA</c:v>
                </c:pt>
                <c:pt idx="43">
                  <c:v>EMGE HUANZA</c:v>
                </c:pt>
                <c:pt idx="44">
                  <c:v>P.E. TRES HERMANAS</c:v>
                </c:pt>
                <c:pt idx="45">
                  <c:v>SAN GABAN</c:v>
                </c:pt>
                <c:pt idx="46">
                  <c:v>INLAND</c:v>
                </c:pt>
                <c:pt idx="47">
                  <c:v>ENEL GENERACION PIURA</c:v>
                </c:pt>
                <c:pt idx="48">
                  <c:v>CELEPSA</c:v>
                </c:pt>
                <c:pt idx="49">
                  <c:v>CHINANGO</c:v>
                </c:pt>
                <c:pt idx="50">
                  <c:v>EGASA</c:v>
                </c:pt>
                <c:pt idx="51">
                  <c:v>ENEL GREEN POWER PERU</c:v>
                </c:pt>
                <c:pt idx="52">
                  <c:v>TERMOCHILCA</c:v>
                </c:pt>
                <c:pt idx="53">
                  <c:v>EMGE HUALLAGA</c:v>
                </c:pt>
                <c:pt idx="54">
                  <c:v>EGEMSA</c:v>
                </c:pt>
                <c:pt idx="55">
                  <c:v>STATKRAFT</c:v>
                </c:pt>
                <c:pt idx="56">
                  <c:v>ORAZUL ENERGY PERÚ</c:v>
                </c:pt>
                <c:pt idx="57">
                  <c:v>FENIX POWER</c:v>
                </c:pt>
                <c:pt idx="58">
                  <c:v>ENEL GENERACION PERU</c:v>
                </c:pt>
                <c:pt idx="59">
                  <c:v>ELECTROPERU</c:v>
                </c:pt>
                <c:pt idx="60">
                  <c:v>ENGIE</c:v>
                </c:pt>
                <c:pt idx="61">
                  <c:v>KALLPA</c:v>
                </c:pt>
              </c:strCache>
            </c:strRef>
          </c:cat>
          <c:val>
            <c:numRef>
              <c:f>'7. Generacion empresa'!$N$4:$N$65</c:f>
              <c:numCache>
                <c:formatCode>General</c:formatCode>
                <c:ptCount val="62"/>
                <c:pt idx="0">
                  <c:v>0</c:v>
                </c:pt>
                <c:pt idx="1">
                  <c:v>1.9248000000000001E-2</c:v>
                </c:pt>
                <c:pt idx="2">
                  <c:v>0.29502389499999998</c:v>
                </c:pt>
                <c:pt idx="3">
                  <c:v>2.0583757499999997E-2</c:v>
                </c:pt>
                <c:pt idx="4">
                  <c:v>2.3127475000000002E-3</c:v>
                </c:pt>
                <c:pt idx="5">
                  <c:v>0</c:v>
                </c:pt>
                <c:pt idx="6">
                  <c:v>0</c:v>
                </c:pt>
                <c:pt idx="7">
                  <c:v>1.1218027825000001</c:v>
                </c:pt>
                <c:pt idx="8">
                  <c:v>2.12640377</c:v>
                </c:pt>
                <c:pt idx="9">
                  <c:v>2.2176</c:v>
                </c:pt>
                <c:pt idx="10">
                  <c:v>1.7968975674999998</c:v>
                </c:pt>
                <c:pt idx="11">
                  <c:v>3.1982834100000002</c:v>
                </c:pt>
                <c:pt idx="12">
                  <c:v>3.3092989999999998</c:v>
                </c:pt>
                <c:pt idx="13">
                  <c:v>3.3394412349999998</c:v>
                </c:pt>
                <c:pt idx="14">
                  <c:v>2.9275250850000001</c:v>
                </c:pt>
                <c:pt idx="15">
                  <c:v>3.8023325275000004</c:v>
                </c:pt>
                <c:pt idx="17">
                  <c:v>0</c:v>
                </c:pt>
                <c:pt idx="18">
                  <c:v>4.7489047499999995</c:v>
                </c:pt>
                <c:pt idx="19">
                  <c:v>2.4690676000000003</c:v>
                </c:pt>
                <c:pt idx="21">
                  <c:v>0</c:v>
                </c:pt>
                <c:pt idx="22">
                  <c:v>5.8982593724999992</c:v>
                </c:pt>
                <c:pt idx="23">
                  <c:v>2.3152220425000003</c:v>
                </c:pt>
                <c:pt idx="24">
                  <c:v>9.3673749849999997</c:v>
                </c:pt>
                <c:pt idx="25">
                  <c:v>6.0410269574999997</c:v>
                </c:pt>
                <c:pt idx="26">
                  <c:v>2.5531149850000001</c:v>
                </c:pt>
                <c:pt idx="27">
                  <c:v>9.5612677625</c:v>
                </c:pt>
                <c:pt idx="28">
                  <c:v>6.1175919424999998</c:v>
                </c:pt>
                <c:pt idx="29">
                  <c:v>8.7488638724999994</c:v>
                </c:pt>
                <c:pt idx="30">
                  <c:v>9.4649494475000004</c:v>
                </c:pt>
                <c:pt idx="31">
                  <c:v>11.345840219999999</c:v>
                </c:pt>
                <c:pt idx="32">
                  <c:v>6.930165165</c:v>
                </c:pt>
                <c:pt idx="33">
                  <c:v>9.6163806674999996</c:v>
                </c:pt>
                <c:pt idx="34">
                  <c:v>12.60795622</c:v>
                </c:pt>
                <c:pt idx="35">
                  <c:v>13.4524993675</c:v>
                </c:pt>
                <c:pt idx="36">
                  <c:v>14.4008622175</c:v>
                </c:pt>
                <c:pt idx="37">
                  <c:v>16.321826267500001</c:v>
                </c:pt>
                <c:pt idx="38">
                  <c:v>18.1049693625</c:v>
                </c:pt>
                <c:pt idx="39">
                  <c:v>22.301874475000005</c:v>
                </c:pt>
                <c:pt idx="40">
                  <c:v>1.3787250000000002E-4</c:v>
                </c:pt>
                <c:pt idx="42">
                  <c:v>44.014606310000005</c:v>
                </c:pt>
                <c:pt idx="43">
                  <c:v>37.451579500000001</c:v>
                </c:pt>
                <c:pt idx="44">
                  <c:v>46.796291310000001</c:v>
                </c:pt>
                <c:pt idx="45">
                  <c:v>50.641498837499995</c:v>
                </c:pt>
                <c:pt idx="46">
                  <c:v>60.631306335000005</c:v>
                </c:pt>
                <c:pt idx="47">
                  <c:v>61.168153510000003</c:v>
                </c:pt>
                <c:pt idx="48">
                  <c:v>63.7613017575</c:v>
                </c:pt>
                <c:pt idx="49">
                  <c:v>66.997822694999996</c:v>
                </c:pt>
                <c:pt idx="50">
                  <c:v>70.159468447500004</c:v>
                </c:pt>
                <c:pt idx="51">
                  <c:v>88.613017904999992</c:v>
                </c:pt>
                <c:pt idx="52">
                  <c:v>153.73033570749999</c:v>
                </c:pt>
                <c:pt idx="53">
                  <c:v>99.662383347499997</c:v>
                </c:pt>
                <c:pt idx="54">
                  <c:v>112.71340004000001</c:v>
                </c:pt>
                <c:pt idx="55">
                  <c:v>154.21513433499996</c:v>
                </c:pt>
                <c:pt idx="56">
                  <c:v>127.09308077249999</c:v>
                </c:pt>
                <c:pt idx="57">
                  <c:v>298.82168594000007</c:v>
                </c:pt>
                <c:pt idx="58">
                  <c:v>455.57443099749997</c:v>
                </c:pt>
                <c:pt idx="59">
                  <c:v>604.85600927999985</c:v>
                </c:pt>
                <c:pt idx="60">
                  <c:v>577.23144132499999</c:v>
                </c:pt>
                <c:pt idx="61">
                  <c:v>366.03391326249999</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2021</c:v>
                </c:pt>
                <c:pt idx="1">
                  <c:v>2020</c:v>
                </c:pt>
                <c:pt idx="2">
                  <c:v>2019</c:v>
                </c:pt>
              </c:numCache>
            </c:numRef>
          </c:cat>
          <c:val>
            <c:numRef>
              <c:f>('8. Max Potencia'!$G$10:$H$10,'8. Max Potencia'!$J$10)</c:f>
              <c:numCache>
                <c:formatCode>_(* #,##0.00_);_(* \(#,##0.00\);_(* "-"??_);_(@_)</c:formatCode>
                <c:ptCount val="3"/>
                <c:pt idx="0">
                  <c:v>4594.55105</c:v>
                </c:pt>
                <c:pt idx="1">
                  <c:v>4614.2048799999993</c:v>
                </c:pt>
                <c:pt idx="2">
                  <c:v>4587.9101300000002</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2021</c:v>
                </c:pt>
                <c:pt idx="1">
                  <c:v>2020</c:v>
                </c:pt>
                <c:pt idx="2">
                  <c:v>2019</c:v>
                </c:pt>
              </c:numCache>
            </c:numRef>
          </c:cat>
          <c:val>
            <c:numRef>
              <c:f>('8. Max Potencia'!$G$11:$H$11,'8. Max Potencia'!$J$11)</c:f>
              <c:numCache>
                <c:formatCode>_(* #,##0.00_);_(* \(#,##0.00\);_(* "-"??_);_(@_)</c:formatCode>
                <c:ptCount val="3"/>
                <c:pt idx="0">
                  <c:v>2012.4400399999995</c:v>
                </c:pt>
                <c:pt idx="1">
                  <c:v>2307.6013599999997</c:v>
                </c:pt>
                <c:pt idx="2">
                  <c:v>2159.8880899999999</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2021</c:v>
                </c:pt>
                <c:pt idx="1">
                  <c:v>2020</c:v>
                </c:pt>
                <c:pt idx="2">
                  <c:v>2019</c:v>
                </c:pt>
              </c:numCache>
            </c:numRef>
          </c:cat>
          <c:val>
            <c:numRef>
              <c:f>('8. Max Potencia'!$G$12:$H$12,'8. Max Potencia'!$J$12)</c:f>
              <c:numCache>
                <c:formatCode>_(* #,##0.00_);_(* \(#,##0.00\);_(* "-"??_);_(@_)</c:formatCode>
                <c:ptCount val="3"/>
                <c:pt idx="0">
                  <c:v>302.64609999999999</c:v>
                </c:pt>
                <c:pt idx="1">
                  <c:v>148.82196999999999</c:v>
                </c:pt>
                <c:pt idx="2">
                  <c:v>128.49421999999998</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Empresa'!$L$7:$L$68</c:f>
              <c:strCache>
                <c:ptCount val="62"/>
                <c:pt idx="0">
                  <c:v>ATRIA</c:v>
                </c:pt>
                <c:pt idx="1">
                  <c:v>GR PAINO</c:v>
                </c:pt>
                <c:pt idx="2">
                  <c:v>REPARTICION</c:v>
                </c:pt>
                <c:pt idx="3">
                  <c:v>MAJES</c:v>
                </c:pt>
                <c:pt idx="4">
                  <c:v>SAN JACINTO</c:v>
                </c:pt>
                <c:pt idx="5">
                  <c:v>TACNA SOLAR</c:v>
                </c:pt>
                <c:pt idx="6">
                  <c:v>SHOUGESA</c:v>
                </c:pt>
                <c:pt idx="7">
                  <c:v>SAMAY I</c:v>
                </c:pt>
                <c:pt idx="8">
                  <c:v>PLANTA  ETEN</c:v>
                </c:pt>
                <c:pt idx="9">
                  <c:v>PANAMERICANA SOLAR</c:v>
                </c:pt>
                <c:pt idx="10">
                  <c:v>MOQUEGUA FV</c:v>
                </c:pt>
                <c:pt idx="11">
                  <c:v>IYEPSA</c:v>
                </c:pt>
                <c:pt idx="12">
                  <c:v>CERRO VERDE</c:v>
                </c:pt>
                <c:pt idx="13">
                  <c:v>GR TARUCA</c:v>
                </c:pt>
                <c:pt idx="14">
                  <c:v>HYDRO PATAPO</c:v>
                </c:pt>
                <c:pt idx="15">
                  <c:v>MAJA ENERGIA</c:v>
                </c:pt>
                <c:pt idx="16">
                  <c:v>EGECSAC</c:v>
                </c:pt>
                <c:pt idx="17">
                  <c:v>ELECTRICA YANAPAMPA</c:v>
                </c:pt>
                <c:pt idx="18">
                  <c:v>HIDROCAÑETE</c:v>
                </c:pt>
                <c:pt idx="19">
                  <c:v>AGUA AZUL</c:v>
                </c:pt>
                <c:pt idx="20">
                  <c:v>INVERSION DE ENERGÍA RENOVABLES</c:v>
                </c:pt>
                <c:pt idx="21">
                  <c:v>PETRAMAS</c:v>
                </c:pt>
                <c:pt idx="22">
                  <c:v>RIO BAÑOS</c:v>
                </c:pt>
                <c:pt idx="23">
                  <c:v>GENERACIÓN ANDINA</c:v>
                </c:pt>
                <c:pt idx="24">
                  <c:v>ELECTRO ZAÑA</c:v>
                </c:pt>
                <c:pt idx="25">
                  <c:v>BIOENERGIA</c:v>
                </c:pt>
                <c:pt idx="26">
                  <c:v>AGROAURORA</c:v>
                </c:pt>
                <c:pt idx="27">
                  <c:v>RIO DOBLE</c:v>
                </c:pt>
                <c:pt idx="28">
                  <c:v>HUAURA POWER</c:v>
                </c:pt>
                <c:pt idx="29">
                  <c:v>HIDROELECTRICA HUANCHOR</c:v>
                </c:pt>
                <c:pt idx="30">
                  <c:v>CELEPSA RENOVABLES</c:v>
                </c:pt>
                <c:pt idx="31">
                  <c:v>AIPSA</c:v>
                </c:pt>
                <c:pt idx="32">
                  <c:v>ANDEAN POWER</c:v>
                </c:pt>
                <c:pt idx="33">
                  <c:v>SANTA ANA</c:v>
                </c:pt>
                <c:pt idx="34">
                  <c:v>EMGE JUNÍN</c:v>
                </c:pt>
                <c:pt idx="35">
                  <c:v>SINERSA</c:v>
                </c:pt>
                <c:pt idx="36">
                  <c:v>GEPSA</c:v>
                </c:pt>
                <c:pt idx="37">
                  <c:v>P.E. MARCONA</c:v>
                </c:pt>
                <c:pt idx="38">
                  <c:v>SDF ENERGIA</c:v>
                </c:pt>
                <c:pt idx="39">
                  <c:v>LA VIRGEN</c:v>
                </c:pt>
                <c:pt idx="40">
                  <c:v>EGESUR</c:v>
                </c:pt>
                <c:pt idx="41">
                  <c:v>ENERGÍA EÓLICA</c:v>
                </c:pt>
                <c:pt idx="42">
                  <c:v>SAN GABAN</c:v>
                </c:pt>
                <c:pt idx="43">
                  <c:v>INLAND</c:v>
                </c:pt>
                <c:pt idx="44">
                  <c:v>EMGE HUANZA</c:v>
                </c:pt>
                <c:pt idx="45">
                  <c:v>TERMOSELVA</c:v>
                </c:pt>
                <c:pt idx="46">
                  <c:v>P.E. TRES HERMANAS</c:v>
                </c:pt>
                <c:pt idx="47">
                  <c:v>ENEL GENERACION PIURA</c:v>
                </c:pt>
                <c:pt idx="48">
                  <c:v>ENEL GREEN POWER PERU</c:v>
                </c:pt>
                <c:pt idx="49">
                  <c:v>EGEMSA</c:v>
                </c:pt>
                <c:pt idx="50">
                  <c:v>EGASA</c:v>
                </c:pt>
                <c:pt idx="51">
                  <c:v>CELEPSA</c:v>
                </c:pt>
                <c:pt idx="52">
                  <c:v>CHINANGO</c:v>
                </c:pt>
                <c:pt idx="53">
                  <c:v>ORAZUL ENERGY PERÚ</c:v>
                </c:pt>
                <c:pt idx="54">
                  <c:v>STATKRAFT</c:v>
                </c:pt>
                <c:pt idx="55">
                  <c:v>TERMOCHILCA</c:v>
                </c:pt>
                <c:pt idx="56">
                  <c:v>EMGE HUALLAGA</c:v>
                </c:pt>
                <c:pt idx="57">
                  <c:v>FENIX POWER</c:v>
                </c:pt>
                <c:pt idx="58">
                  <c:v>KALLPA</c:v>
                </c:pt>
                <c:pt idx="59">
                  <c:v>ELECTROPERU</c:v>
                </c:pt>
                <c:pt idx="60">
                  <c:v>ENGIE</c:v>
                </c:pt>
                <c:pt idx="61">
                  <c:v>ENEL GENERACION PERU</c:v>
                </c:pt>
              </c:strCache>
            </c:strRef>
          </c:cat>
          <c:val>
            <c:numRef>
              <c:f>'9. Pot. Empresa'!$M$7:$M$68</c:f>
              <c:numCache>
                <c:formatCode>0</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0.30436000000000002</c:v>
                </c:pt>
                <c:pt idx="14">
                  <c:v>0.52800000000000002</c:v>
                </c:pt>
                <c:pt idx="15">
                  <c:v>1.9338599999999999</c:v>
                </c:pt>
                <c:pt idx="16">
                  <c:v>2.5543200000000001</c:v>
                </c:pt>
                <c:pt idx="17">
                  <c:v>2.6180699999999999</c:v>
                </c:pt>
                <c:pt idx="18">
                  <c:v>3.2</c:v>
                </c:pt>
                <c:pt idx="19">
                  <c:v>8.1507699999999996</c:v>
                </c:pt>
                <c:pt idx="20">
                  <c:v>9.2861399999999996</c:v>
                </c:pt>
                <c:pt idx="21">
                  <c:v>9.6158000000000001</c:v>
                </c:pt>
                <c:pt idx="22">
                  <c:v>9.8742999999999999</c:v>
                </c:pt>
                <c:pt idx="23">
                  <c:v>11.10547</c:v>
                </c:pt>
                <c:pt idx="24">
                  <c:v>11.201129999999999</c:v>
                </c:pt>
                <c:pt idx="25">
                  <c:v>11.875</c:v>
                </c:pt>
                <c:pt idx="26">
                  <c:v>12.644590000000001</c:v>
                </c:pt>
                <c:pt idx="27">
                  <c:v>14.931290000000001</c:v>
                </c:pt>
                <c:pt idx="28">
                  <c:v>15.518419999999999</c:v>
                </c:pt>
                <c:pt idx="29">
                  <c:v>15.986270000000001</c:v>
                </c:pt>
                <c:pt idx="30">
                  <c:v>16.12743</c:v>
                </c:pt>
                <c:pt idx="31">
                  <c:v>16.507770000000001</c:v>
                </c:pt>
                <c:pt idx="32">
                  <c:v>18.254339999999999</c:v>
                </c:pt>
                <c:pt idx="33">
                  <c:v>20.099779999999999</c:v>
                </c:pt>
                <c:pt idx="34">
                  <c:v>20.379280000000001</c:v>
                </c:pt>
                <c:pt idx="35">
                  <c:v>21.567419999999998</c:v>
                </c:pt>
                <c:pt idx="36">
                  <c:v>27.15512</c:v>
                </c:pt>
                <c:pt idx="37">
                  <c:v>27.913160000000001</c:v>
                </c:pt>
                <c:pt idx="38">
                  <c:v>28.000039999999998</c:v>
                </c:pt>
                <c:pt idx="39">
                  <c:v>28.0063</c:v>
                </c:pt>
                <c:pt idx="40">
                  <c:v>28.084899999999998</c:v>
                </c:pt>
                <c:pt idx="41">
                  <c:v>51.912120000000002</c:v>
                </c:pt>
                <c:pt idx="42">
                  <c:v>53.209540000000004</c:v>
                </c:pt>
                <c:pt idx="43">
                  <c:v>67.226389999999995</c:v>
                </c:pt>
                <c:pt idx="44">
                  <c:v>72.859000000000009</c:v>
                </c:pt>
                <c:pt idx="45">
                  <c:v>89.145039999999995</c:v>
                </c:pt>
                <c:pt idx="46">
                  <c:v>90.099869999999996</c:v>
                </c:pt>
                <c:pt idx="47">
                  <c:v>91.749669999999995</c:v>
                </c:pt>
                <c:pt idx="48">
                  <c:v>119.07773</c:v>
                </c:pt>
                <c:pt idx="49">
                  <c:v>125.73308</c:v>
                </c:pt>
                <c:pt idx="50">
                  <c:v>145.75068999999999</c:v>
                </c:pt>
                <c:pt idx="51">
                  <c:v>157.25013999999999</c:v>
                </c:pt>
                <c:pt idx="52">
                  <c:v>166.60892999999999</c:v>
                </c:pt>
                <c:pt idx="53">
                  <c:v>205.41876000000005</c:v>
                </c:pt>
                <c:pt idx="54">
                  <c:v>256.80173000000002</c:v>
                </c:pt>
                <c:pt idx="55">
                  <c:v>290.87457999999998</c:v>
                </c:pt>
                <c:pt idx="56">
                  <c:v>315.66933</c:v>
                </c:pt>
                <c:pt idx="57">
                  <c:v>540.08069</c:v>
                </c:pt>
                <c:pt idx="58">
                  <c:v>785.20920999999987</c:v>
                </c:pt>
                <c:pt idx="59">
                  <c:v>853.06079999999986</c:v>
                </c:pt>
                <c:pt idx="60">
                  <c:v>972.13833000000011</c:v>
                </c:pt>
                <c:pt idx="61" formatCode="0.00">
                  <c:v>1060.53989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Empresa'!$L$7:$L$68</c:f>
              <c:strCache>
                <c:ptCount val="62"/>
                <c:pt idx="0">
                  <c:v>ATRIA</c:v>
                </c:pt>
                <c:pt idx="1">
                  <c:v>GR PAINO</c:v>
                </c:pt>
                <c:pt idx="2">
                  <c:v>REPARTICION</c:v>
                </c:pt>
                <c:pt idx="3">
                  <c:v>MAJES</c:v>
                </c:pt>
                <c:pt idx="4">
                  <c:v>SAN JACINTO</c:v>
                </c:pt>
                <c:pt idx="5">
                  <c:v>TACNA SOLAR</c:v>
                </c:pt>
                <c:pt idx="6">
                  <c:v>SHOUGESA</c:v>
                </c:pt>
                <c:pt idx="7">
                  <c:v>SAMAY I</c:v>
                </c:pt>
                <c:pt idx="8">
                  <c:v>PLANTA  ETEN</c:v>
                </c:pt>
                <c:pt idx="9">
                  <c:v>PANAMERICANA SOLAR</c:v>
                </c:pt>
                <c:pt idx="10">
                  <c:v>MOQUEGUA FV</c:v>
                </c:pt>
                <c:pt idx="11">
                  <c:v>IYEPSA</c:v>
                </c:pt>
                <c:pt idx="12">
                  <c:v>CERRO VERDE</c:v>
                </c:pt>
                <c:pt idx="13">
                  <c:v>GR TARUCA</c:v>
                </c:pt>
                <c:pt idx="14">
                  <c:v>HYDRO PATAPO</c:v>
                </c:pt>
                <c:pt idx="15">
                  <c:v>MAJA ENERGIA</c:v>
                </c:pt>
                <c:pt idx="16">
                  <c:v>EGECSAC</c:v>
                </c:pt>
                <c:pt idx="17">
                  <c:v>ELECTRICA YANAPAMPA</c:v>
                </c:pt>
                <c:pt idx="18">
                  <c:v>HIDROCAÑETE</c:v>
                </c:pt>
                <c:pt idx="19">
                  <c:v>AGUA AZUL</c:v>
                </c:pt>
                <c:pt idx="20">
                  <c:v>INVERSION DE ENERGÍA RENOVABLES</c:v>
                </c:pt>
                <c:pt idx="21">
                  <c:v>PETRAMAS</c:v>
                </c:pt>
                <c:pt idx="22">
                  <c:v>RIO BAÑOS</c:v>
                </c:pt>
                <c:pt idx="23">
                  <c:v>GENERACIÓN ANDINA</c:v>
                </c:pt>
                <c:pt idx="24">
                  <c:v>ELECTRO ZAÑA</c:v>
                </c:pt>
                <c:pt idx="25">
                  <c:v>BIOENERGIA</c:v>
                </c:pt>
                <c:pt idx="26">
                  <c:v>AGROAURORA</c:v>
                </c:pt>
                <c:pt idx="27">
                  <c:v>RIO DOBLE</c:v>
                </c:pt>
                <c:pt idx="28">
                  <c:v>HUAURA POWER</c:v>
                </c:pt>
                <c:pt idx="29">
                  <c:v>HIDROELECTRICA HUANCHOR</c:v>
                </c:pt>
                <c:pt idx="30">
                  <c:v>CELEPSA RENOVABLES</c:v>
                </c:pt>
                <c:pt idx="31">
                  <c:v>AIPSA</c:v>
                </c:pt>
                <c:pt idx="32">
                  <c:v>ANDEAN POWER</c:v>
                </c:pt>
                <c:pt idx="33">
                  <c:v>SANTA ANA</c:v>
                </c:pt>
                <c:pt idx="34">
                  <c:v>EMGE JUNÍN</c:v>
                </c:pt>
                <c:pt idx="35">
                  <c:v>SINERSA</c:v>
                </c:pt>
                <c:pt idx="36">
                  <c:v>GEPSA</c:v>
                </c:pt>
                <c:pt idx="37">
                  <c:v>P.E. MARCONA</c:v>
                </c:pt>
                <c:pt idx="38">
                  <c:v>SDF ENERGIA</c:v>
                </c:pt>
                <c:pt idx="39">
                  <c:v>LA VIRGEN</c:v>
                </c:pt>
                <c:pt idx="40">
                  <c:v>EGESUR</c:v>
                </c:pt>
                <c:pt idx="41">
                  <c:v>ENERGÍA EÓLICA</c:v>
                </c:pt>
                <c:pt idx="42">
                  <c:v>SAN GABAN</c:v>
                </c:pt>
                <c:pt idx="43">
                  <c:v>INLAND</c:v>
                </c:pt>
                <c:pt idx="44">
                  <c:v>EMGE HUANZA</c:v>
                </c:pt>
                <c:pt idx="45">
                  <c:v>TERMOSELVA</c:v>
                </c:pt>
                <c:pt idx="46">
                  <c:v>P.E. TRES HERMANAS</c:v>
                </c:pt>
                <c:pt idx="47">
                  <c:v>ENEL GENERACION PIURA</c:v>
                </c:pt>
                <c:pt idx="48">
                  <c:v>ENEL GREEN POWER PERU</c:v>
                </c:pt>
                <c:pt idx="49">
                  <c:v>EGEMSA</c:v>
                </c:pt>
                <c:pt idx="50">
                  <c:v>EGASA</c:v>
                </c:pt>
                <c:pt idx="51">
                  <c:v>CELEPSA</c:v>
                </c:pt>
                <c:pt idx="52">
                  <c:v>CHINANGO</c:v>
                </c:pt>
                <c:pt idx="53">
                  <c:v>ORAZUL ENERGY PERÚ</c:v>
                </c:pt>
                <c:pt idx="54">
                  <c:v>STATKRAFT</c:v>
                </c:pt>
                <c:pt idx="55">
                  <c:v>TERMOCHILCA</c:v>
                </c:pt>
                <c:pt idx="56">
                  <c:v>EMGE HUALLAGA</c:v>
                </c:pt>
                <c:pt idx="57">
                  <c:v>FENIX POWER</c:v>
                </c:pt>
                <c:pt idx="58">
                  <c:v>KALLPA</c:v>
                </c:pt>
                <c:pt idx="59">
                  <c:v>ELECTROPERU</c:v>
                </c:pt>
                <c:pt idx="60">
                  <c:v>ENGIE</c:v>
                </c:pt>
                <c:pt idx="61">
                  <c:v>ENEL GENERACION PERU</c:v>
                </c:pt>
              </c:strCache>
            </c:strRef>
          </c:cat>
          <c:val>
            <c:numRef>
              <c:f>'9. Pot. Empresa'!$N$7:$N$68</c:f>
              <c:numCache>
                <c:formatCode>0</c:formatCode>
                <c:ptCount val="62"/>
                <c:pt idx="0">
                  <c:v>0.82318000000000002</c:v>
                </c:pt>
                <c:pt idx="2">
                  <c:v>0</c:v>
                </c:pt>
                <c:pt idx="3">
                  <c:v>0</c:v>
                </c:pt>
                <c:pt idx="4">
                  <c:v>5.82</c:v>
                </c:pt>
                <c:pt idx="5">
                  <c:v>0</c:v>
                </c:pt>
                <c:pt idx="6">
                  <c:v>0</c:v>
                </c:pt>
                <c:pt idx="7">
                  <c:v>0</c:v>
                </c:pt>
                <c:pt idx="8">
                  <c:v>0</c:v>
                </c:pt>
                <c:pt idx="9">
                  <c:v>0</c:v>
                </c:pt>
                <c:pt idx="10">
                  <c:v>0</c:v>
                </c:pt>
                <c:pt idx="11">
                  <c:v>0</c:v>
                </c:pt>
                <c:pt idx="12">
                  <c:v>0</c:v>
                </c:pt>
                <c:pt idx="14">
                  <c:v>0</c:v>
                </c:pt>
                <c:pt idx="15">
                  <c:v>1.3103199999999999</c:v>
                </c:pt>
                <c:pt idx="16">
                  <c:v>2.31291</c:v>
                </c:pt>
                <c:pt idx="17">
                  <c:v>2.42727</c:v>
                </c:pt>
                <c:pt idx="18">
                  <c:v>2.4</c:v>
                </c:pt>
                <c:pt idx="19">
                  <c:v>3.1417199999999998</c:v>
                </c:pt>
                <c:pt idx="20">
                  <c:v>0</c:v>
                </c:pt>
                <c:pt idx="21">
                  <c:v>5.1585000000000001</c:v>
                </c:pt>
                <c:pt idx="22">
                  <c:v>10.220700000000001</c:v>
                </c:pt>
                <c:pt idx="23">
                  <c:v>4.8914400000000002</c:v>
                </c:pt>
                <c:pt idx="24">
                  <c:v>6.9821400000000002</c:v>
                </c:pt>
                <c:pt idx="25">
                  <c:v>8.875</c:v>
                </c:pt>
                <c:pt idx="26">
                  <c:v>0</c:v>
                </c:pt>
                <c:pt idx="27">
                  <c:v>6.5880700000000001</c:v>
                </c:pt>
                <c:pt idx="28">
                  <c:v>15.024900000000001</c:v>
                </c:pt>
                <c:pt idx="29">
                  <c:v>15.61232</c:v>
                </c:pt>
                <c:pt idx="30">
                  <c:v>17.854979999999998</c:v>
                </c:pt>
                <c:pt idx="31">
                  <c:v>0</c:v>
                </c:pt>
                <c:pt idx="32">
                  <c:v>0</c:v>
                </c:pt>
                <c:pt idx="33">
                  <c:v>20.038219999999999</c:v>
                </c:pt>
                <c:pt idx="34">
                  <c:v>16.742919999999998</c:v>
                </c:pt>
                <c:pt idx="35">
                  <c:v>22.56897</c:v>
                </c:pt>
                <c:pt idx="36">
                  <c:v>26.41188</c:v>
                </c:pt>
                <c:pt idx="37">
                  <c:v>31.261310000000002</c:v>
                </c:pt>
                <c:pt idx="38">
                  <c:v>0</c:v>
                </c:pt>
                <c:pt idx="40">
                  <c:v>26.856000000000002</c:v>
                </c:pt>
                <c:pt idx="41">
                  <c:v>88.377430000000004</c:v>
                </c:pt>
                <c:pt idx="42">
                  <c:v>108.07562</c:v>
                </c:pt>
                <c:pt idx="43">
                  <c:v>74.079190000000011</c:v>
                </c:pt>
                <c:pt idx="44">
                  <c:v>94.074659999999994</c:v>
                </c:pt>
                <c:pt idx="45">
                  <c:v>0</c:v>
                </c:pt>
                <c:pt idx="46">
                  <c:v>92.051659999999998</c:v>
                </c:pt>
                <c:pt idx="47">
                  <c:v>91.338499999999996</c:v>
                </c:pt>
                <c:pt idx="48">
                  <c:v>128.52634</c:v>
                </c:pt>
                <c:pt idx="49">
                  <c:v>139.61899</c:v>
                </c:pt>
                <c:pt idx="50">
                  <c:v>167.37198999999998</c:v>
                </c:pt>
                <c:pt idx="51">
                  <c:v>203.70605999999998</c:v>
                </c:pt>
                <c:pt idx="52">
                  <c:v>144.20676</c:v>
                </c:pt>
                <c:pt idx="53">
                  <c:v>179.07745999999997</c:v>
                </c:pt>
                <c:pt idx="54">
                  <c:v>259.27860999999996</c:v>
                </c:pt>
                <c:pt idx="55">
                  <c:v>0</c:v>
                </c:pt>
                <c:pt idx="56">
                  <c:v>30.739879999999999</c:v>
                </c:pt>
                <c:pt idx="57">
                  <c:v>546.11649</c:v>
                </c:pt>
                <c:pt idx="58">
                  <c:v>791.83739000000003</c:v>
                </c:pt>
                <c:pt idx="59">
                  <c:v>869.16816000000006</c:v>
                </c:pt>
                <c:pt idx="60">
                  <c:v>929.21021999999994</c:v>
                </c:pt>
                <c:pt idx="61" formatCode="0.00">
                  <c:v>872.75891000000001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2019</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2020</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c:v>226.44200129999999</c:v>
                </c:pt>
                <c:pt idx="18">
                  <c:v>227.14199830000001</c:v>
                </c:pt>
                <c:pt idx="19">
                  <c:v>227.625</c:v>
                </c:pt>
                <c:pt idx="20">
                  <c:v>227.75800000000001</c:v>
                </c:pt>
                <c:pt idx="21">
                  <c:v>226.41700739999999</c:v>
                </c:pt>
                <c:pt idx="22">
                  <c:v>224.4589996</c:v>
                </c:pt>
                <c:pt idx="23">
                  <c:v>220.634994506835</c:v>
                </c:pt>
                <c:pt idx="24">
                  <c:v>218.28599550000001</c:v>
                </c:pt>
                <c:pt idx="25">
                  <c:v>214.90499879999999</c:v>
                </c:pt>
                <c:pt idx="26">
                  <c:v>210.91799926757801</c:v>
                </c:pt>
                <c:pt idx="27">
                  <c:v>207.96099849999999</c:v>
                </c:pt>
                <c:pt idx="28">
                  <c:v>205.66700739999999</c:v>
                </c:pt>
                <c:pt idx="29">
                  <c:v>197.3999939</c:v>
                </c:pt>
                <c:pt idx="30">
                  <c:v>194.98199460000001</c:v>
                </c:pt>
                <c:pt idx="31">
                  <c:v>190.13999938964801</c:v>
                </c:pt>
                <c:pt idx="32">
                  <c:v>186.17300420000001</c:v>
                </c:pt>
                <c:pt idx="33">
                  <c:v>183.14799500000001</c:v>
                </c:pt>
                <c:pt idx="34">
                  <c:v>175.24000549316401</c:v>
                </c:pt>
                <c:pt idx="35">
                  <c:v>171.61000061035099</c:v>
                </c:pt>
                <c:pt idx="36">
                  <c:v>167.78999328613199</c:v>
                </c:pt>
                <c:pt idx="37">
                  <c:v>170.03999328613199</c:v>
                </c:pt>
                <c:pt idx="38">
                  <c:v>159.69</c:v>
                </c:pt>
                <c:pt idx="39">
                  <c:v>150.2969971</c:v>
                </c:pt>
                <c:pt idx="40">
                  <c:v>146.7689972</c:v>
                </c:pt>
                <c:pt idx="41">
                  <c:v>142.69900512695301</c:v>
                </c:pt>
                <c:pt idx="42">
                  <c:v>135.75</c:v>
                </c:pt>
                <c:pt idx="43">
                  <c:v>130.27000430000001</c:v>
                </c:pt>
                <c:pt idx="44">
                  <c:v>124.5780029</c:v>
                </c:pt>
                <c:pt idx="45">
                  <c:v>120.7269974</c:v>
                </c:pt>
                <c:pt idx="46">
                  <c:v>113.7900009</c:v>
                </c:pt>
                <c:pt idx="47">
                  <c:v>104.1470032</c:v>
                </c:pt>
                <c:pt idx="48">
                  <c:v>104.8560028</c:v>
                </c:pt>
                <c:pt idx="49">
                  <c:v>105.70500180000001</c:v>
                </c:pt>
                <c:pt idx="50">
                  <c:v>110.41200259999999</c:v>
                </c:pt>
                <c:pt idx="51">
                  <c:v>119.1200027</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2021</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129.00799559999999</c:v>
                </c:pt>
                <c:pt idx="1">
                  <c:v>140.9219971</c:v>
                </c:pt>
                <c:pt idx="2">
                  <c:v>146.8099976</c:v>
                </c:pt>
                <c:pt idx="3">
                  <c:v>159.0500031</c:v>
                </c:pt>
                <c:pt idx="4">
                  <c:v>174.75</c:v>
                </c:pt>
                <c:pt idx="5">
                  <c:v>179.64900209999999</c:v>
                </c:pt>
                <c:pt idx="6">
                  <c:v>184.3</c:v>
                </c:pt>
                <c:pt idx="7">
                  <c:v>186.76999999999998</c:v>
                </c:pt>
                <c:pt idx="8">
                  <c:v>193.21000671386699</c:v>
                </c:pt>
                <c:pt idx="9">
                  <c:v>196.71000670000001</c:v>
                </c:pt>
                <c:pt idx="10">
                  <c:v>203.61799619999999</c:v>
                </c:pt>
                <c:pt idx="11">
                  <c:v>209.9909973</c:v>
                </c:pt>
                <c:pt idx="12">
                  <c:v>219.56300350000001</c:v>
                </c:pt>
                <c:pt idx="13">
                  <c:v>225.1629944</c:v>
                </c:pt>
                <c:pt idx="14">
                  <c:v>224.9100037</c:v>
                </c:pt>
                <c:pt idx="15">
                  <c:v>224.5</c:v>
                </c:pt>
                <c:pt idx="16">
                  <c:v>225.58500670000001</c:v>
                </c:pt>
                <c:pt idx="17" formatCode="0.0">
                  <c:v>225.2599945</c:v>
                </c:pt>
                <c:pt idx="18" formatCode="0.0">
                  <c:v>225.3280029</c:v>
                </c:pt>
                <c:pt idx="19" formatCode="0.0">
                  <c:v>225.2279968</c:v>
                </c:pt>
                <c:pt idx="20" formatCode="0.0">
                  <c:v>225.25399780000001</c:v>
                </c:pt>
                <c:pt idx="21" formatCode="0.0">
                  <c:v>223.9129944</c:v>
                </c:pt>
                <c:pt idx="22" formatCode="0.0">
                  <c:v>221.64599609999999</c:v>
                </c:pt>
                <c:pt idx="23" formatCode="0.0">
                  <c:v>218.4100037</c:v>
                </c:pt>
                <c:pt idx="24" formatCode="0.0">
                  <c:v>215.33500670000001</c:v>
                </c:pt>
                <c:pt idx="25" formatCode="0.0">
                  <c:v>212.2720032</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2018</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2020</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c:v>296.54501340000002</c:v>
                </c:pt>
                <c:pt idx="14">
                  <c:v>289.60299680000003</c:v>
                </c:pt>
                <c:pt idx="15">
                  <c:v>285.006012</c:v>
                </c:pt>
                <c:pt idx="16">
                  <c:v>285.00601196289</c:v>
                </c:pt>
                <c:pt idx="17">
                  <c:v>285.006012</c:v>
                </c:pt>
                <c:pt idx="18">
                  <c:v>314.7409973</c:v>
                </c:pt>
                <c:pt idx="19">
                  <c:v>314.14801030000001</c:v>
                </c:pt>
                <c:pt idx="20">
                  <c:v>312.37200927734301</c:v>
                </c:pt>
                <c:pt idx="21">
                  <c:v>310.60000609999997</c:v>
                </c:pt>
                <c:pt idx="22">
                  <c:v>307.06500240000003</c:v>
                </c:pt>
                <c:pt idx="23">
                  <c:v>300.621002197265</c:v>
                </c:pt>
                <c:pt idx="24">
                  <c:v>286.72698969999999</c:v>
                </c:pt>
                <c:pt idx="25">
                  <c:v>266.86801150000002</c:v>
                </c:pt>
                <c:pt idx="26">
                  <c:v>255.73500061035099</c:v>
                </c:pt>
                <c:pt idx="27">
                  <c:v>244.7590027</c:v>
                </c:pt>
                <c:pt idx="28">
                  <c:v>231.25799559999999</c:v>
                </c:pt>
                <c:pt idx="29">
                  <c:v>219.58000179999999</c:v>
                </c:pt>
                <c:pt idx="30">
                  <c:v>209.128006</c:v>
                </c:pt>
                <c:pt idx="31">
                  <c:v>201.39199830000001</c:v>
                </c:pt>
                <c:pt idx="32">
                  <c:v>189.6999969</c:v>
                </c:pt>
                <c:pt idx="33">
                  <c:v>178.71099849999999</c:v>
                </c:pt>
                <c:pt idx="34">
                  <c:v>167.91000366210901</c:v>
                </c:pt>
                <c:pt idx="35">
                  <c:v>158.25599670410099</c:v>
                </c:pt>
                <c:pt idx="36">
                  <c:v>147.34800720214801</c:v>
                </c:pt>
                <c:pt idx="37">
                  <c:v>136.64599609375</c:v>
                </c:pt>
                <c:pt idx="38">
                  <c:v>131.14500430000001</c:v>
                </c:pt>
                <c:pt idx="39">
                  <c:v>120.7580032</c:v>
                </c:pt>
                <c:pt idx="40">
                  <c:v>102.3249969</c:v>
                </c:pt>
                <c:pt idx="41">
                  <c:v>92.944999694824205</c:v>
                </c:pt>
                <c:pt idx="42">
                  <c:v>84.166999820000001</c:v>
                </c:pt>
                <c:pt idx="43">
                  <c:v>82.51499939</c:v>
                </c:pt>
                <c:pt idx="44">
                  <c:v>72.33000183</c:v>
                </c:pt>
                <c:pt idx="45">
                  <c:v>57.318000789999999</c:v>
                </c:pt>
                <c:pt idx="46">
                  <c:v>44.738998410000001</c:v>
                </c:pt>
                <c:pt idx="47">
                  <c:v>34.763999939999998</c:v>
                </c:pt>
                <c:pt idx="48">
                  <c:v>27.915000920000001</c:v>
                </c:pt>
                <c:pt idx="49">
                  <c:v>19.81399918</c:v>
                </c:pt>
                <c:pt idx="50">
                  <c:v>22.256999969999999</c:v>
                </c:pt>
                <c:pt idx="51">
                  <c:v>51.54700089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2021</c:v>
                </c:pt>
              </c:strCache>
            </c:strRef>
          </c:tx>
          <c:spPr>
            <a:ln w="6350"/>
          </c:spPr>
          <c:val>
            <c:numRef>
              <c:f>'11. Volúmenes'!$R$6:$R$58</c:f>
              <c:numCache>
                <c:formatCode>_(* #,##0.00_);_(* \(#,##0.00\);_(* "-"??_);_(@_)</c:formatCode>
                <c:ptCount val="53"/>
                <c:pt idx="0">
                  <c:v>78.003997799999993</c:v>
                </c:pt>
                <c:pt idx="1">
                  <c:v>98.037002560000005</c:v>
                </c:pt>
                <c:pt idx="2">
                  <c:v>137.10699460000001</c:v>
                </c:pt>
                <c:pt idx="3">
                  <c:v>187.18600459999999</c:v>
                </c:pt>
                <c:pt idx="4">
                  <c:v>240.25399780000001</c:v>
                </c:pt>
                <c:pt idx="5">
                  <c:v>285.57900999999998</c:v>
                </c:pt>
                <c:pt idx="6">
                  <c:v>286.72699999999998</c:v>
                </c:pt>
                <c:pt idx="7">
                  <c:v>276.42099999999999</c:v>
                </c:pt>
                <c:pt idx="8">
                  <c:v>271.92898559570301</c:v>
                </c:pt>
                <c:pt idx="9">
                  <c:v>283.85998540000003</c:v>
                </c:pt>
                <c:pt idx="10">
                  <c:v>297.12600709999998</c:v>
                </c:pt>
                <c:pt idx="11">
                  <c:v>303.54400629999998</c:v>
                </c:pt>
                <c:pt idx="12">
                  <c:v>310.60000609999997</c:v>
                </c:pt>
                <c:pt idx="13" formatCode="General">
                  <c:v>310.60000609999997</c:v>
                </c:pt>
                <c:pt idx="14" formatCode="General">
                  <c:v>308.24200439999998</c:v>
                </c:pt>
                <c:pt idx="15" formatCode="General">
                  <c:v>302.9590149</c:v>
                </c:pt>
                <c:pt idx="16" formatCode="General">
                  <c:v>304.71600339999998</c:v>
                </c:pt>
                <c:pt idx="17" formatCode="General">
                  <c:v>301.20498659999998</c:v>
                </c:pt>
                <c:pt idx="18" formatCode="General">
                  <c:v>301.78900149999998</c:v>
                </c:pt>
                <c:pt idx="19" formatCode="General">
                  <c:v>305.30300899999997</c:v>
                </c:pt>
                <c:pt idx="20" formatCode="0.000">
                  <c:v>308.24200439999998</c:v>
                </c:pt>
                <c:pt idx="21" formatCode="0.000">
                  <c:v>307.6530151</c:v>
                </c:pt>
                <c:pt idx="22" formatCode="0.000">
                  <c:v>302.9590149</c:v>
                </c:pt>
                <c:pt idx="23" formatCode="0.000">
                  <c:v>291.91101070000002</c:v>
                </c:pt>
                <c:pt idx="24" formatCode="0.000">
                  <c:v>282.14498900000001</c:v>
                </c:pt>
                <c:pt idx="25" formatCode="0.000">
                  <c:v>270.23800660000001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2018</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216.70300435500002</c:v>
                </c:pt>
                <c:pt idx="1">
                  <c:v>232.83600043999999</c:v>
                </c:pt>
                <c:pt idx="2">
                  <c:v>271.78000545999998</c:v>
                </c:pt>
                <c:pt idx="3">
                  <c:v>269.07999802</c:v>
                </c:pt>
                <c:pt idx="4">
                  <c:v>273.52000047000001</c:v>
                </c:pt>
                <c:pt idx="5">
                  <c:v>302.63299941999998</c:v>
                </c:pt>
                <c:pt idx="6">
                  <c:v>328.23703</c:v>
                </c:pt>
                <c:pt idx="7">
                  <c:v>343.54049999999995</c:v>
                </c:pt>
                <c:pt idx="8">
                  <c:v>371.29100467000001</c:v>
                </c:pt>
                <c:pt idx="9">
                  <c:v>390.38299555999998</c:v>
                </c:pt>
                <c:pt idx="10">
                  <c:v>412.41217171999995</c:v>
                </c:pt>
                <c:pt idx="11">
                  <c:v>410.83199501000001</c:v>
                </c:pt>
                <c:pt idx="12">
                  <c:v>403.70400233999999</c:v>
                </c:pt>
                <c:pt idx="13">
                  <c:v>399.27400204999998</c:v>
                </c:pt>
                <c:pt idx="14">
                  <c:v>394.58499913000003</c:v>
                </c:pt>
                <c:pt idx="15">
                  <c:v>392.29800030000007</c:v>
                </c:pt>
                <c:pt idx="16">
                  <c:v>390.15600400999995</c:v>
                </c:pt>
                <c:pt idx="17">
                  <c:v>386.47099490999994</c:v>
                </c:pt>
                <c:pt idx="18">
                  <c:v>382.00799562999993</c:v>
                </c:pt>
                <c:pt idx="19">
                  <c:v>378.52099610999994</c:v>
                </c:pt>
                <c:pt idx="20">
                  <c:v>375.20999716</c:v>
                </c:pt>
                <c:pt idx="21">
                  <c:v>374.07600211999994</c:v>
                </c:pt>
                <c:pt idx="22">
                  <c:v>370.89200402</c:v>
                </c:pt>
                <c:pt idx="23">
                  <c:v>366.71700096999996</c:v>
                </c:pt>
                <c:pt idx="24">
                  <c:v>361.43599508999995</c:v>
                </c:pt>
                <c:pt idx="25">
                  <c:v>355.34</c:v>
                </c:pt>
                <c:pt idx="26">
                  <c:v>349.01599981000004</c:v>
                </c:pt>
                <c:pt idx="27">
                  <c:v>343.97999999999996</c:v>
                </c:pt>
                <c:pt idx="28">
                  <c:v>342.06599807739167</c:v>
                </c:pt>
                <c:pt idx="29">
                  <c:v>335.23199999999997</c:v>
                </c:pt>
                <c:pt idx="30">
                  <c:v>329.56800555999996</c:v>
                </c:pt>
                <c:pt idx="31">
                  <c:v>323.79099748000004</c:v>
                </c:pt>
                <c:pt idx="32">
                  <c:v>317.64699750999995</c:v>
                </c:pt>
                <c:pt idx="33">
                  <c:v>311.42</c:v>
                </c:pt>
                <c:pt idx="34">
                  <c:v>305.20999999999998</c:v>
                </c:pt>
                <c:pt idx="35">
                  <c:v>299.17000225600003</c:v>
                </c:pt>
                <c:pt idx="36">
                  <c:v>292.45899891799996</c:v>
                </c:pt>
                <c:pt idx="37">
                  <c:v>286.11999916000002</c:v>
                </c:pt>
                <c:pt idx="38">
                  <c:v>278.57999837699998</c:v>
                </c:pt>
                <c:pt idx="39">
                  <c:v>271.23250496387476</c:v>
                </c:pt>
                <c:pt idx="40">
                  <c:v>256.27199935913058</c:v>
                </c:pt>
                <c:pt idx="41">
                  <c:v>249.67099761962871</c:v>
                </c:pt>
                <c:pt idx="42">
                  <c:v>249.67099761962871</c:v>
                </c:pt>
                <c:pt idx="43">
                  <c:v>243.378839739</c:v>
                </c:pt>
                <c:pt idx="44">
                  <c:v>236.34</c:v>
                </c:pt>
                <c:pt idx="45">
                  <c:v>227.62000255999999</c:v>
                </c:pt>
                <c:pt idx="46">
                  <c:v>220.01436420799999</c:v>
                </c:pt>
                <c:pt idx="47">
                  <c:v>212.37999999999997</c:v>
                </c:pt>
                <c:pt idx="48">
                  <c:v>205.46782675599999</c:v>
                </c:pt>
                <c:pt idx="49">
                  <c:v>199</c:v>
                </c:pt>
                <c:pt idx="50">
                  <c:v>192.88799664499999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2019</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2020</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c:v>398.93495940999998</c:v>
                </c:pt>
                <c:pt idx="14">
                  <c:v>388.01895332999999</c:v>
                </c:pt>
                <c:pt idx="15">
                  <c:v>383.39695458999995</c:v>
                </c:pt>
                <c:pt idx="16">
                  <c:v>381.56399345397853</c:v>
                </c:pt>
                <c:pt idx="17">
                  <c:v>379.87400246999994</c:v>
                </c:pt>
                <c:pt idx="18">
                  <c:v>375.69400404000004</c:v>
                </c:pt>
                <c:pt idx="19">
                  <c:v>370.56599616999995</c:v>
                </c:pt>
                <c:pt idx="20">
                  <c:v>365.52200794219863</c:v>
                </c:pt>
                <c:pt idx="21">
                  <c:v>359.19900507300002</c:v>
                </c:pt>
                <c:pt idx="22">
                  <c:v>354.24799921000005</c:v>
                </c:pt>
                <c:pt idx="23">
                  <c:v>348.87000203132561</c:v>
                </c:pt>
                <c:pt idx="24">
                  <c:v>343.83099551700002</c:v>
                </c:pt>
                <c:pt idx="25">
                  <c:v>338.47100355099997</c:v>
                </c:pt>
                <c:pt idx="26">
                  <c:v>333.23996639251612</c:v>
                </c:pt>
                <c:pt idx="27">
                  <c:v>327.71050074999999</c:v>
                </c:pt>
                <c:pt idx="28">
                  <c:v>322.11699965099996</c:v>
                </c:pt>
                <c:pt idx="29">
                  <c:v>316.39600081599997</c:v>
                </c:pt>
                <c:pt idx="30">
                  <c:v>310.66199637099999</c:v>
                </c:pt>
                <c:pt idx="31">
                  <c:v>304.63100243800005</c:v>
                </c:pt>
                <c:pt idx="32">
                  <c:v>299.14499665</c:v>
                </c:pt>
                <c:pt idx="33">
                  <c:v>293.22399712800001</c:v>
                </c:pt>
                <c:pt idx="34">
                  <c:v>287.11000061035065</c:v>
                </c:pt>
                <c:pt idx="35">
                  <c:v>280.34500217437699</c:v>
                </c:pt>
                <c:pt idx="36">
                  <c:v>273.90200042724575</c:v>
                </c:pt>
                <c:pt idx="37">
                  <c:v>267.16300058364783</c:v>
                </c:pt>
                <c:pt idx="38">
                  <c:v>262.426999588</c:v>
                </c:pt>
                <c:pt idx="39">
                  <c:v>258.968997</c:v>
                </c:pt>
                <c:pt idx="40">
                  <c:v>255.76199719799999</c:v>
                </c:pt>
                <c:pt idx="41">
                  <c:v>251.31199836730943</c:v>
                </c:pt>
                <c:pt idx="42">
                  <c:v>245.88199755799999</c:v>
                </c:pt>
                <c:pt idx="43">
                  <c:v>239.051002463</c:v>
                </c:pt>
                <c:pt idx="44">
                  <c:v>232.679000852</c:v>
                </c:pt>
                <c:pt idx="45">
                  <c:v>225.80399990800001</c:v>
                </c:pt>
                <c:pt idx="46">
                  <c:v>219.24500608799997</c:v>
                </c:pt>
                <c:pt idx="47">
                  <c:v>212.09200192</c:v>
                </c:pt>
                <c:pt idx="48">
                  <c:v>206.70499944799997</c:v>
                </c:pt>
                <c:pt idx="49">
                  <c:v>200.08300209800001</c:v>
                </c:pt>
                <c:pt idx="50">
                  <c:v>200.81900405299996</c:v>
                </c:pt>
                <c:pt idx="51">
                  <c:v>217.92999649000001</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2021</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222.16899967999998</c:v>
                </c:pt>
                <c:pt idx="1">
                  <c:v>243.88599584999997</c:v>
                </c:pt>
                <c:pt idx="2">
                  <c:v>260.96799851000003</c:v>
                </c:pt>
                <c:pt idx="3">
                  <c:v>282.90399740999999</c:v>
                </c:pt>
                <c:pt idx="4">
                  <c:v>283.46798616000001</c:v>
                </c:pt>
                <c:pt idx="5">
                  <c:v>323.49900059000004</c:v>
                </c:pt>
                <c:pt idx="6">
                  <c:v>323.53270380002277</c:v>
                </c:pt>
                <c:pt idx="7">
                  <c:v>320.11500000000001</c:v>
                </c:pt>
                <c:pt idx="8">
                  <c:v>323.68899917602516</c:v>
                </c:pt>
                <c:pt idx="9">
                  <c:v>329.89599799999996</c:v>
                </c:pt>
                <c:pt idx="10">
                  <c:v>345.04400820999996</c:v>
                </c:pt>
                <c:pt idx="11">
                  <c:v>376.08100894</c:v>
                </c:pt>
                <c:pt idx="12">
                  <c:v>390.74499132000005</c:v>
                </c:pt>
                <c:pt idx="13" formatCode="General">
                  <c:v>396.33900255999993</c:v>
                </c:pt>
                <c:pt idx="14" formatCode="General">
                  <c:v>407.79200167999994</c:v>
                </c:pt>
                <c:pt idx="15" formatCode="General">
                  <c:v>404.66700356000001</c:v>
                </c:pt>
                <c:pt idx="16" formatCode="General">
                  <c:v>401.20799636000004</c:v>
                </c:pt>
                <c:pt idx="17" formatCode="General">
                  <c:v>398.68500135999994</c:v>
                </c:pt>
                <c:pt idx="18" formatCode="General">
                  <c:v>396.22801973000003</c:v>
                </c:pt>
                <c:pt idx="19" formatCode="General">
                  <c:v>391.74099727000004</c:v>
                </c:pt>
                <c:pt idx="20" formatCode="General">
                  <c:v>387.63294980000006</c:v>
                </c:pt>
                <c:pt idx="21" formatCode="General">
                  <c:v>383.63200570999999</c:v>
                </c:pt>
                <c:pt idx="22" formatCode="General">
                  <c:v>379.05501368</c:v>
                </c:pt>
                <c:pt idx="23" formatCode="General">
                  <c:v>374.35099984999999</c:v>
                </c:pt>
                <c:pt idx="24" formatCode="General">
                  <c:v>369.41900067</c:v>
                </c:pt>
                <c:pt idx="25" formatCode="General">
                  <c:v>363.95100021999997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2153.3551646150004</c:v>
                </c:pt>
                <c:pt idx="1">
                  <c:v>1364.5182918550006</c:v>
                </c:pt>
                <c:pt idx="2">
                  <c:v>0</c:v>
                </c:pt>
                <c:pt idx="3">
                  <c:v>2.45639E-2</c:v>
                </c:pt>
                <c:pt idx="4">
                  <c:v>21.865095594999996</c:v>
                </c:pt>
                <c:pt idx="5">
                  <c:v>161.8844647825</c:v>
                </c:pt>
                <c:pt idx="6">
                  <c:v>55.064190197499997</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2050.4336159999998</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4.0630857574999997</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33.762957344999997</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134.0867127425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54.256861282500005</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'12.Caudales'!$J$4:$K$187</c:f>
              <c:multiLvlStrCache>
                <c:ptCount val="183"/>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'12.Caudales'!$N$4:$N$186</c:f>
              <c:numCache>
                <c:formatCode>0.0</c:formatCode>
                <c:ptCount val="183"/>
                <c:pt idx="0">
                  <c:v>69.087142857142865</c:v>
                </c:pt>
                <c:pt idx="1">
                  <c:v>96.785858138571413</c:v>
                </c:pt>
                <c:pt idx="2">
                  <c:v>158.17728531428571</c:v>
                </c:pt>
                <c:pt idx="3">
                  <c:v>167.02357267142858</c:v>
                </c:pt>
                <c:pt idx="4">
                  <c:v>113.19585745142855</c:v>
                </c:pt>
                <c:pt idx="5">
                  <c:v>88.535714287142852</c:v>
                </c:pt>
                <c:pt idx="6">
                  <c:v>99.37822619047617</c:v>
                </c:pt>
                <c:pt idx="7">
                  <c:v>140.28</c:v>
                </c:pt>
                <c:pt idx="8">
                  <c:v>102.99642836285715</c:v>
                </c:pt>
                <c:pt idx="9">
                  <c:v>175.90485927142853</c:v>
                </c:pt>
                <c:pt idx="10">
                  <c:v>169.64671761428571</c:v>
                </c:pt>
                <c:pt idx="11">
                  <c:v>198.22</c:v>
                </c:pt>
                <c:pt idx="12">
                  <c:v>312.6314304857143</c:v>
                </c:pt>
                <c:pt idx="13">
                  <c:v>235.31328691428573</c:v>
                </c:pt>
                <c:pt idx="14">
                  <c:v>294.1721409428572</c:v>
                </c:pt>
                <c:pt idx="15">
                  <c:v>149.18</c:v>
                </c:pt>
                <c:pt idx="16">
                  <c:v>104.35</c:v>
                </c:pt>
                <c:pt idx="17">
                  <c:v>78.038143701428567</c:v>
                </c:pt>
                <c:pt idx="18">
                  <c:v>78.313856942857129</c:v>
                </c:pt>
                <c:pt idx="19">
                  <c:v>130.92628696285712</c:v>
                </c:pt>
                <c:pt idx="20">
                  <c:v>64.449287412857146</c:v>
                </c:pt>
                <c:pt idx="21">
                  <c:v>64.449287412857146</c:v>
                </c:pt>
                <c:pt idx="22">
                  <c:v>39.50100054</c:v>
                </c:pt>
                <c:pt idx="23">
                  <c:v>33.690285274285714</c:v>
                </c:pt>
                <c:pt idx="24">
                  <c:v>30.228428704285715</c:v>
                </c:pt>
                <c:pt idx="25">
                  <c:v>27.872285568571431</c:v>
                </c:pt>
                <c:pt idx="26">
                  <c:v>27.257571358571429</c:v>
                </c:pt>
                <c:pt idx="27">
                  <c:v>27.217285974285712</c:v>
                </c:pt>
                <c:pt idx="28">
                  <c:v>24.955714285714286</c:v>
                </c:pt>
                <c:pt idx="29">
                  <c:v>24.80942862142857</c:v>
                </c:pt>
                <c:pt idx="30">
                  <c:v>25.690999999999999</c:v>
                </c:pt>
                <c:pt idx="31">
                  <c:v>27.630000251428573</c:v>
                </c:pt>
                <c:pt idx="32">
                  <c:v>23.78</c:v>
                </c:pt>
                <c:pt idx="33">
                  <c:v>23.527999878571428</c:v>
                </c:pt>
                <c:pt idx="34">
                  <c:v>23.29</c:v>
                </c:pt>
                <c:pt idx="35">
                  <c:v>23.007142857142856</c:v>
                </c:pt>
                <c:pt idx="36">
                  <c:v>23.173571724285711</c:v>
                </c:pt>
                <c:pt idx="37">
                  <c:v>26.454000201428567</c:v>
                </c:pt>
                <c:pt idx="38">
                  <c:v>23.7</c:v>
                </c:pt>
                <c:pt idx="39">
                  <c:v>23.695143017142858</c:v>
                </c:pt>
                <c:pt idx="40">
                  <c:v>28.113285882132363</c:v>
                </c:pt>
                <c:pt idx="41">
                  <c:v>37.073285511561743</c:v>
                </c:pt>
                <c:pt idx="42">
                  <c:v>70.535571507045162</c:v>
                </c:pt>
                <c:pt idx="43">
                  <c:v>55.183714184285712</c:v>
                </c:pt>
                <c:pt idx="44">
                  <c:v>60.445714132857141</c:v>
                </c:pt>
                <c:pt idx="45">
                  <c:v>57.005714285714291</c:v>
                </c:pt>
                <c:pt idx="46">
                  <c:v>103.00771440714287</c:v>
                </c:pt>
                <c:pt idx="47">
                  <c:v>99.828000734285709</c:v>
                </c:pt>
                <c:pt idx="48">
                  <c:v>60.27571428571428</c:v>
                </c:pt>
                <c:pt idx="49">
                  <c:v>46.701999664285715</c:v>
                </c:pt>
                <c:pt idx="50">
                  <c:v>68.7</c:v>
                </c:pt>
                <c:pt idx="51">
                  <c:v>97.347143448571416</c:v>
                </c:pt>
                <c:pt idx="52">
                  <c:v>78.298570904285711</c:v>
                </c:pt>
                <c:pt idx="53">
                  <c:v>95.081715179999989</c:v>
                </c:pt>
                <c:pt idx="54">
                  <c:v>95.65</c:v>
                </c:pt>
                <c:pt idx="55">
                  <c:v>109.29957036285714</c:v>
                </c:pt>
                <c:pt idx="56">
                  <c:v>149.65083311999999</c:v>
                </c:pt>
                <c:pt idx="57">
                  <c:v>136.57714285714286</c:v>
                </c:pt>
                <c:pt idx="58">
                  <c:v>224.71071514285714</c:v>
                </c:pt>
                <c:pt idx="59">
                  <c:v>198.04342652857142</c:v>
                </c:pt>
                <c:pt idx="60">
                  <c:v>191.0112849857143</c:v>
                </c:pt>
                <c:pt idx="61">
                  <c:v>215.64014109999999</c:v>
                </c:pt>
                <c:pt idx="62">
                  <c:v>236.76099940708642</c:v>
                </c:pt>
                <c:pt idx="63">
                  <c:v>250.8679761904763</c:v>
                </c:pt>
                <c:pt idx="64">
                  <c:v>301.45971681428574</c:v>
                </c:pt>
                <c:pt idx="65">
                  <c:v>253.08542525714284</c:v>
                </c:pt>
                <c:pt idx="66">
                  <c:v>253.08542525714284</c:v>
                </c:pt>
                <c:pt idx="67">
                  <c:v>141.0458592</c:v>
                </c:pt>
                <c:pt idx="68">
                  <c:v>123.86656951428571</c:v>
                </c:pt>
                <c:pt idx="69">
                  <c:v>85.173857551428583</c:v>
                </c:pt>
                <c:pt idx="70">
                  <c:v>71.224285714285699</c:v>
                </c:pt>
                <c:pt idx="71">
                  <c:v>76.857142859999996</c:v>
                </c:pt>
                <c:pt idx="72">
                  <c:v>47.97114345</c:v>
                </c:pt>
                <c:pt idx="73">
                  <c:v>37.624285945285713</c:v>
                </c:pt>
                <c:pt idx="74">
                  <c:v>37.806285858571421</c:v>
                </c:pt>
                <c:pt idx="75">
                  <c:v>35.468714032857143</c:v>
                </c:pt>
                <c:pt idx="76">
                  <c:v>33.200142724285719</c:v>
                </c:pt>
                <c:pt idx="77">
                  <c:v>28.376285825714287</c:v>
                </c:pt>
                <c:pt idx="78">
                  <c:v>28.47</c:v>
                </c:pt>
                <c:pt idx="79">
                  <c:v>28.920333226666667</c:v>
                </c:pt>
                <c:pt idx="80">
                  <c:v>24.422333717346149</c:v>
                </c:pt>
                <c:pt idx="81">
                  <c:v>24.086666666666662</c:v>
                </c:pt>
                <c:pt idx="82">
                  <c:v>22.471285411428575</c:v>
                </c:pt>
                <c:pt idx="83">
                  <c:v>25.212714058571429</c:v>
                </c:pt>
                <c:pt idx="84">
                  <c:v>28.061000278571431</c:v>
                </c:pt>
                <c:pt idx="85">
                  <c:v>28.455856868571431</c:v>
                </c:pt>
                <c:pt idx="86">
                  <c:v>26.646000226666668</c:v>
                </c:pt>
                <c:pt idx="87">
                  <c:v>27.720570974285714</c:v>
                </c:pt>
                <c:pt idx="88">
                  <c:v>27.967571258571429</c:v>
                </c:pt>
                <c:pt idx="89">
                  <c:v>31.354000000000003</c:v>
                </c:pt>
                <c:pt idx="90">
                  <c:v>37.146399307250938</c:v>
                </c:pt>
                <c:pt idx="91">
                  <c:v>29.934999783333328</c:v>
                </c:pt>
                <c:pt idx="92">
                  <c:v>31.668000084285715</c:v>
                </c:pt>
                <c:pt idx="93">
                  <c:v>30.061428571428571</c:v>
                </c:pt>
                <c:pt idx="94">
                  <c:v>48.129999975714291</c:v>
                </c:pt>
                <c:pt idx="95">
                  <c:v>37.781833011666663</c:v>
                </c:pt>
                <c:pt idx="96">
                  <c:v>60.721429549999996</c:v>
                </c:pt>
                <c:pt idx="97">
                  <c:v>68.569856369999997</c:v>
                </c:pt>
                <c:pt idx="98">
                  <c:v>51.534999302857152</c:v>
                </c:pt>
                <c:pt idx="99">
                  <c:v>45.115714484285718</c:v>
                </c:pt>
                <c:pt idx="100">
                  <c:v>84.846428458571424</c:v>
                </c:pt>
                <c:pt idx="101">
                  <c:v>99.139714364285723</c:v>
                </c:pt>
                <c:pt idx="102">
                  <c:v>201.52657207142857</c:v>
                </c:pt>
                <c:pt idx="103">
                  <c:v>224.1094316857143</c:v>
                </c:pt>
                <c:pt idx="104">
                  <c:v>205.2461395</c:v>
                </c:pt>
                <c:pt idx="105">
                  <c:v>129.33128356933543</c:v>
                </c:pt>
                <c:pt idx="106">
                  <c:v>73.393001012857141</c:v>
                </c:pt>
                <c:pt idx="107">
                  <c:v>73.092571804285726</c:v>
                </c:pt>
                <c:pt idx="108">
                  <c:v>140.69343129999999</c:v>
                </c:pt>
                <c:pt idx="109">
                  <c:v>189.96014404285714</c:v>
                </c:pt>
                <c:pt idx="110">
                  <c:v>184.55100359235459</c:v>
                </c:pt>
                <c:pt idx="111">
                  <c:v>141.4891401142857</c:v>
                </c:pt>
                <c:pt idx="112">
                  <c:v>83.969571794782198</c:v>
                </c:pt>
                <c:pt idx="113">
                  <c:v>124.34114185428572</c:v>
                </c:pt>
                <c:pt idx="114">
                  <c:v>110.96499854142857</c:v>
                </c:pt>
                <c:pt idx="115">
                  <c:v>130.17914037142856</c:v>
                </c:pt>
                <c:pt idx="116">
                  <c:v>127.86657169886942</c:v>
                </c:pt>
                <c:pt idx="117">
                  <c:v>138.12900325230143</c:v>
                </c:pt>
                <c:pt idx="118">
                  <c:v>109.14457049285714</c:v>
                </c:pt>
                <c:pt idx="119">
                  <c:v>80.133571635714276</c:v>
                </c:pt>
                <c:pt idx="120">
                  <c:v>57.13714327142857</c:v>
                </c:pt>
                <c:pt idx="121">
                  <c:v>55.184285845075259</c:v>
                </c:pt>
                <c:pt idx="122">
                  <c:v>80.201000221428572</c:v>
                </c:pt>
                <c:pt idx="123">
                  <c:v>73.398713792857151</c:v>
                </c:pt>
                <c:pt idx="124">
                  <c:v>57.629714421428567</c:v>
                </c:pt>
                <c:pt idx="125">
                  <c:v>47.208427974155924</c:v>
                </c:pt>
                <c:pt idx="126">
                  <c:v>39.635571071428572</c:v>
                </c:pt>
                <c:pt idx="127">
                  <c:v>49.136857168571431</c:v>
                </c:pt>
                <c:pt idx="128">
                  <c:v>34.150428227015844</c:v>
                </c:pt>
                <c:pt idx="129">
                  <c:v>32.288857598571425</c:v>
                </c:pt>
                <c:pt idx="130">
                  <c:v>29.45585686714286</c:v>
                </c:pt>
                <c:pt idx="131">
                  <c:v>27.986428669520745</c:v>
                </c:pt>
                <c:pt idx="132">
                  <c:v>24.371857235714284</c:v>
                </c:pt>
                <c:pt idx="133">
                  <c:v>23.620857238571428</c:v>
                </c:pt>
                <c:pt idx="134">
                  <c:v>26.757428577142853</c:v>
                </c:pt>
                <c:pt idx="135">
                  <c:v>26.481285638571428</c:v>
                </c:pt>
                <c:pt idx="136">
                  <c:v>25.506571633475126</c:v>
                </c:pt>
                <c:pt idx="137">
                  <c:v>31.441428594285707</c:v>
                </c:pt>
                <c:pt idx="138">
                  <c:v>33.365713935714282</c:v>
                </c:pt>
                <c:pt idx="139">
                  <c:v>29.068999699183816</c:v>
                </c:pt>
                <c:pt idx="140">
                  <c:v>26.005428859165701</c:v>
                </c:pt>
                <c:pt idx="141">
                  <c:v>25.021857125418485</c:v>
                </c:pt>
                <c:pt idx="142">
                  <c:v>27.854714257376486</c:v>
                </c:pt>
                <c:pt idx="143">
                  <c:v>27.986571175714282</c:v>
                </c:pt>
                <c:pt idx="144">
                  <c:v>25.258999961428572</c:v>
                </c:pt>
                <c:pt idx="145">
                  <c:v>25.185571671428566</c:v>
                </c:pt>
                <c:pt idx="146">
                  <c:v>33.125999450683558</c:v>
                </c:pt>
                <c:pt idx="147">
                  <c:v>41.127143314285711</c:v>
                </c:pt>
                <c:pt idx="148">
                  <c:v>33.038428169999996</c:v>
                </c:pt>
                <c:pt idx="149">
                  <c:v>40.115713391428571</c:v>
                </c:pt>
                <c:pt idx="150">
                  <c:v>43.881571090000001</c:v>
                </c:pt>
                <c:pt idx="151">
                  <c:v>42.811571392857147</c:v>
                </c:pt>
                <c:pt idx="152">
                  <c:v>66.262570518571422</c:v>
                </c:pt>
                <c:pt idx="153">
                  <c:v>122.24228668571428</c:v>
                </c:pt>
                <c:pt idx="154">
                  <c:v>78.250285555714285</c:v>
                </c:pt>
                <c:pt idx="155">
                  <c:v>123.13128661428571</c:v>
                </c:pt>
                <c:pt idx="156">
                  <c:v>151.04400198571429</c:v>
                </c:pt>
                <c:pt idx="157">
                  <c:v>194.93985855714286</c:v>
                </c:pt>
                <c:pt idx="158">
                  <c:v>191.56657192857145</c:v>
                </c:pt>
                <c:pt idx="159">
                  <c:v>253.28128705714289</c:v>
                </c:pt>
                <c:pt idx="160">
                  <c:v>244.7925720428571</c:v>
                </c:pt>
                <c:pt idx="161">
                  <c:v>220.6247188142857</c:v>
                </c:pt>
                <c:pt idx="162">
                  <c:v>163.06042698571429</c:v>
                </c:pt>
                <c:pt idx="163">
                  <c:v>104.39303571428574</c:v>
                </c:pt>
                <c:pt idx="164">
                  <c:v>61.820178571428535</c:v>
                </c:pt>
                <c:pt idx="165">
                  <c:v>85.507331848144418</c:v>
                </c:pt>
                <c:pt idx="166">
                  <c:v>173.29428537142854</c:v>
                </c:pt>
                <c:pt idx="167">
                  <c:v>159.83856852857141</c:v>
                </c:pt>
                <c:pt idx="168">
                  <c:v>160.54285757142858</c:v>
                </c:pt>
                <c:pt idx="169">
                  <c:v>171.07471574285714</c:v>
                </c:pt>
                <c:pt idx="170">
                  <c:v>185.56500027142857</c:v>
                </c:pt>
                <c:pt idx="171">
                  <c:v>151.56014580000002</c:v>
                </c:pt>
                <c:pt idx="172">
                  <c:v>109.84099905714285</c:v>
                </c:pt>
                <c:pt idx="173">
                  <c:v>85.840285168571427</c:v>
                </c:pt>
                <c:pt idx="174">
                  <c:v>69.64942932142857</c:v>
                </c:pt>
                <c:pt idx="175">
                  <c:v>58.010286058571431</c:v>
                </c:pt>
                <c:pt idx="176">
                  <c:v>51.498000008571424</c:v>
                </c:pt>
                <c:pt idx="177">
                  <c:v>49.923428127142856</c:v>
                </c:pt>
                <c:pt idx="178">
                  <c:v>43.104427882857138</c:v>
                </c:pt>
                <c:pt idx="179">
                  <c:v>39.534857068571434</c:v>
                </c:pt>
                <c:pt idx="180">
                  <c:v>36.393142699999999</c:v>
                </c:pt>
                <c:pt idx="181">
                  <c:v>33.557857241428572</c:v>
                </c:pt>
                <c:pt idx="182">
                  <c:v>29.931428365714286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'12.Caudales'!$J$4:$K$187</c:f>
              <c:multiLvlStrCache>
                <c:ptCount val="183"/>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'12.Caudales'!$O$4:$O$186</c:f>
              <c:numCache>
                <c:formatCode>0.0</c:formatCode>
                <c:ptCount val="183"/>
                <c:pt idx="0">
                  <c:v>15.747142857142856</c:v>
                </c:pt>
                <c:pt idx="1">
                  <c:v>37.6</c:v>
                </c:pt>
                <c:pt idx="2">
                  <c:v>101.26128550142856</c:v>
                </c:pt>
                <c:pt idx="3">
                  <c:v>77.354000085714276</c:v>
                </c:pt>
                <c:pt idx="4">
                  <c:v>30.667142595714285</c:v>
                </c:pt>
                <c:pt idx="5">
                  <c:v>32.444142750000005</c:v>
                </c:pt>
                <c:pt idx="6">
                  <c:v>30.338148809523812</c:v>
                </c:pt>
                <c:pt idx="7">
                  <c:v>62.97</c:v>
                </c:pt>
                <c:pt idx="8">
                  <c:v>31.244571685714288</c:v>
                </c:pt>
                <c:pt idx="9">
                  <c:v>36.038285662857142</c:v>
                </c:pt>
                <c:pt idx="10">
                  <c:v>25.076428275714282</c:v>
                </c:pt>
                <c:pt idx="11">
                  <c:v>24.63</c:v>
                </c:pt>
                <c:pt idx="12">
                  <c:v>38.701428550000003</c:v>
                </c:pt>
                <c:pt idx="13">
                  <c:v>94.596427907142839</c:v>
                </c:pt>
                <c:pt idx="14">
                  <c:v>92.07</c:v>
                </c:pt>
                <c:pt idx="15">
                  <c:v>45.4</c:v>
                </c:pt>
                <c:pt idx="16">
                  <c:v>41.47</c:v>
                </c:pt>
                <c:pt idx="17">
                  <c:v>65.800999782857133</c:v>
                </c:pt>
                <c:pt idx="18">
                  <c:v>75.104713441428572</c:v>
                </c:pt>
                <c:pt idx="19">
                  <c:v>97.861000055714285</c:v>
                </c:pt>
                <c:pt idx="20">
                  <c:v>107.7964292242857</c:v>
                </c:pt>
                <c:pt idx="21">
                  <c:v>107.7964292242857</c:v>
                </c:pt>
                <c:pt idx="22">
                  <c:v>35.176713670000005</c:v>
                </c:pt>
                <c:pt idx="23">
                  <c:v>23.41942841571429</c:v>
                </c:pt>
                <c:pt idx="24">
                  <c:v>15.98614284142857</c:v>
                </c:pt>
                <c:pt idx="25">
                  <c:v>14.09042848857143</c:v>
                </c:pt>
                <c:pt idx="26">
                  <c:v>11.838857105714284</c:v>
                </c:pt>
                <c:pt idx="27">
                  <c:v>9.7789998731428565</c:v>
                </c:pt>
                <c:pt idx="28">
                  <c:v>8.4957142857142856</c:v>
                </c:pt>
                <c:pt idx="29">
                  <c:v>7.807428428142857</c:v>
                </c:pt>
                <c:pt idx="30">
                  <c:v>7.53</c:v>
                </c:pt>
                <c:pt idx="31">
                  <c:v>6.4074286734285701</c:v>
                </c:pt>
                <c:pt idx="32">
                  <c:v>4.9400000000000004</c:v>
                </c:pt>
                <c:pt idx="33">
                  <c:v>4.6688571658571432</c:v>
                </c:pt>
                <c:pt idx="34">
                  <c:v>4.5999999999999996</c:v>
                </c:pt>
                <c:pt idx="35">
                  <c:v>3.9657142857142857</c:v>
                </c:pt>
                <c:pt idx="36">
                  <c:v>3.5334285327142858</c:v>
                </c:pt>
                <c:pt idx="37">
                  <c:v>6.4914285118571433</c:v>
                </c:pt>
                <c:pt idx="38">
                  <c:v>4.9000000000000004</c:v>
                </c:pt>
                <c:pt idx="39">
                  <c:v>4.898285797571428</c:v>
                </c:pt>
                <c:pt idx="40">
                  <c:v>8.3430000032697169</c:v>
                </c:pt>
                <c:pt idx="41">
                  <c:v>7.2735712868826683</c:v>
                </c:pt>
                <c:pt idx="42">
                  <c:v>7.4324284962245324</c:v>
                </c:pt>
                <c:pt idx="43">
                  <c:v>15.801856994857145</c:v>
                </c:pt>
                <c:pt idx="44">
                  <c:v>26.432857787142858</c:v>
                </c:pt>
                <c:pt idx="45">
                  <c:v>53.502857142857145</c:v>
                </c:pt>
                <c:pt idx="46">
                  <c:v>53.459142955714292</c:v>
                </c:pt>
                <c:pt idx="47">
                  <c:v>45.539571760000008</c:v>
                </c:pt>
                <c:pt idx="48">
                  <c:v>17.955714285714286</c:v>
                </c:pt>
                <c:pt idx="49">
                  <c:v>13.432571411428571</c:v>
                </c:pt>
                <c:pt idx="50">
                  <c:v>39.414285714285711</c:v>
                </c:pt>
                <c:pt idx="51">
                  <c:v>65.679429182857149</c:v>
                </c:pt>
                <c:pt idx="52">
                  <c:v>21.927143370000003</c:v>
                </c:pt>
                <c:pt idx="53">
                  <c:v>22.397999900000002</c:v>
                </c:pt>
                <c:pt idx="54">
                  <c:v>17.61</c:v>
                </c:pt>
                <c:pt idx="55">
                  <c:v>17.638000354285712</c:v>
                </c:pt>
                <c:pt idx="56">
                  <c:v>19.218833289999999</c:v>
                </c:pt>
                <c:pt idx="57">
                  <c:v>57.185714285714276</c:v>
                </c:pt>
                <c:pt idx="58">
                  <c:v>118.06042697857141</c:v>
                </c:pt>
                <c:pt idx="59">
                  <c:v>106.29885756428571</c:v>
                </c:pt>
                <c:pt idx="60">
                  <c:v>142.12385776285717</c:v>
                </c:pt>
                <c:pt idx="61">
                  <c:v>164.59685624285717</c:v>
                </c:pt>
                <c:pt idx="62">
                  <c:v>121.6507121494835</c:v>
                </c:pt>
                <c:pt idx="63">
                  <c:v>166.63136904761905</c:v>
                </c:pt>
                <c:pt idx="64">
                  <c:v>180.07000078571429</c:v>
                </c:pt>
                <c:pt idx="65">
                  <c:v>143.43971579999999</c:v>
                </c:pt>
                <c:pt idx="66">
                  <c:v>152.6561442857143</c:v>
                </c:pt>
                <c:pt idx="67">
                  <c:v>83.844285145714295</c:v>
                </c:pt>
                <c:pt idx="68">
                  <c:v>125.28814153857142</c:v>
                </c:pt>
                <c:pt idx="69">
                  <c:v>66.347143447142855</c:v>
                </c:pt>
                <c:pt idx="70">
                  <c:v>42.216071428571425</c:v>
                </c:pt>
                <c:pt idx="71">
                  <c:v>58.324429100000003</c:v>
                </c:pt>
                <c:pt idx="72">
                  <c:v>34.032571519999998</c:v>
                </c:pt>
                <c:pt idx="73">
                  <c:v>40.524285998571429</c:v>
                </c:pt>
                <c:pt idx="74">
                  <c:v>25.010571342857141</c:v>
                </c:pt>
                <c:pt idx="75">
                  <c:v>18.242713997857145</c:v>
                </c:pt>
                <c:pt idx="76">
                  <c:v>16.013142995714286</c:v>
                </c:pt>
                <c:pt idx="77">
                  <c:v>12.961571557142857</c:v>
                </c:pt>
                <c:pt idx="78">
                  <c:v>11.39</c:v>
                </c:pt>
                <c:pt idx="79">
                  <c:v>11.405166626666668</c:v>
                </c:pt>
                <c:pt idx="80">
                  <c:v>10.173999945322651</c:v>
                </c:pt>
                <c:pt idx="81">
                  <c:v>9.1716666666666669</c:v>
                </c:pt>
                <c:pt idx="82">
                  <c:v>8.5915715354285727</c:v>
                </c:pt>
                <c:pt idx="83">
                  <c:v>6.6260000637142857</c:v>
                </c:pt>
                <c:pt idx="84">
                  <c:v>5.9311428751428581</c:v>
                </c:pt>
                <c:pt idx="85">
                  <c:v>5.2604285648571434</c:v>
                </c:pt>
                <c:pt idx="86">
                  <c:v>4.7316666444999997</c:v>
                </c:pt>
                <c:pt idx="87">
                  <c:v>4.5542856622857144</c:v>
                </c:pt>
                <c:pt idx="88">
                  <c:v>4.1919999124285718</c:v>
                </c:pt>
                <c:pt idx="89">
                  <c:v>4.1759999999999993</c:v>
                </c:pt>
                <c:pt idx="90">
                  <c:v>4.8932001113891559</c:v>
                </c:pt>
                <c:pt idx="91">
                  <c:v>5.3130000431666664</c:v>
                </c:pt>
                <c:pt idx="92">
                  <c:v>8.3924286701428574</c:v>
                </c:pt>
                <c:pt idx="93">
                  <c:v>9.2871428571428574</c:v>
                </c:pt>
                <c:pt idx="94">
                  <c:v>18.153714861428572</c:v>
                </c:pt>
                <c:pt idx="95">
                  <c:v>19.903499760000003</c:v>
                </c:pt>
                <c:pt idx="96">
                  <c:v>69.077428547142844</c:v>
                </c:pt>
                <c:pt idx="97">
                  <c:v>51.190428054285711</c:v>
                </c:pt>
                <c:pt idx="98">
                  <c:v>21.676285608571426</c:v>
                </c:pt>
                <c:pt idx="99">
                  <c:v>19.428714208571428</c:v>
                </c:pt>
                <c:pt idx="100">
                  <c:v>67.787142617142862</c:v>
                </c:pt>
                <c:pt idx="101">
                  <c:v>46.000713344285714</c:v>
                </c:pt>
                <c:pt idx="102">
                  <c:v>43.586286274285712</c:v>
                </c:pt>
                <c:pt idx="103">
                  <c:v>50.483570642857153</c:v>
                </c:pt>
                <c:pt idx="104">
                  <c:v>83.637714931428576</c:v>
                </c:pt>
                <c:pt idx="105">
                  <c:v>35.412713732038192</c:v>
                </c:pt>
                <c:pt idx="106">
                  <c:v>22.044856754285714</c:v>
                </c:pt>
                <c:pt idx="107">
                  <c:v>18.210142817142859</c:v>
                </c:pt>
                <c:pt idx="108">
                  <c:v>15.934428624285713</c:v>
                </c:pt>
                <c:pt idx="109">
                  <c:v>16.347999845714288</c:v>
                </c:pt>
                <c:pt idx="110">
                  <c:v>24.545571190970243</c:v>
                </c:pt>
                <c:pt idx="111">
                  <c:v>17.933714184285712</c:v>
                </c:pt>
                <c:pt idx="112">
                  <c:v>15.5625712530953</c:v>
                </c:pt>
                <c:pt idx="113">
                  <c:v>23.340428760000002</c:v>
                </c:pt>
                <c:pt idx="114">
                  <c:v>51.143429344285714</c:v>
                </c:pt>
                <c:pt idx="115">
                  <c:v>73.820713587142862</c:v>
                </c:pt>
                <c:pt idx="116">
                  <c:v>34.1388571602957</c:v>
                </c:pt>
                <c:pt idx="117">
                  <c:v>66.457714898245612</c:v>
                </c:pt>
                <c:pt idx="118">
                  <c:v>82.626999985714278</c:v>
                </c:pt>
                <c:pt idx="119">
                  <c:v>89.91342707714287</c:v>
                </c:pt>
                <c:pt idx="120">
                  <c:v>73.487428932857142</c:v>
                </c:pt>
                <c:pt idx="121">
                  <c:v>80.585714067731558</c:v>
                </c:pt>
                <c:pt idx="122">
                  <c:v>93.131286082857144</c:v>
                </c:pt>
                <c:pt idx="123">
                  <c:v>43.960427964285714</c:v>
                </c:pt>
                <c:pt idx="124">
                  <c:v>29.038571492857141</c:v>
                </c:pt>
                <c:pt idx="125">
                  <c:v>20.747856957571798</c:v>
                </c:pt>
                <c:pt idx="126">
                  <c:v>28.597570964285715</c:v>
                </c:pt>
                <c:pt idx="127">
                  <c:v>19.104714530000003</c:v>
                </c:pt>
                <c:pt idx="128">
                  <c:v>14.211285591125442</c:v>
                </c:pt>
                <c:pt idx="129">
                  <c:v>11.628714288571429</c:v>
                </c:pt>
                <c:pt idx="130">
                  <c:v>11.67571422</c:v>
                </c:pt>
                <c:pt idx="131">
                  <c:v>27.48885754176543</c:v>
                </c:pt>
                <c:pt idx="132">
                  <c:v>32.395143782857147</c:v>
                </c:pt>
                <c:pt idx="133">
                  <c:v>14.974999971428572</c:v>
                </c:pt>
                <c:pt idx="134">
                  <c:v>14.12842846</c:v>
                </c:pt>
                <c:pt idx="135">
                  <c:v>10.121857098285714</c:v>
                </c:pt>
                <c:pt idx="136">
                  <c:v>7.7241428239004906</c:v>
                </c:pt>
                <c:pt idx="137">
                  <c:v>8.5772858349999996</c:v>
                </c:pt>
                <c:pt idx="138">
                  <c:v>6.7090001108571427</c:v>
                </c:pt>
                <c:pt idx="139">
                  <c:v>5.7295714105878517</c:v>
                </c:pt>
                <c:pt idx="140">
                  <c:v>5.6865714618137853</c:v>
                </c:pt>
                <c:pt idx="141">
                  <c:v>5.3568570954459016</c:v>
                </c:pt>
                <c:pt idx="142">
                  <c:v>6.9268571308680906</c:v>
                </c:pt>
                <c:pt idx="143">
                  <c:v>9.9768571861428565</c:v>
                </c:pt>
                <c:pt idx="144">
                  <c:v>7.1328571184285705</c:v>
                </c:pt>
                <c:pt idx="145">
                  <c:v>4.9102856772857146</c:v>
                </c:pt>
                <c:pt idx="146">
                  <c:v>6.3367142677306969</c:v>
                </c:pt>
                <c:pt idx="147">
                  <c:v>11.867142950714285</c:v>
                </c:pt>
                <c:pt idx="148">
                  <c:v>5.2337141718571427</c:v>
                </c:pt>
                <c:pt idx="149">
                  <c:v>5.0682858059999996</c:v>
                </c:pt>
                <c:pt idx="150">
                  <c:v>4.7745714188571426</c:v>
                </c:pt>
                <c:pt idx="151">
                  <c:v>5.635714394571429</c:v>
                </c:pt>
                <c:pt idx="152">
                  <c:v>27.02714340957143</c:v>
                </c:pt>
                <c:pt idx="153">
                  <c:v>80.020142697142845</c:v>
                </c:pt>
                <c:pt idx="154">
                  <c:v>98.373141695714281</c:v>
                </c:pt>
                <c:pt idx="155">
                  <c:v>141.80585590000001</c:v>
                </c:pt>
                <c:pt idx="156">
                  <c:v>62.055856431428573</c:v>
                </c:pt>
                <c:pt idx="157">
                  <c:v>38.49128532428572</c:v>
                </c:pt>
                <c:pt idx="158">
                  <c:v>52.185428618571436</c:v>
                </c:pt>
                <c:pt idx="159">
                  <c:v>72.971142360000002</c:v>
                </c:pt>
                <c:pt idx="160">
                  <c:v>82.663999837142867</c:v>
                </c:pt>
                <c:pt idx="161">
                  <c:v>54.198429654285711</c:v>
                </c:pt>
                <c:pt idx="162">
                  <c:v>42.827428274285715</c:v>
                </c:pt>
                <c:pt idx="163">
                  <c:v>28.153690476190491</c:v>
                </c:pt>
                <c:pt idx="164">
                  <c:v>19.304999999999993</c:v>
                </c:pt>
                <c:pt idx="165">
                  <c:v>82.847664833068805</c:v>
                </c:pt>
                <c:pt idx="166">
                  <c:v>214.06428527142856</c:v>
                </c:pt>
                <c:pt idx="167">
                  <c:v>132.61828504285714</c:v>
                </c:pt>
                <c:pt idx="168">
                  <c:v>87.668715342857141</c:v>
                </c:pt>
                <c:pt idx="169">
                  <c:v>94.954141882857144</c:v>
                </c:pt>
                <c:pt idx="170">
                  <c:v>151.11671445714288</c:v>
                </c:pt>
                <c:pt idx="171">
                  <c:v>111.99457114285714</c:v>
                </c:pt>
                <c:pt idx="172">
                  <c:v>90.672572548571438</c:v>
                </c:pt>
                <c:pt idx="173">
                  <c:v>75.281570977142863</c:v>
                </c:pt>
                <c:pt idx="174">
                  <c:v>93.952999661428592</c:v>
                </c:pt>
                <c:pt idx="175">
                  <c:v>72.684429168571427</c:v>
                </c:pt>
                <c:pt idx="176">
                  <c:v>98.886571605714281</c:v>
                </c:pt>
                <c:pt idx="177">
                  <c:v>58.580000197142859</c:v>
                </c:pt>
                <c:pt idx="178">
                  <c:v>38.582285198571427</c:v>
                </c:pt>
                <c:pt idx="179">
                  <c:v>58.388999669999997</c:v>
                </c:pt>
                <c:pt idx="180">
                  <c:v>52.608856201428573</c:v>
                </c:pt>
                <c:pt idx="181">
                  <c:v>30.324857167142856</c:v>
                </c:pt>
                <c:pt idx="182">
                  <c:v>42.18199975142857</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25400">
              <a:solidFill>
                <a:schemeClr val="accent1">
                  <a:lumMod val="75000"/>
                </a:schemeClr>
              </a:solidFill>
            </a:ln>
          </c:spPr>
          <c:cat>
            <c:multiLvlStrRef>
              <c:f>'12.Caudales'!$J$4:$K$187</c:f>
              <c:multiLvlStrCache>
                <c:ptCount val="183"/>
                <c:lvl>
                  <c:pt idx="0">
                    <c:v>1</c:v>
                  </c:pt>
                  <c:pt idx="7">
                    <c:v>8</c:v>
                  </c:pt>
                  <c:pt idx="15">
                    <c:v>16</c:v>
                  </c:pt>
                  <c:pt idx="23">
                    <c:v>24</c:v>
                  </c:pt>
                  <c:pt idx="31">
                    <c:v>32</c:v>
                  </c:pt>
                  <c:pt idx="39">
                    <c:v>40</c:v>
                  </c:pt>
                  <c:pt idx="51">
                    <c:v>52</c:v>
                  </c:pt>
                  <c:pt idx="52">
                    <c:v>1</c:v>
                  </c:pt>
                  <c:pt idx="59">
                    <c:v>8</c:v>
                  </c:pt>
                  <c:pt idx="67">
                    <c:v>16</c:v>
                  </c:pt>
                  <c:pt idx="77">
                    <c:v>26</c:v>
                  </c:pt>
                  <c:pt idx="85">
                    <c:v>34</c:v>
                  </c:pt>
                  <c:pt idx="95">
                    <c:v>44</c:v>
                  </c:pt>
                  <c:pt idx="103">
                    <c:v>52</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'12.Caudales'!$M$4:$M$186</c:f>
              <c:numCache>
                <c:formatCode>0.0</c:formatCode>
                <c:ptCount val="183"/>
                <c:pt idx="0">
                  <c:v>29.44</c:v>
                </c:pt>
                <c:pt idx="1">
                  <c:v>42.880857194285717</c:v>
                </c:pt>
                <c:pt idx="2">
                  <c:v>74.002572194285705</c:v>
                </c:pt>
                <c:pt idx="3">
                  <c:v>77.812570845714291</c:v>
                </c:pt>
                <c:pt idx="4">
                  <c:v>61.531714848571433</c:v>
                </c:pt>
                <c:pt idx="5">
                  <c:v>54.024142672857138</c:v>
                </c:pt>
                <c:pt idx="6">
                  <c:v>59.271427155714285</c:v>
                </c:pt>
                <c:pt idx="7">
                  <c:v>78.025571005714284</c:v>
                </c:pt>
                <c:pt idx="8">
                  <c:v>61.11871501571428</c:v>
                </c:pt>
                <c:pt idx="9">
                  <c:v>84.500714981428573</c:v>
                </c:pt>
                <c:pt idx="10">
                  <c:v>83.643855504285725</c:v>
                </c:pt>
                <c:pt idx="11">
                  <c:v>98.99</c:v>
                </c:pt>
                <c:pt idx="12">
                  <c:v>106.64928652857144</c:v>
                </c:pt>
                <c:pt idx="13">
                  <c:v>86.488428389999996</c:v>
                </c:pt>
                <c:pt idx="14">
                  <c:v>88.217001778571429</c:v>
                </c:pt>
                <c:pt idx="15">
                  <c:v>65.84</c:v>
                </c:pt>
                <c:pt idx="16">
                  <c:v>51.88</c:v>
                </c:pt>
                <c:pt idx="17">
                  <c:v>49.672285897142856</c:v>
                </c:pt>
                <c:pt idx="18">
                  <c:v>45.203000204285708</c:v>
                </c:pt>
                <c:pt idx="19">
                  <c:v>37.385857718571437</c:v>
                </c:pt>
                <c:pt idx="20">
                  <c:v>31.609713962857143</c:v>
                </c:pt>
                <c:pt idx="21">
                  <c:v>23.360142844285715</c:v>
                </c:pt>
                <c:pt idx="22">
                  <c:v>22.118571418571431</c:v>
                </c:pt>
                <c:pt idx="23">
                  <c:v>18.655142918571432</c:v>
                </c:pt>
                <c:pt idx="24">
                  <c:v>15.664428437142856</c:v>
                </c:pt>
                <c:pt idx="25">
                  <c:v>13.848143032857147</c:v>
                </c:pt>
                <c:pt idx="26">
                  <c:v>12.865857259999999</c:v>
                </c:pt>
                <c:pt idx="27">
                  <c:v>12.915285789999999</c:v>
                </c:pt>
                <c:pt idx="28">
                  <c:v>15.908571428571426</c:v>
                </c:pt>
                <c:pt idx="29">
                  <c:v>16.584000042857145</c:v>
                </c:pt>
                <c:pt idx="30">
                  <c:v>18.553000000000001</c:v>
                </c:pt>
                <c:pt idx="31">
                  <c:v>17.769714355714285</c:v>
                </c:pt>
                <c:pt idx="32">
                  <c:v>14.782857348571428</c:v>
                </c:pt>
                <c:pt idx="33">
                  <c:v>15.984000069999999</c:v>
                </c:pt>
                <c:pt idx="34">
                  <c:v>15.55</c:v>
                </c:pt>
                <c:pt idx="35">
                  <c:v>15.042857142857143</c:v>
                </c:pt>
                <c:pt idx="36">
                  <c:v>13.386857033</c:v>
                </c:pt>
                <c:pt idx="37">
                  <c:v>12.963714189999999</c:v>
                </c:pt>
                <c:pt idx="38">
                  <c:v>9.4700000000000006</c:v>
                </c:pt>
                <c:pt idx="39">
                  <c:v>9.6714286802857146</c:v>
                </c:pt>
                <c:pt idx="40">
                  <c:v>13.23900018419533</c:v>
                </c:pt>
                <c:pt idx="41">
                  <c:v>13.085142816816015</c:v>
                </c:pt>
                <c:pt idx="42">
                  <c:v>24.981571742466489</c:v>
                </c:pt>
                <c:pt idx="43">
                  <c:v>20.55814279714286</c:v>
                </c:pt>
                <c:pt idx="44">
                  <c:v>26.170000077142856</c:v>
                </c:pt>
                <c:pt idx="45">
                  <c:v>19.728571428571428</c:v>
                </c:pt>
                <c:pt idx="46">
                  <c:v>39.656714302857139</c:v>
                </c:pt>
                <c:pt idx="47">
                  <c:v>39.656714302857139</c:v>
                </c:pt>
                <c:pt idx="48">
                  <c:v>22.62857142857143</c:v>
                </c:pt>
                <c:pt idx="49">
                  <c:v>17.776714461428572</c:v>
                </c:pt>
                <c:pt idx="50">
                  <c:v>34.085714285714282</c:v>
                </c:pt>
                <c:pt idx="51">
                  <c:v>52.094142914285719</c:v>
                </c:pt>
                <c:pt idx="52">
                  <c:v>27.79999951142857</c:v>
                </c:pt>
                <c:pt idx="53">
                  <c:v>28.678571428571427</c:v>
                </c:pt>
                <c:pt idx="54">
                  <c:v>44.51</c:v>
                </c:pt>
                <c:pt idx="55">
                  <c:v>73.323141914285699</c:v>
                </c:pt>
                <c:pt idx="56">
                  <c:v>103.17716724333333</c:v>
                </c:pt>
                <c:pt idx="57">
                  <c:v>79.165714285714287</c:v>
                </c:pt>
                <c:pt idx="58">
                  <c:v>120.02256992142858</c:v>
                </c:pt>
                <c:pt idx="59">
                  <c:v>97.560142514285715</c:v>
                </c:pt>
                <c:pt idx="60">
                  <c:v>97.560142514285715</c:v>
                </c:pt>
                <c:pt idx="61">
                  <c:v>97.497286117142863</c:v>
                </c:pt>
                <c:pt idx="62">
                  <c:v>98.21585736955906</c:v>
                </c:pt>
                <c:pt idx="63">
                  <c:v>91.857713972857141</c:v>
                </c:pt>
                <c:pt idx="64">
                  <c:v>100.0137132957143</c:v>
                </c:pt>
                <c:pt idx="65">
                  <c:v>84.272714885714294</c:v>
                </c:pt>
                <c:pt idx="66">
                  <c:v>61.074856892857142</c:v>
                </c:pt>
                <c:pt idx="67">
                  <c:v>47.843714031428576</c:v>
                </c:pt>
                <c:pt idx="68">
                  <c:v>50.907143728571427</c:v>
                </c:pt>
                <c:pt idx="69">
                  <c:v>39.120999471428568</c:v>
                </c:pt>
                <c:pt idx="70">
                  <c:v>35.410856791428571</c:v>
                </c:pt>
                <c:pt idx="71">
                  <c:v>32.405142920000003</c:v>
                </c:pt>
                <c:pt idx="72">
                  <c:v>26.58385740142857</c:v>
                </c:pt>
                <c:pt idx="73">
                  <c:v>19.653714315714286</c:v>
                </c:pt>
                <c:pt idx="74">
                  <c:v>16.50400011857143</c:v>
                </c:pt>
                <c:pt idx="75">
                  <c:v>14.890428544285713</c:v>
                </c:pt>
                <c:pt idx="76">
                  <c:v>15.340000017142858</c:v>
                </c:pt>
                <c:pt idx="77">
                  <c:v>15.521142687142857</c:v>
                </c:pt>
                <c:pt idx="78">
                  <c:v>15.32</c:v>
                </c:pt>
                <c:pt idx="79">
                  <c:v>14.809428488571427</c:v>
                </c:pt>
                <c:pt idx="80">
                  <c:v>13.666428565978956</c:v>
                </c:pt>
                <c:pt idx="81">
                  <c:v>13.392857142857142</c:v>
                </c:pt>
                <c:pt idx="82">
                  <c:v>13.098428589999999</c:v>
                </c:pt>
                <c:pt idx="83">
                  <c:v>12.228285654285713</c:v>
                </c:pt>
                <c:pt idx="84">
                  <c:v>12.838714327142856</c:v>
                </c:pt>
                <c:pt idx="85">
                  <c:v>12.37928554</c:v>
                </c:pt>
                <c:pt idx="86">
                  <c:v>11.92371409142857</c:v>
                </c:pt>
                <c:pt idx="87">
                  <c:v>10.731857162857143</c:v>
                </c:pt>
                <c:pt idx="88">
                  <c:v>11.481428825714286</c:v>
                </c:pt>
                <c:pt idx="89">
                  <c:v>12.217142857142859</c:v>
                </c:pt>
                <c:pt idx="90">
                  <c:v>15.0261430740356</c:v>
                </c:pt>
                <c:pt idx="91">
                  <c:v>13.292000225714288</c:v>
                </c:pt>
                <c:pt idx="92">
                  <c:v>15.472143037142859</c:v>
                </c:pt>
                <c:pt idx="93">
                  <c:v>14.602857142857143</c:v>
                </c:pt>
                <c:pt idx="94">
                  <c:v>18.763999527142854</c:v>
                </c:pt>
                <c:pt idx="95">
                  <c:v>12.722428322857143</c:v>
                </c:pt>
                <c:pt idx="96">
                  <c:v>22.372000012857146</c:v>
                </c:pt>
                <c:pt idx="97">
                  <c:v>28.101571491428576</c:v>
                </c:pt>
                <c:pt idx="98">
                  <c:v>22.222285951428574</c:v>
                </c:pt>
                <c:pt idx="99">
                  <c:v>18.796428408571426</c:v>
                </c:pt>
                <c:pt idx="100">
                  <c:v>40.459857124285712</c:v>
                </c:pt>
                <c:pt idx="101">
                  <c:v>55.208571570000004</c:v>
                </c:pt>
                <c:pt idx="102">
                  <c:v>84.778857641428559</c:v>
                </c:pt>
                <c:pt idx="103">
                  <c:v>90.21400125571428</c:v>
                </c:pt>
                <c:pt idx="104">
                  <c:v>80.061285835714287</c:v>
                </c:pt>
                <c:pt idx="105">
                  <c:v>42.7519994463239</c:v>
                </c:pt>
                <c:pt idx="106">
                  <c:v>30.679571151428568</c:v>
                </c:pt>
                <c:pt idx="107">
                  <c:v>46.443999700000006</c:v>
                </c:pt>
                <c:pt idx="108">
                  <c:v>56.559571404285713</c:v>
                </c:pt>
                <c:pt idx="109">
                  <c:v>85.997285015714283</c:v>
                </c:pt>
                <c:pt idx="110">
                  <c:v>79.643857683454215</c:v>
                </c:pt>
                <c:pt idx="111">
                  <c:v>62.11542837857143</c:v>
                </c:pt>
                <c:pt idx="112">
                  <c:v>41.134571620396166</c:v>
                </c:pt>
                <c:pt idx="113">
                  <c:v>70.027142117142859</c:v>
                </c:pt>
                <c:pt idx="114">
                  <c:v>51.713285718571434</c:v>
                </c:pt>
                <c:pt idx="115">
                  <c:v>64.999999455714274</c:v>
                </c:pt>
                <c:pt idx="116">
                  <c:v>70.530143192836164</c:v>
                </c:pt>
                <c:pt idx="117">
                  <c:v>73.710714612688278</c:v>
                </c:pt>
                <c:pt idx="118">
                  <c:v>57.796857017142862</c:v>
                </c:pt>
                <c:pt idx="119">
                  <c:v>44.430285317142861</c:v>
                </c:pt>
                <c:pt idx="120">
                  <c:v>30.701856885714285</c:v>
                </c:pt>
                <c:pt idx="121">
                  <c:v>24.932857240949314</c:v>
                </c:pt>
                <c:pt idx="122">
                  <c:v>46.867285591428576</c:v>
                </c:pt>
                <c:pt idx="123">
                  <c:v>39.880857740000003</c:v>
                </c:pt>
                <c:pt idx="124">
                  <c:v>34.332998821428575</c:v>
                </c:pt>
                <c:pt idx="125">
                  <c:v>28.39914212908057</c:v>
                </c:pt>
                <c:pt idx="126">
                  <c:v>19.016142710000004</c:v>
                </c:pt>
                <c:pt idx="127">
                  <c:v>16.323713982857143</c:v>
                </c:pt>
                <c:pt idx="128">
                  <c:v>14.458999906267413</c:v>
                </c:pt>
                <c:pt idx="129">
                  <c:v>13.476999827142858</c:v>
                </c:pt>
                <c:pt idx="130">
                  <c:v>14.175142699999999</c:v>
                </c:pt>
                <c:pt idx="131">
                  <c:v>12.859571456909155</c:v>
                </c:pt>
                <c:pt idx="132">
                  <c:v>11.472142902857144</c:v>
                </c:pt>
                <c:pt idx="133">
                  <c:v>11.32885715142857</c:v>
                </c:pt>
                <c:pt idx="134">
                  <c:v>11.152000155714285</c:v>
                </c:pt>
                <c:pt idx="135">
                  <c:v>10.852571488571428</c:v>
                </c:pt>
                <c:pt idx="136">
                  <c:v>10.338285718645329</c:v>
                </c:pt>
                <c:pt idx="137">
                  <c:v>11.413999967142857</c:v>
                </c:pt>
                <c:pt idx="138">
                  <c:v>11.662143027142859</c:v>
                </c:pt>
                <c:pt idx="139">
                  <c:v>11.541428702218141</c:v>
                </c:pt>
                <c:pt idx="140">
                  <c:v>13.286857196262856</c:v>
                </c:pt>
                <c:pt idx="141">
                  <c:v>15.49071434565947</c:v>
                </c:pt>
                <c:pt idx="142">
                  <c:v>16.166143281119158</c:v>
                </c:pt>
                <c:pt idx="143">
                  <c:v>16.810999734285712</c:v>
                </c:pt>
                <c:pt idx="144">
                  <c:v>14.579285758571428</c:v>
                </c:pt>
                <c:pt idx="145">
                  <c:v>13.048857279999998</c:v>
                </c:pt>
                <c:pt idx="146">
                  <c:v>14.871000289916955</c:v>
                </c:pt>
                <c:pt idx="147">
                  <c:v>21.991714477142857</c:v>
                </c:pt>
                <c:pt idx="148">
                  <c:v>13.904857091428573</c:v>
                </c:pt>
                <c:pt idx="149">
                  <c:v>13.184428621428571</c:v>
                </c:pt>
                <c:pt idx="150">
                  <c:v>13.14228561857143</c:v>
                </c:pt>
                <c:pt idx="151">
                  <c:v>15.124714305714289</c:v>
                </c:pt>
                <c:pt idx="152">
                  <c:v>27.692142758571432</c:v>
                </c:pt>
                <c:pt idx="153">
                  <c:v>64.694000790000004</c:v>
                </c:pt>
                <c:pt idx="154">
                  <c:v>43.356857299999994</c:v>
                </c:pt>
                <c:pt idx="155">
                  <c:v>66.695286888571431</c:v>
                </c:pt>
                <c:pt idx="156">
                  <c:v>79.132000515714282</c:v>
                </c:pt>
                <c:pt idx="157">
                  <c:v>93.616000575714295</c:v>
                </c:pt>
                <c:pt idx="158">
                  <c:v>109.19371577142856</c:v>
                </c:pt>
                <c:pt idx="159">
                  <c:v>111.32100131428571</c:v>
                </c:pt>
                <c:pt idx="160">
                  <c:v>111.11885721428568</c:v>
                </c:pt>
                <c:pt idx="161">
                  <c:v>108.66071318571429</c:v>
                </c:pt>
                <c:pt idx="162">
                  <c:v>90.469143462857147</c:v>
                </c:pt>
                <c:pt idx="163">
                  <c:v>58.4</c:v>
                </c:pt>
                <c:pt idx="164">
                  <c:v>45.103515238095234</c:v>
                </c:pt>
                <c:pt idx="165">
                  <c:v>56.496856689453068</c:v>
                </c:pt>
                <c:pt idx="166">
                  <c:v>90.554714198571432</c:v>
                </c:pt>
                <c:pt idx="167">
                  <c:v>98.085857941428586</c:v>
                </c:pt>
                <c:pt idx="168">
                  <c:v>87.426713118571428</c:v>
                </c:pt>
                <c:pt idx="169">
                  <c:v>85.733285082857151</c:v>
                </c:pt>
                <c:pt idx="170">
                  <c:v>98.095142921428561</c:v>
                </c:pt>
                <c:pt idx="171">
                  <c:v>83.773572649999991</c:v>
                </c:pt>
                <c:pt idx="172">
                  <c:v>56.958000185714283</c:v>
                </c:pt>
                <c:pt idx="173">
                  <c:v>48.746000017142855</c:v>
                </c:pt>
                <c:pt idx="174">
                  <c:v>40.494427817142864</c:v>
                </c:pt>
                <c:pt idx="175">
                  <c:v>35.466286249999996</c:v>
                </c:pt>
                <c:pt idx="176">
                  <c:v>28.18171392</c:v>
                </c:pt>
                <c:pt idx="177">
                  <c:v>26.549999781428571</c:v>
                </c:pt>
                <c:pt idx="178">
                  <c:v>21.825286048571424</c:v>
                </c:pt>
                <c:pt idx="179">
                  <c:v>20.536714282857144</c:v>
                </c:pt>
                <c:pt idx="180">
                  <c:v>18.521000181428573</c:v>
                </c:pt>
                <c:pt idx="181">
                  <c:v>17.337857111428569</c:v>
                </c:pt>
                <c:pt idx="182">
                  <c:v>16.257714270000001</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4.2680388527164471E-2"/>
          <c:y val="0.15679340939907641"/>
          <c:w val="0.9388541000657475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'13.Caudales'!$N$4:$O$186</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'13.Caudales'!$Q$4:$Q$186</c:f>
              <c:numCache>
                <c:formatCode>0.0</c:formatCode>
                <c:ptCount val="183"/>
                <c:pt idx="0">
                  <c:v>10.34</c:v>
                </c:pt>
                <c:pt idx="1">
                  <c:v>13.730999947142859</c:v>
                </c:pt>
                <c:pt idx="2">
                  <c:v>15.983285902857142</c:v>
                </c:pt>
                <c:pt idx="3">
                  <c:v>21.988571574285714</c:v>
                </c:pt>
                <c:pt idx="4">
                  <c:v>17.729000225714284</c:v>
                </c:pt>
                <c:pt idx="5">
                  <c:v>13.582571572857143</c:v>
                </c:pt>
                <c:pt idx="6">
                  <c:v>14.722571237142859</c:v>
                </c:pt>
                <c:pt idx="7">
                  <c:v>18.48</c:v>
                </c:pt>
                <c:pt idx="8">
                  <c:v>21.652428627142854</c:v>
                </c:pt>
                <c:pt idx="9">
                  <c:v>30.272714344285713</c:v>
                </c:pt>
                <c:pt idx="10">
                  <c:v>28.071857179999999</c:v>
                </c:pt>
                <c:pt idx="11">
                  <c:v>29.90999984714286</c:v>
                </c:pt>
                <c:pt idx="12">
                  <c:v>28.360142844285718</c:v>
                </c:pt>
                <c:pt idx="13">
                  <c:v>23.830285752857144</c:v>
                </c:pt>
                <c:pt idx="14">
                  <c:v>27</c:v>
                </c:pt>
                <c:pt idx="15">
                  <c:v>19.899999999999999</c:v>
                </c:pt>
                <c:pt idx="16">
                  <c:v>19.14</c:v>
                </c:pt>
                <c:pt idx="17">
                  <c:v>19.703571455714286</c:v>
                </c:pt>
                <c:pt idx="18">
                  <c:v>15.48828561</c:v>
                </c:pt>
                <c:pt idx="19">
                  <c:v>14.601142882857145</c:v>
                </c:pt>
                <c:pt idx="20">
                  <c:v>13.411285537142858</c:v>
                </c:pt>
                <c:pt idx="21">
                  <c:v>12.490285737142855</c:v>
                </c:pt>
                <c:pt idx="22">
                  <c:v>12.278000014285713</c:v>
                </c:pt>
                <c:pt idx="23">
                  <c:v>10.882714271142857</c:v>
                </c:pt>
                <c:pt idx="24">
                  <c:v>10.290999957142857</c:v>
                </c:pt>
                <c:pt idx="25">
                  <c:v>9.5591429302857147</c:v>
                </c:pt>
                <c:pt idx="26">
                  <c:v>9.3137141635714293</c:v>
                </c:pt>
                <c:pt idx="27">
                  <c:v>8.7544284548571447</c:v>
                </c:pt>
                <c:pt idx="28">
                  <c:v>8.6149000000000004</c:v>
                </c:pt>
                <c:pt idx="29">
                  <c:v>8.1221428598571439</c:v>
                </c:pt>
                <c:pt idx="30">
                  <c:v>7.5620000000000003</c:v>
                </c:pt>
                <c:pt idx="31">
                  <c:v>8.4994284765714276</c:v>
                </c:pt>
                <c:pt idx="32">
                  <c:v>7.8117142411428571</c:v>
                </c:pt>
                <c:pt idx="33">
                  <c:v>6.44</c:v>
                </c:pt>
                <c:pt idx="34">
                  <c:v>7.5428571428571427</c:v>
                </c:pt>
                <c:pt idx="35">
                  <c:v>7.1671427998571433</c:v>
                </c:pt>
                <c:pt idx="36">
                  <c:v>7.1637143408571422</c:v>
                </c:pt>
                <c:pt idx="37">
                  <c:v>8.31</c:v>
                </c:pt>
                <c:pt idx="38">
                  <c:v>7.621428489714285</c:v>
                </c:pt>
                <c:pt idx="39">
                  <c:v>7.621428489714285</c:v>
                </c:pt>
                <c:pt idx="40">
                  <c:v>7.2698572022574259</c:v>
                </c:pt>
                <c:pt idx="41">
                  <c:v>6.2732856614249064</c:v>
                </c:pt>
                <c:pt idx="42">
                  <c:v>8.3208571161542526</c:v>
                </c:pt>
                <c:pt idx="43">
                  <c:v>9.2941429947142868</c:v>
                </c:pt>
                <c:pt idx="44">
                  <c:v>8.6642857274285721</c:v>
                </c:pt>
                <c:pt idx="45">
                  <c:v>8.5371428571428574</c:v>
                </c:pt>
                <c:pt idx="46">
                  <c:v>9.0094285692857135</c:v>
                </c:pt>
                <c:pt idx="47">
                  <c:v>8.5042856081428582</c:v>
                </c:pt>
                <c:pt idx="48">
                  <c:v>8.27</c:v>
                </c:pt>
                <c:pt idx="49">
                  <c:v>8.1765714374285707</c:v>
                </c:pt>
                <c:pt idx="50">
                  <c:v>10.342857142857142</c:v>
                </c:pt>
                <c:pt idx="51">
                  <c:v>10.661999840142856</c:v>
                </c:pt>
                <c:pt idx="52">
                  <c:v>8.992857251428573</c:v>
                </c:pt>
                <c:pt idx="53">
                  <c:v>7.4904285157142843</c:v>
                </c:pt>
                <c:pt idx="54">
                  <c:v>14.36</c:v>
                </c:pt>
                <c:pt idx="55">
                  <c:v>17.131428719999999</c:v>
                </c:pt>
                <c:pt idx="56">
                  <c:v>30.592286245714288</c:v>
                </c:pt>
                <c:pt idx="57">
                  <c:v>20.372857142857146</c:v>
                </c:pt>
                <c:pt idx="58">
                  <c:v>28.837571554285717</c:v>
                </c:pt>
                <c:pt idx="59">
                  <c:v>20.077857700000003</c:v>
                </c:pt>
                <c:pt idx="60">
                  <c:v>26.317999977142858</c:v>
                </c:pt>
                <c:pt idx="61">
                  <c:v>27.959571565714288</c:v>
                </c:pt>
                <c:pt idx="62">
                  <c:v>27.959571565714288</c:v>
                </c:pt>
                <c:pt idx="63">
                  <c:v>28.476714270455457</c:v>
                </c:pt>
                <c:pt idx="64">
                  <c:v>24.844714028571435</c:v>
                </c:pt>
                <c:pt idx="65">
                  <c:v>29.483285902857141</c:v>
                </c:pt>
                <c:pt idx="66">
                  <c:v>20.040428705714284</c:v>
                </c:pt>
                <c:pt idx="67">
                  <c:v>16.072142737142858</c:v>
                </c:pt>
                <c:pt idx="68">
                  <c:v>15.383999960000001</c:v>
                </c:pt>
                <c:pt idx="69">
                  <c:v>16.026142665714286</c:v>
                </c:pt>
                <c:pt idx="70">
                  <c:v>14.769714355714287</c:v>
                </c:pt>
                <c:pt idx="71">
                  <c:v>13.81242861</c:v>
                </c:pt>
                <c:pt idx="72">
                  <c:v>12.849714414285714</c:v>
                </c:pt>
                <c:pt idx="73">
                  <c:v>12.105428559999998</c:v>
                </c:pt>
                <c:pt idx="74">
                  <c:v>11.272714207142856</c:v>
                </c:pt>
                <c:pt idx="75">
                  <c:v>10.867999894285715</c:v>
                </c:pt>
                <c:pt idx="76">
                  <c:v>10.167285918857143</c:v>
                </c:pt>
                <c:pt idx="77">
                  <c:v>9.3535717554285718</c:v>
                </c:pt>
                <c:pt idx="78">
                  <c:v>8.86</c:v>
                </c:pt>
                <c:pt idx="79">
                  <c:v>8.9135712215714289</c:v>
                </c:pt>
                <c:pt idx="80">
                  <c:v>9.1244284766060932</c:v>
                </c:pt>
                <c:pt idx="81">
                  <c:v>8.5528571428571407</c:v>
                </c:pt>
                <c:pt idx="82">
                  <c:v>8.6655714172857152</c:v>
                </c:pt>
                <c:pt idx="83">
                  <c:v>8.8231430052857132</c:v>
                </c:pt>
                <c:pt idx="84">
                  <c:v>7.5077142715714285</c:v>
                </c:pt>
                <c:pt idx="85">
                  <c:v>7.6147142817142859</c:v>
                </c:pt>
                <c:pt idx="86">
                  <c:v>8.7815715245714294</c:v>
                </c:pt>
                <c:pt idx="87">
                  <c:v>8.2851428302857144</c:v>
                </c:pt>
                <c:pt idx="88">
                  <c:v>7.6475714954285712</c:v>
                </c:pt>
                <c:pt idx="89">
                  <c:v>7.6971428571428575</c:v>
                </c:pt>
                <c:pt idx="90">
                  <c:v>7.6702859061104887</c:v>
                </c:pt>
                <c:pt idx="91">
                  <c:v>6.5494285314285721</c:v>
                </c:pt>
                <c:pt idx="92">
                  <c:v>8.096428529999999</c:v>
                </c:pt>
                <c:pt idx="93">
                  <c:v>7.4685714285714289</c:v>
                </c:pt>
                <c:pt idx="94">
                  <c:v>8.9041427881428579</c:v>
                </c:pt>
                <c:pt idx="95">
                  <c:v>7.8245713370000001</c:v>
                </c:pt>
                <c:pt idx="96">
                  <c:v>9.4607142031428566</c:v>
                </c:pt>
                <c:pt idx="97">
                  <c:v>9.3077141910000005</c:v>
                </c:pt>
                <c:pt idx="98">
                  <c:v>9.4625713492857138</c:v>
                </c:pt>
                <c:pt idx="99">
                  <c:v>10.788142817999999</c:v>
                </c:pt>
                <c:pt idx="100">
                  <c:v>12.195857184142856</c:v>
                </c:pt>
                <c:pt idx="101">
                  <c:v>12.195857184142856</c:v>
                </c:pt>
                <c:pt idx="102">
                  <c:v>18.622142792857144</c:v>
                </c:pt>
                <c:pt idx="103">
                  <c:v>29.98</c:v>
                </c:pt>
                <c:pt idx="104">
                  <c:v>16.182714325714286</c:v>
                </c:pt>
                <c:pt idx="105">
                  <c:v>12.763571330479184</c:v>
                </c:pt>
                <c:pt idx="106">
                  <c:v>13.386285781428571</c:v>
                </c:pt>
                <c:pt idx="107">
                  <c:v>15.196428435714285</c:v>
                </c:pt>
                <c:pt idx="108">
                  <c:v>16.57199968714286</c:v>
                </c:pt>
                <c:pt idx="109">
                  <c:v>25.675428661428576</c:v>
                </c:pt>
                <c:pt idx="110">
                  <c:v>22.638571330479174</c:v>
                </c:pt>
                <c:pt idx="111">
                  <c:v>24.818285805714286</c:v>
                </c:pt>
                <c:pt idx="112">
                  <c:v>16.877285957336387</c:v>
                </c:pt>
                <c:pt idx="113">
                  <c:v>20.463000162857146</c:v>
                </c:pt>
                <c:pt idx="114">
                  <c:v>20.001714159999999</c:v>
                </c:pt>
                <c:pt idx="115">
                  <c:v>20.464285714285715</c:v>
                </c:pt>
                <c:pt idx="116">
                  <c:v>23.032714026314846</c:v>
                </c:pt>
                <c:pt idx="117">
                  <c:v>27.558857236589642</c:v>
                </c:pt>
                <c:pt idx="118">
                  <c:v>18.795857294285714</c:v>
                </c:pt>
                <c:pt idx="119" formatCode="0.00">
                  <c:v>16.380999974285714</c:v>
                </c:pt>
                <c:pt idx="120">
                  <c:v>15.142857142857142</c:v>
                </c:pt>
                <c:pt idx="121">
                  <c:v>14.535142626081141</c:v>
                </c:pt>
                <c:pt idx="122">
                  <c:v>15.919285638571427</c:v>
                </c:pt>
                <c:pt idx="123">
                  <c:v>16.148714472857144</c:v>
                </c:pt>
                <c:pt idx="124">
                  <c:v>13.91285719</c:v>
                </c:pt>
                <c:pt idx="125">
                  <c:v>12.832571710859</c:v>
                </c:pt>
                <c:pt idx="126">
                  <c:v>11.589857237142857</c:v>
                </c:pt>
                <c:pt idx="127">
                  <c:v>10.866000038571428</c:v>
                </c:pt>
                <c:pt idx="128">
                  <c:v>10.893428530011814</c:v>
                </c:pt>
                <c:pt idx="129">
                  <c:v>9.7685713087142858</c:v>
                </c:pt>
                <c:pt idx="130">
                  <c:v>9.3011428291428579</c:v>
                </c:pt>
                <c:pt idx="131">
                  <c:v>9.0898572376796078</c:v>
                </c:pt>
                <c:pt idx="132">
                  <c:v>8.3315715788571421</c:v>
                </c:pt>
                <c:pt idx="133">
                  <c:v>8.7399999755714273</c:v>
                </c:pt>
                <c:pt idx="134">
                  <c:v>8.2612857819999999</c:v>
                </c:pt>
                <c:pt idx="135">
                  <c:v>7.5295715331428577</c:v>
                </c:pt>
                <c:pt idx="136">
                  <c:v>7.1332857268197154</c:v>
                </c:pt>
                <c:pt idx="137">
                  <c:v>7.307000092</c:v>
                </c:pt>
                <c:pt idx="138">
                  <c:v>6.8864285605714288</c:v>
                </c:pt>
                <c:pt idx="139">
                  <c:v>6.9537143707275364</c:v>
                </c:pt>
                <c:pt idx="140">
                  <c:v>6.8990000316074882</c:v>
                </c:pt>
                <c:pt idx="141">
                  <c:v>6.6838571003505107</c:v>
                </c:pt>
                <c:pt idx="142">
                  <c:v>7.5399999618530247</c:v>
                </c:pt>
                <c:pt idx="143">
                  <c:v>6.875</c:v>
                </c:pt>
                <c:pt idx="144">
                  <c:v>6.0911429268571426</c:v>
                </c:pt>
                <c:pt idx="145">
                  <c:v>5.8652857372857152</c:v>
                </c:pt>
                <c:pt idx="146">
                  <c:v>6.6280000550406255</c:v>
                </c:pt>
                <c:pt idx="147">
                  <c:v>7.1351429394285715</c:v>
                </c:pt>
                <c:pt idx="148">
                  <c:v>6.1070000102857147</c:v>
                </c:pt>
                <c:pt idx="149">
                  <c:v>5.6735714502857144</c:v>
                </c:pt>
                <c:pt idx="150">
                  <c:v>5.9637143271428581</c:v>
                </c:pt>
                <c:pt idx="151">
                  <c:v>6.7792857034285712</c:v>
                </c:pt>
                <c:pt idx="152">
                  <c:v>8.2138571738571429</c:v>
                </c:pt>
                <c:pt idx="153">
                  <c:v>17.68042864142857</c:v>
                </c:pt>
                <c:pt idx="154">
                  <c:v>12.617142812857141</c:v>
                </c:pt>
                <c:pt idx="155">
                  <c:v>19.502285685714288</c:v>
                </c:pt>
                <c:pt idx="156">
                  <c:v>24.478714262857146</c:v>
                </c:pt>
                <c:pt idx="157">
                  <c:v>32.471142904285713</c:v>
                </c:pt>
                <c:pt idx="158">
                  <c:v>29.357571737142859</c:v>
                </c:pt>
                <c:pt idx="159">
                  <c:v>27.718428745714288</c:v>
                </c:pt>
                <c:pt idx="160">
                  <c:v>30.739285877142859</c:v>
                </c:pt>
                <c:pt idx="161">
                  <c:v>25.584571565714288</c:v>
                </c:pt>
                <c:pt idx="162">
                  <c:v>18.677976190476191</c:v>
                </c:pt>
                <c:pt idx="163">
                  <c:v>18.677976190476191</c:v>
                </c:pt>
                <c:pt idx="164">
                  <c:v>15.895833333333314</c:v>
                </c:pt>
                <c:pt idx="165">
                  <c:v>16.03157152448377</c:v>
                </c:pt>
                <c:pt idx="166">
                  <c:v>28.276142392857142</c:v>
                </c:pt>
                <c:pt idx="167">
                  <c:v>28.634571619999999</c:v>
                </c:pt>
                <c:pt idx="168">
                  <c:v>28.223285404285715</c:v>
                </c:pt>
                <c:pt idx="169">
                  <c:v>27.516571317142855</c:v>
                </c:pt>
                <c:pt idx="170">
                  <c:v>29.126714707142856</c:v>
                </c:pt>
                <c:pt idx="171">
                  <c:v>28.420428685714288</c:v>
                </c:pt>
                <c:pt idx="172">
                  <c:v>21.880999702857146</c:v>
                </c:pt>
                <c:pt idx="173">
                  <c:v>18.000999994285714</c:v>
                </c:pt>
                <c:pt idx="174">
                  <c:v>16.076714378571427</c:v>
                </c:pt>
                <c:pt idx="175">
                  <c:v>15.213571411428573</c:v>
                </c:pt>
                <c:pt idx="176">
                  <c:v>14.241714205714286</c:v>
                </c:pt>
                <c:pt idx="177">
                  <c:v>14.091571398571428</c:v>
                </c:pt>
                <c:pt idx="178">
                  <c:v>12.206428662857144</c:v>
                </c:pt>
                <c:pt idx="179">
                  <c:v>10.714285714285714</c:v>
                </c:pt>
                <c:pt idx="180">
                  <c:v>10.648285731428571</c:v>
                </c:pt>
                <c:pt idx="181">
                  <c:v>10.931000164428569</c:v>
                </c:pt>
                <c:pt idx="182">
                  <c:v>9.871286118714286</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'13.Caudales'!$N$4:$O$186</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'13.Caudales'!$R$4:$R$186</c:f>
              <c:numCache>
                <c:formatCode>0.0</c:formatCode>
                <c:ptCount val="183"/>
                <c:pt idx="0">
                  <c:v>4.4628571428571426</c:v>
                </c:pt>
                <c:pt idx="1">
                  <c:v>3.5944285392857145</c:v>
                </c:pt>
                <c:pt idx="2">
                  <c:v>8.3045714242857152</c:v>
                </c:pt>
                <c:pt idx="3">
                  <c:v>15.598142828000002</c:v>
                </c:pt>
                <c:pt idx="4">
                  <c:v>13.724571365714285</c:v>
                </c:pt>
                <c:pt idx="5">
                  <c:v>8.6634286477142854</c:v>
                </c:pt>
                <c:pt idx="6">
                  <c:v>11.071428435428571</c:v>
                </c:pt>
                <c:pt idx="7">
                  <c:v>14.97</c:v>
                </c:pt>
                <c:pt idx="8">
                  <c:v>14.185285431142857</c:v>
                </c:pt>
                <c:pt idx="9">
                  <c:v>17.434571538571429</c:v>
                </c:pt>
                <c:pt idx="10">
                  <c:v>17.048571724285715</c:v>
                </c:pt>
                <c:pt idx="11">
                  <c:v>21.62</c:v>
                </c:pt>
                <c:pt idx="12">
                  <c:v>17.439428465714283</c:v>
                </c:pt>
                <c:pt idx="13">
                  <c:v>12.833285604571429</c:v>
                </c:pt>
                <c:pt idx="14">
                  <c:v>15.571285655714286</c:v>
                </c:pt>
                <c:pt idx="15">
                  <c:v>12.83</c:v>
                </c:pt>
                <c:pt idx="16">
                  <c:v>13.52</c:v>
                </c:pt>
                <c:pt idx="17">
                  <c:v>14.166857039571427</c:v>
                </c:pt>
                <c:pt idx="18">
                  <c:v>12.650857108142857</c:v>
                </c:pt>
                <c:pt idx="19">
                  <c:v>10.013285772</c:v>
                </c:pt>
                <c:pt idx="20">
                  <c:v>7.8631429672857154</c:v>
                </c:pt>
                <c:pt idx="21">
                  <c:v>6.4215714250000007</c:v>
                </c:pt>
                <c:pt idx="22">
                  <c:v>5.5577142921428564</c:v>
                </c:pt>
                <c:pt idx="23">
                  <c:v>5.3317142215714286</c:v>
                </c:pt>
                <c:pt idx="24">
                  <c:v>3.7498572211428569</c:v>
                </c:pt>
                <c:pt idx="25">
                  <c:v>3.5651427677142853</c:v>
                </c:pt>
                <c:pt idx="26">
                  <c:v>4.7600000245714282</c:v>
                </c:pt>
                <c:pt idx="27">
                  <c:v>2.5707143034285713</c:v>
                </c:pt>
                <c:pt idx="28">
                  <c:v>3.7006000000000001</c:v>
                </c:pt>
                <c:pt idx="29">
                  <c:v>4.9111429789999992</c:v>
                </c:pt>
                <c:pt idx="30">
                  <c:v>3.28</c:v>
                </c:pt>
                <c:pt idx="31">
                  <c:v>4.8781427315714287</c:v>
                </c:pt>
                <c:pt idx="32">
                  <c:v>4.5999999999999996</c:v>
                </c:pt>
                <c:pt idx="33">
                  <c:v>5.1568571165714285</c:v>
                </c:pt>
                <c:pt idx="34">
                  <c:v>2.15</c:v>
                </c:pt>
                <c:pt idx="35">
                  <c:v>4.8342857142857136</c:v>
                </c:pt>
                <c:pt idx="36">
                  <c:v>3.1535714688571423</c:v>
                </c:pt>
                <c:pt idx="37">
                  <c:v>3.3441428289999995</c:v>
                </c:pt>
                <c:pt idx="38">
                  <c:v>4.6500000000000004</c:v>
                </c:pt>
                <c:pt idx="39">
                  <c:v>5.128571373571428</c:v>
                </c:pt>
                <c:pt idx="40">
                  <c:v>4.8594285079410948</c:v>
                </c:pt>
                <c:pt idx="41">
                  <c:v>4.00314286776951</c:v>
                </c:pt>
                <c:pt idx="42">
                  <c:v>6.0481427737644662</c:v>
                </c:pt>
                <c:pt idx="43">
                  <c:v>7.6531428608571428</c:v>
                </c:pt>
                <c:pt idx="44">
                  <c:v>4.2061428341428568</c:v>
                </c:pt>
                <c:pt idx="45">
                  <c:v>5.9</c:v>
                </c:pt>
                <c:pt idx="46">
                  <c:v>7.1015714912857133</c:v>
                </c:pt>
                <c:pt idx="47">
                  <c:v>4.3617142950000005</c:v>
                </c:pt>
                <c:pt idx="48">
                  <c:v>6.9099999999999993</c:v>
                </c:pt>
                <c:pt idx="49">
                  <c:v>6.5639999597142857</c:v>
                </c:pt>
                <c:pt idx="50">
                  <c:v>7.3285714285714283</c:v>
                </c:pt>
                <c:pt idx="51">
                  <c:v>7.4820000789999996</c:v>
                </c:pt>
                <c:pt idx="52">
                  <c:v>4.4642857141428571</c:v>
                </c:pt>
                <c:pt idx="53">
                  <c:v>3.3685714177142856</c:v>
                </c:pt>
                <c:pt idx="54">
                  <c:v>10.74</c:v>
                </c:pt>
                <c:pt idx="55">
                  <c:v>11.155714580142858</c:v>
                </c:pt>
                <c:pt idx="56">
                  <c:v>16.463000024285716</c:v>
                </c:pt>
                <c:pt idx="57">
                  <c:v>17.05857142857143</c:v>
                </c:pt>
                <c:pt idx="58">
                  <c:v>18.065285818571429</c:v>
                </c:pt>
                <c:pt idx="59">
                  <c:v>14.531571660571432</c:v>
                </c:pt>
                <c:pt idx="60">
                  <c:v>19.520428521428574</c:v>
                </c:pt>
                <c:pt idx="61">
                  <c:v>20.831714628571426</c:v>
                </c:pt>
                <c:pt idx="62">
                  <c:v>22.247142927987216</c:v>
                </c:pt>
                <c:pt idx="63">
                  <c:v>21.707857131428572</c:v>
                </c:pt>
                <c:pt idx="64">
                  <c:v>20.569142751428576</c:v>
                </c:pt>
                <c:pt idx="65">
                  <c:v>18.767857142857142</c:v>
                </c:pt>
                <c:pt idx="66">
                  <c:v>14.275999887714287</c:v>
                </c:pt>
                <c:pt idx="67">
                  <c:v>10.180143014285713</c:v>
                </c:pt>
                <c:pt idx="68">
                  <c:v>12.121571608857142</c:v>
                </c:pt>
                <c:pt idx="69">
                  <c:v>11.996285711571428</c:v>
                </c:pt>
                <c:pt idx="70">
                  <c:v>10.123285769857144</c:v>
                </c:pt>
                <c:pt idx="71">
                  <c:v>9.3731427190000005</c:v>
                </c:pt>
                <c:pt idx="72">
                  <c:v>7.085428442285715</c:v>
                </c:pt>
                <c:pt idx="73">
                  <c:v>7.3308571058571435</c:v>
                </c:pt>
                <c:pt idx="74">
                  <c:v>7.7242857718571427</c:v>
                </c:pt>
                <c:pt idx="75">
                  <c:v>8.8337143495714301</c:v>
                </c:pt>
                <c:pt idx="76">
                  <c:v>7.6592858184285708</c:v>
                </c:pt>
                <c:pt idx="77">
                  <c:v>6.2751428064285708</c:v>
                </c:pt>
                <c:pt idx="78">
                  <c:v>7.15</c:v>
                </c:pt>
                <c:pt idx="79">
                  <c:v>5.7058570728571425</c:v>
                </c:pt>
                <c:pt idx="80">
                  <c:v>6.4564285959516052</c:v>
                </c:pt>
                <c:pt idx="81">
                  <c:v>4.6828571428571433</c:v>
                </c:pt>
                <c:pt idx="82">
                  <c:v>6.0697142064285714</c:v>
                </c:pt>
                <c:pt idx="83">
                  <c:v>7.5088570807142858</c:v>
                </c:pt>
                <c:pt idx="84">
                  <c:v>3.2121428764285715</c:v>
                </c:pt>
                <c:pt idx="85">
                  <c:v>3.3949999810000002</c:v>
                </c:pt>
                <c:pt idx="86">
                  <c:v>7.1025714534285722</c:v>
                </c:pt>
                <c:pt idx="87">
                  <c:v>6.7619999824285708</c:v>
                </c:pt>
                <c:pt idx="88">
                  <c:v>6.5272856442857137</c:v>
                </c:pt>
                <c:pt idx="89">
                  <c:v>5.444285714285714</c:v>
                </c:pt>
                <c:pt idx="90">
                  <c:v>5.896142857415323</c:v>
                </c:pt>
                <c:pt idx="91">
                  <c:v>3.8238571030000004</c:v>
                </c:pt>
                <c:pt idx="92">
                  <c:v>4.0404286040000006</c:v>
                </c:pt>
                <c:pt idx="93">
                  <c:v>4.8257142857142856</c:v>
                </c:pt>
                <c:pt idx="94">
                  <c:v>7.354714223857143</c:v>
                </c:pt>
                <c:pt idx="95">
                  <c:v>6.0929999348571409</c:v>
                </c:pt>
                <c:pt idx="96">
                  <c:v>6.8107141777142859</c:v>
                </c:pt>
                <c:pt idx="97">
                  <c:v>7.0327142307142854</c:v>
                </c:pt>
                <c:pt idx="98">
                  <c:v>5.5844285494285719</c:v>
                </c:pt>
                <c:pt idx="99">
                  <c:v>7.5644286014285722</c:v>
                </c:pt>
                <c:pt idx="100">
                  <c:v>8.7971429828571424</c:v>
                </c:pt>
                <c:pt idx="101">
                  <c:v>8.7971429828571424</c:v>
                </c:pt>
                <c:pt idx="102">
                  <c:v>18.057571141428571</c:v>
                </c:pt>
                <c:pt idx="103">
                  <c:v>19.592142921428572</c:v>
                </c:pt>
                <c:pt idx="104">
                  <c:v>8.7855713015714283</c:v>
                </c:pt>
                <c:pt idx="105">
                  <c:v>7.4842857292720009</c:v>
                </c:pt>
                <c:pt idx="106">
                  <c:v>6.9174285272857139</c:v>
                </c:pt>
                <c:pt idx="107">
                  <c:v>11.330428599714283</c:v>
                </c:pt>
                <c:pt idx="108">
                  <c:v>12.821999958571428</c:v>
                </c:pt>
                <c:pt idx="109">
                  <c:v>18.254856927142857</c:v>
                </c:pt>
                <c:pt idx="110">
                  <c:v>17.332571574619813</c:v>
                </c:pt>
                <c:pt idx="111">
                  <c:v>19.436000279999998</c:v>
                </c:pt>
                <c:pt idx="112">
                  <c:v>13.084142684936484</c:v>
                </c:pt>
                <c:pt idx="113">
                  <c:v>16.131428717142857</c:v>
                </c:pt>
                <c:pt idx="114">
                  <c:v>16.133428572857145</c:v>
                </c:pt>
                <c:pt idx="115">
                  <c:v>16.275285719999999</c:v>
                </c:pt>
                <c:pt idx="116">
                  <c:v>20.180714198521169</c:v>
                </c:pt>
                <c:pt idx="117">
                  <c:v>21.319143022809669</c:v>
                </c:pt>
                <c:pt idx="118">
                  <c:v>18.168000220000003</c:v>
                </c:pt>
                <c:pt idx="119" formatCode="0.00">
                  <c:v>14.786285537142858</c:v>
                </c:pt>
                <c:pt idx="120">
                  <c:v>11.113285608857142</c:v>
                </c:pt>
                <c:pt idx="121">
                  <c:v>7.95871441704886</c:v>
                </c:pt>
                <c:pt idx="122">
                  <c:v>12.133857388142859</c:v>
                </c:pt>
                <c:pt idx="123">
                  <c:v>14.776714189999998</c:v>
                </c:pt>
                <c:pt idx="124">
                  <c:v>10.484285559</c:v>
                </c:pt>
                <c:pt idx="125">
                  <c:v>8.7072857448032899</c:v>
                </c:pt>
                <c:pt idx="126">
                  <c:v>7.6087141037142851</c:v>
                </c:pt>
                <c:pt idx="127">
                  <c:v>6.6898570742857144</c:v>
                </c:pt>
                <c:pt idx="128">
                  <c:v>6.3937142235892095</c:v>
                </c:pt>
                <c:pt idx="129">
                  <c:v>5.4858571460000007</c:v>
                </c:pt>
                <c:pt idx="130">
                  <c:v>5.6422856875714285</c:v>
                </c:pt>
                <c:pt idx="131">
                  <c:v>4.8411428587777223</c:v>
                </c:pt>
                <c:pt idx="132">
                  <c:v>4.0902857780000001</c:v>
                </c:pt>
                <c:pt idx="133">
                  <c:v>3.3690000857142857</c:v>
                </c:pt>
                <c:pt idx="134">
                  <c:v>3.9334286622857135</c:v>
                </c:pt>
                <c:pt idx="135">
                  <c:v>3.8718570981428577</c:v>
                </c:pt>
                <c:pt idx="136">
                  <c:v>3.9694285733359158</c:v>
                </c:pt>
                <c:pt idx="137">
                  <c:v>4.0542857307142848</c:v>
                </c:pt>
                <c:pt idx="138">
                  <c:v>3.8852857181428568</c:v>
                </c:pt>
                <c:pt idx="139">
                  <c:v>3.3560000147138283</c:v>
                </c:pt>
                <c:pt idx="140">
                  <c:v>3.1212857110159686</c:v>
                </c:pt>
                <c:pt idx="141">
                  <c:v>3.6978571414947474</c:v>
                </c:pt>
                <c:pt idx="142">
                  <c:v>4.336428608285714</c:v>
                </c:pt>
                <c:pt idx="143">
                  <c:v>3.7</c:v>
                </c:pt>
                <c:pt idx="144">
                  <c:v>3.501428569857143</c:v>
                </c:pt>
                <c:pt idx="145">
                  <c:v>4.2169999735714283</c:v>
                </c:pt>
                <c:pt idx="146">
                  <c:v>4.7599999564034556</c:v>
                </c:pt>
                <c:pt idx="147">
                  <c:v>5.693714175857143</c:v>
                </c:pt>
                <c:pt idx="148">
                  <c:v>4.3958570957142857</c:v>
                </c:pt>
                <c:pt idx="149">
                  <c:v>4.5134285178571432</c:v>
                </c:pt>
                <c:pt idx="150">
                  <c:v>5.3014286587142854</c:v>
                </c:pt>
                <c:pt idx="151">
                  <c:v>3.8094285555714285</c:v>
                </c:pt>
                <c:pt idx="152">
                  <c:v>5.0787143024285717</c:v>
                </c:pt>
                <c:pt idx="153">
                  <c:v>12.998142924285714</c:v>
                </c:pt>
                <c:pt idx="154">
                  <c:v>11.908142771714285</c:v>
                </c:pt>
                <c:pt idx="155">
                  <c:v>17.91042859142857</c:v>
                </c:pt>
                <c:pt idx="156">
                  <c:v>20.052142824285713</c:v>
                </c:pt>
                <c:pt idx="157">
                  <c:v>23.040428705714284</c:v>
                </c:pt>
                <c:pt idx="158">
                  <c:v>22.506999971428574</c:v>
                </c:pt>
                <c:pt idx="159">
                  <c:v>21.345142638571424</c:v>
                </c:pt>
                <c:pt idx="160">
                  <c:v>24.126143047142854</c:v>
                </c:pt>
                <c:pt idx="161">
                  <c:v>22.874571391428567</c:v>
                </c:pt>
                <c:pt idx="162">
                  <c:v>19.115142824285716</c:v>
                </c:pt>
                <c:pt idx="163">
                  <c:v>18.677976190476191</c:v>
                </c:pt>
                <c:pt idx="164">
                  <c:v>8.1069999999999993</c:v>
                </c:pt>
                <c:pt idx="165">
                  <c:v>10.70885712759833</c:v>
                </c:pt>
                <c:pt idx="166">
                  <c:v>21.731714248571429</c:v>
                </c:pt>
                <c:pt idx="167">
                  <c:v>21.524857657142856</c:v>
                </c:pt>
                <c:pt idx="168">
                  <c:v>22.087285995714286</c:v>
                </c:pt>
                <c:pt idx="169">
                  <c:v>23.321285792857143</c:v>
                </c:pt>
                <c:pt idx="170">
                  <c:v>26.810000011428574</c:v>
                </c:pt>
                <c:pt idx="171">
                  <c:v>22.159857068571426</c:v>
                </c:pt>
                <c:pt idx="172">
                  <c:v>20.447000231428571</c:v>
                </c:pt>
                <c:pt idx="173">
                  <c:v>14.095428602857144</c:v>
                </c:pt>
                <c:pt idx="174">
                  <c:v>12.509142604285715</c:v>
                </c:pt>
                <c:pt idx="175">
                  <c:v>8.5715713499999993</c:v>
                </c:pt>
                <c:pt idx="176">
                  <c:v>7.0702857972857149</c:v>
                </c:pt>
                <c:pt idx="177">
                  <c:v>7.0830000470000005</c:v>
                </c:pt>
                <c:pt idx="178">
                  <c:v>6.5260000228571426</c:v>
                </c:pt>
                <c:pt idx="179">
                  <c:v>6.0984286581428568</c:v>
                </c:pt>
                <c:pt idx="180">
                  <c:v>5.3554284574285722</c:v>
                </c:pt>
                <c:pt idx="181">
                  <c:v>6.0032857149999996</c:v>
                </c:pt>
                <c:pt idx="182">
                  <c:v>4.9715714455714286</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sz="700"/>
                </a:pPr>
                <a:r>
                  <a:rPr lang="en-US" sz="700"/>
                  <a:t>m3/s</a:t>
                </a:r>
              </a:p>
            </c:rich>
          </c:tx>
          <c:layout>
            <c:manualLayout>
              <c:xMode val="edge"/>
              <c:yMode val="edge"/>
              <c:x val="5.7133994293922892E-3"/>
              <c:y val="3.3573341769482234E-2"/>
            </c:manualLayout>
          </c:layout>
          <c:overlay val="0"/>
        </c:title>
        <c:numFmt formatCode="0" sourceLinked="0"/>
        <c:majorTickMark val="out"/>
        <c:minorTickMark val="none"/>
        <c:tickLblPos val="nextTo"/>
        <c:txPr>
          <a:bodyPr/>
          <a:lstStyle/>
          <a:p>
            <a:pPr>
              <a:defRPr sz="700">
                <a:latin typeface="Arial" panose="020B0604020202020204" pitchFamily="34" charset="0"/>
                <a:cs typeface="Arial" panose="020B0604020202020204" pitchFamily="34" charset="0"/>
              </a:defRPr>
            </a:pPr>
            <a:endParaRPr lang="es-PE"/>
          </a:p>
        </c:txPr>
        <c:crossAx val="351274880"/>
        <c:crosses val="autoZero"/>
        <c:crossBetween val="midCat"/>
      </c:valAx>
    </c:plotArea>
    <c:legend>
      <c:legendPos val="t"/>
      <c:layout>
        <c:manualLayout>
          <c:xMode val="edge"/>
          <c:yMode val="edge"/>
          <c:x val="0.34111513917076097"/>
          <c:y val="0.15966569158552313"/>
          <c:w val="0.27556210517433377"/>
          <c:h val="9.4459089445193267E-2"/>
        </c:manualLayout>
      </c:layout>
      <c:overlay val="0"/>
      <c:txPr>
        <a:bodyPr/>
        <a:lstStyle/>
        <a:p>
          <a:pPr>
            <a:defRPr sz="800"/>
          </a:pPr>
          <a:endParaRPr lang="es-PE"/>
        </a:p>
      </c:txPr>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'13.Caudales'!$N$4:$O$1793</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'13.Caudales'!$S$4:$S$186</c:f>
              <c:numCache>
                <c:formatCode>0.0</c:formatCode>
                <c:ptCount val="183"/>
                <c:pt idx="0">
                  <c:v>140.04142857142858</c:v>
                </c:pt>
                <c:pt idx="1">
                  <c:v>209.91800362857143</c:v>
                </c:pt>
                <c:pt idx="2">
                  <c:v>223.6645725857143</c:v>
                </c:pt>
                <c:pt idx="3">
                  <c:v>346.88342720000003</c:v>
                </c:pt>
                <c:pt idx="4">
                  <c:v>214.95928737142859</c:v>
                </c:pt>
                <c:pt idx="5">
                  <c:v>166.34242902857142</c:v>
                </c:pt>
                <c:pt idx="6">
                  <c:v>239.50057330000001</c:v>
                </c:pt>
                <c:pt idx="7">
                  <c:v>357.61814662857148</c:v>
                </c:pt>
                <c:pt idx="8">
                  <c:v>333.90885488571433</c:v>
                </c:pt>
                <c:pt idx="9">
                  <c:v>431.64157101428572</c:v>
                </c:pt>
                <c:pt idx="10">
                  <c:v>485.98543439999997</c:v>
                </c:pt>
                <c:pt idx="11">
                  <c:v>465.24414497142863</c:v>
                </c:pt>
                <c:pt idx="12">
                  <c:v>396.37686155714289</c:v>
                </c:pt>
                <c:pt idx="13">
                  <c:v>226.32643345714288</c:v>
                </c:pt>
                <c:pt idx="14">
                  <c:v>207.40800040000002</c:v>
                </c:pt>
                <c:pt idx="15">
                  <c:v>166.38871437142856</c:v>
                </c:pt>
                <c:pt idx="16">
                  <c:v>168.19342804285716</c:v>
                </c:pt>
                <c:pt idx="17">
                  <c:v>171.5428597714286</c:v>
                </c:pt>
                <c:pt idx="18">
                  <c:v>146.54485865714287</c:v>
                </c:pt>
                <c:pt idx="19">
                  <c:v>112.76242937142857</c:v>
                </c:pt>
                <c:pt idx="20">
                  <c:v>94.636570517142857</c:v>
                </c:pt>
                <c:pt idx="21">
                  <c:v>81.718714031428576</c:v>
                </c:pt>
                <c:pt idx="22">
                  <c:v>83.760285512857152</c:v>
                </c:pt>
                <c:pt idx="23">
                  <c:v>82.799001421428557</c:v>
                </c:pt>
                <c:pt idx="24">
                  <c:v>74.093855721428568</c:v>
                </c:pt>
                <c:pt idx="25">
                  <c:v>66.795142037142867</c:v>
                </c:pt>
                <c:pt idx="26">
                  <c:v>67.368571689999996</c:v>
                </c:pt>
                <c:pt idx="27">
                  <c:v>65.073571887142847</c:v>
                </c:pt>
                <c:pt idx="28">
                  <c:v>62.515714285714289</c:v>
                </c:pt>
                <c:pt idx="29">
                  <c:v>57.148857115714286</c:v>
                </c:pt>
                <c:pt idx="30">
                  <c:v>58.768000000000001</c:v>
                </c:pt>
                <c:pt idx="31">
                  <c:v>54.703428540000004</c:v>
                </c:pt>
                <c:pt idx="32">
                  <c:v>59.066285269999995</c:v>
                </c:pt>
                <c:pt idx="33">
                  <c:v>82.033571515714272</c:v>
                </c:pt>
                <c:pt idx="34">
                  <c:v>71.48</c:v>
                </c:pt>
                <c:pt idx="35">
                  <c:v>63.092857142857149</c:v>
                </c:pt>
                <c:pt idx="36">
                  <c:v>61.141713821428574</c:v>
                </c:pt>
                <c:pt idx="37">
                  <c:v>49.664428712857145</c:v>
                </c:pt>
                <c:pt idx="38">
                  <c:v>42.24</c:v>
                </c:pt>
                <c:pt idx="39">
                  <c:v>38.906285422857138</c:v>
                </c:pt>
                <c:pt idx="40">
                  <c:v>42.923713956560341</c:v>
                </c:pt>
                <c:pt idx="41">
                  <c:v>73.976001194545148</c:v>
                </c:pt>
                <c:pt idx="42">
                  <c:v>97.234427315848038</c:v>
                </c:pt>
                <c:pt idx="43">
                  <c:v>120.62971387142855</c:v>
                </c:pt>
                <c:pt idx="44">
                  <c:v>125.43157086857143</c:v>
                </c:pt>
                <c:pt idx="45">
                  <c:v>78.757142857142853</c:v>
                </c:pt>
                <c:pt idx="46">
                  <c:v>88.111712864285735</c:v>
                </c:pt>
                <c:pt idx="47">
                  <c:v>80.151286534285717</c:v>
                </c:pt>
                <c:pt idx="48">
                  <c:v>66.555714285714288</c:v>
                </c:pt>
                <c:pt idx="49">
                  <c:v>61.602715082857152</c:v>
                </c:pt>
                <c:pt idx="50">
                  <c:v>53.9</c:v>
                </c:pt>
                <c:pt idx="51">
                  <c:v>57.504999978571433</c:v>
                </c:pt>
                <c:pt idx="52">
                  <c:v>57.514999934285704</c:v>
                </c:pt>
                <c:pt idx="53">
                  <c:v>63.363856724285711</c:v>
                </c:pt>
                <c:pt idx="54">
                  <c:v>80.75</c:v>
                </c:pt>
                <c:pt idx="55">
                  <c:v>85.689570837142853</c:v>
                </c:pt>
                <c:pt idx="56">
                  <c:v>416.48700821428571</c:v>
                </c:pt>
                <c:pt idx="57">
                  <c:v>426.67142857142863</c:v>
                </c:pt>
                <c:pt idx="58">
                  <c:v>581.62514822857145</c:v>
                </c:pt>
                <c:pt idx="59">
                  <c:v>439.74099729999995</c:v>
                </c:pt>
                <c:pt idx="60">
                  <c:v>316.26999772857147</c:v>
                </c:pt>
                <c:pt idx="61">
                  <c:v>326.63642664285715</c:v>
                </c:pt>
                <c:pt idx="62">
                  <c:v>416.08099801199745</c:v>
                </c:pt>
                <c:pt idx="63">
                  <c:v>394.13957431428571</c:v>
                </c:pt>
                <c:pt idx="64">
                  <c:v>522.42285592857138</c:v>
                </c:pt>
                <c:pt idx="65">
                  <c:v>316.33943394285717</c:v>
                </c:pt>
                <c:pt idx="66">
                  <c:v>168.45457024285716</c:v>
                </c:pt>
                <c:pt idx="67">
                  <c:v>131.80142647142856</c:v>
                </c:pt>
                <c:pt idx="68">
                  <c:v>143.84128789999997</c:v>
                </c:pt>
                <c:pt idx="69">
                  <c:v>111.12314277285714</c:v>
                </c:pt>
                <c:pt idx="70">
                  <c:v>89.41828482428572</c:v>
                </c:pt>
                <c:pt idx="71">
                  <c:v>79.212427410000004</c:v>
                </c:pt>
                <c:pt idx="72">
                  <c:v>62.717000688571432</c:v>
                </c:pt>
                <c:pt idx="73">
                  <c:v>41.633143151428598</c:v>
                </c:pt>
                <c:pt idx="74">
                  <c:v>41.633143151428598</c:v>
                </c:pt>
                <c:pt idx="75">
                  <c:v>78.434000150000003</c:v>
                </c:pt>
                <c:pt idx="76">
                  <c:v>77.872000559999989</c:v>
                </c:pt>
                <c:pt idx="77">
                  <c:v>76.447856358571428</c:v>
                </c:pt>
                <c:pt idx="78">
                  <c:v>77.430000000000007</c:v>
                </c:pt>
                <c:pt idx="79">
                  <c:v>76.24514443428572</c:v>
                </c:pt>
                <c:pt idx="80">
                  <c:v>66.31271307809007</c:v>
                </c:pt>
                <c:pt idx="81">
                  <c:v>72.048571428571435</c:v>
                </c:pt>
                <c:pt idx="82">
                  <c:v>71.543143134285714</c:v>
                </c:pt>
                <c:pt idx="83">
                  <c:v>73.754999434285722</c:v>
                </c:pt>
                <c:pt idx="84">
                  <c:v>68.878572191428574</c:v>
                </c:pt>
                <c:pt idx="85">
                  <c:v>65.663999831428569</c:v>
                </c:pt>
                <c:pt idx="86">
                  <c:v>65.224427905714279</c:v>
                </c:pt>
                <c:pt idx="87">
                  <c:v>60.719142914285719</c:v>
                </c:pt>
                <c:pt idx="88">
                  <c:v>62.679428645714289</c:v>
                </c:pt>
                <c:pt idx="89">
                  <c:v>65.47</c:v>
                </c:pt>
                <c:pt idx="90">
                  <c:v>72.930715288434641</c:v>
                </c:pt>
                <c:pt idx="91">
                  <c:v>70.661287578571418</c:v>
                </c:pt>
                <c:pt idx="92">
                  <c:v>65.047571455714291</c:v>
                </c:pt>
                <c:pt idx="93">
                  <c:v>67.597142857142856</c:v>
                </c:pt>
                <c:pt idx="94">
                  <c:v>80.445570807142857</c:v>
                </c:pt>
                <c:pt idx="95">
                  <c:v>68.079284669999993</c:v>
                </c:pt>
                <c:pt idx="96">
                  <c:v>71.555715832857132</c:v>
                </c:pt>
                <c:pt idx="97">
                  <c:v>91.077428547142858</c:v>
                </c:pt>
                <c:pt idx="98">
                  <c:v>81.972856794285704</c:v>
                </c:pt>
                <c:pt idx="99">
                  <c:v>84.626999989999987</c:v>
                </c:pt>
                <c:pt idx="100">
                  <c:v>127.52371543</c:v>
                </c:pt>
                <c:pt idx="101">
                  <c:v>183.5428575857143</c:v>
                </c:pt>
                <c:pt idx="102">
                  <c:v>292.95071844285718</c:v>
                </c:pt>
                <c:pt idx="103">
                  <c:v>381.11599999999993</c:v>
                </c:pt>
                <c:pt idx="104">
                  <c:v>271.83385794285715</c:v>
                </c:pt>
                <c:pt idx="105">
                  <c:v>176.20814078194715</c:v>
                </c:pt>
                <c:pt idx="106">
                  <c:v>159.75199889999999</c:v>
                </c:pt>
                <c:pt idx="107">
                  <c:v>243.87700107142857</c:v>
                </c:pt>
                <c:pt idx="108">
                  <c:v>236.61043005714285</c:v>
                </c:pt>
                <c:pt idx="109">
                  <c:v>392.82542635714287</c:v>
                </c:pt>
                <c:pt idx="110">
                  <c:v>448.59157017299066</c:v>
                </c:pt>
                <c:pt idx="111">
                  <c:v>374.25799560000002</c:v>
                </c:pt>
                <c:pt idx="112">
                  <c:v>289.19357081821948</c:v>
                </c:pt>
                <c:pt idx="113">
                  <c:v>302.38613892857137</c:v>
                </c:pt>
                <c:pt idx="114">
                  <c:v>219.49971445714283</c:v>
                </c:pt>
                <c:pt idx="115">
                  <c:v>210.39014761428572</c:v>
                </c:pt>
                <c:pt idx="116">
                  <c:v>335.19785417829189</c:v>
                </c:pt>
                <c:pt idx="117">
                  <c:v>569.31741768973188</c:v>
                </c:pt>
                <c:pt idx="118">
                  <c:v>298.48543221428571</c:v>
                </c:pt>
                <c:pt idx="119" formatCode="0.00">
                  <c:v>196.30642698571427</c:v>
                </c:pt>
                <c:pt idx="120">
                  <c:v>144.25785718571427</c:v>
                </c:pt>
                <c:pt idx="121">
                  <c:v>118.61742946079741</c:v>
                </c:pt>
                <c:pt idx="122">
                  <c:v>119.46943012857146</c:v>
                </c:pt>
                <c:pt idx="123">
                  <c:v>179.62085941428572</c:v>
                </c:pt>
                <c:pt idx="124">
                  <c:v>132.41042655714287</c:v>
                </c:pt>
                <c:pt idx="125">
                  <c:v>118.96285901750787</c:v>
                </c:pt>
                <c:pt idx="126">
                  <c:v>92.527713229999989</c:v>
                </c:pt>
                <c:pt idx="127">
                  <c:v>86.262142725714284</c:v>
                </c:pt>
                <c:pt idx="128">
                  <c:v>80.154999869210343</c:v>
                </c:pt>
                <c:pt idx="129">
                  <c:v>71.438000270000003</c:v>
                </c:pt>
                <c:pt idx="130">
                  <c:v>70.798141479999998</c:v>
                </c:pt>
                <c:pt idx="131">
                  <c:v>72.323284694126613</c:v>
                </c:pt>
                <c:pt idx="132">
                  <c:v>70.352427891428562</c:v>
                </c:pt>
                <c:pt idx="133">
                  <c:v>69.363000051428585</c:v>
                </c:pt>
                <c:pt idx="134">
                  <c:v>68.101856775714282</c:v>
                </c:pt>
                <c:pt idx="135">
                  <c:v>66.163572037142856</c:v>
                </c:pt>
                <c:pt idx="136">
                  <c:v>69.589143480573355</c:v>
                </c:pt>
                <c:pt idx="137">
                  <c:v>67.52914374142857</c:v>
                </c:pt>
                <c:pt idx="138">
                  <c:v>67.307859692857136</c:v>
                </c:pt>
                <c:pt idx="139">
                  <c:v>62.870428357805473</c:v>
                </c:pt>
                <c:pt idx="140">
                  <c:v>65.621286119733483</c:v>
                </c:pt>
                <c:pt idx="141">
                  <c:v>65.927430289132204</c:v>
                </c:pt>
                <c:pt idx="142">
                  <c:v>68.259427751813561</c:v>
                </c:pt>
                <c:pt idx="143">
                  <c:v>75.159429278571437</c:v>
                </c:pt>
                <c:pt idx="144">
                  <c:v>73.523286004285723</c:v>
                </c:pt>
                <c:pt idx="145">
                  <c:v>67.761285509999993</c:v>
                </c:pt>
                <c:pt idx="146">
                  <c:v>71.132857186453606</c:v>
                </c:pt>
                <c:pt idx="147">
                  <c:v>76.869857788571409</c:v>
                </c:pt>
                <c:pt idx="148">
                  <c:v>68.664999825714276</c:v>
                </c:pt>
                <c:pt idx="149">
                  <c:v>62.049999781428575</c:v>
                </c:pt>
                <c:pt idx="150">
                  <c:v>57.546571460000003</c:v>
                </c:pt>
                <c:pt idx="151">
                  <c:v>56.944714135714285</c:v>
                </c:pt>
                <c:pt idx="152">
                  <c:v>56.829999651428572</c:v>
                </c:pt>
                <c:pt idx="153">
                  <c:v>90.966000160000007</c:v>
                </c:pt>
                <c:pt idx="154">
                  <c:v>83.198000225714296</c:v>
                </c:pt>
                <c:pt idx="155">
                  <c:v>93.582571842857163</c:v>
                </c:pt>
                <c:pt idx="156">
                  <c:v>198.89756992857141</c:v>
                </c:pt>
                <c:pt idx="157" formatCode="0.00">
                  <c:v>363.19999692857135</c:v>
                </c:pt>
                <c:pt idx="158" formatCode="0.00">
                  <c:v>323.79400198571426</c:v>
                </c:pt>
                <c:pt idx="159" formatCode="0.00">
                  <c:v>401.6544320142857</c:v>
                </c:pt>
                <c:pt idx="160" formatCode="0.00">
                  <c:v>367.00971765714274</c:v>
                </c:pt>
                <c:pt idx="161" formatCode="0.00">
                  <c:v>260.95085362857145</c:v>
                </c:pt>
                <c:pt idx="162" formatCode="0.00">
                  <c:v>266.1391427142857</c:v>
                </c:pt>
                <c:pt idx="163" formatCode="0.00">
                  <c:v>231.286666666667</c:v>
                </c:pt>
                <c:pt idx="164" formatCode="0.00">
                  <c:v>131.62660714285707</c:v>
                </c:pt>
                <c:pt idx="165" formatCode="0.00">
                  <c:v>115.81614358084498</c:v>
                </c:pt>
                <c:pt idx="166" formatCode="0.00">
                  <c:v>254.39099884285716</c:v>
                </c:pt>
                <c:pt idx="167" formatCode="0.00">
                  <c:v>320.82542418571427</c:v>
                </c:pt>
                <c:pt idx="168" formatCode="0.00">
                  <c:v>295.67700197142852</c:v>
                </c:pt>
                <c:pt idx="169" formatCode="0.00">
                  <c:v>358.4028538428571</c:v>
                </c:pt>
                <c:pt idx="170" formatCode="0.00">
                  <c:v>415.37771607142855</c:v>
                </c:pt>
                <c:pt idx="171" formatCode="0.00">
                  <c:v>388.02957154285713</c:v>
                </c:pt>
                <c:pt idx="172" formatCode="0.00">
                  <c:v>189.56900242857142</c:v>
                </c:pt>
                <c:pt idx="173" formatCode="0.00">
                  <c:v>140.97214290000002</c:v>
                </c:pt>
                <c:pt idx="174" formatCode="0.00">
                  <c:v>114.69700078571428</c:v>
                </c:pt>
                <c:pt idx="175" formatCode="0.00">
                  <c:v>99.656284881428547</c:v>
                </c:pt>
                <c:pt idx="176" formatCode="0.00">
                  <c:v>88.480572290000026</c:v>
                </c:pt>
                <c:pt idx="177" formatCode="0.00">
                  <c:v>98.34657178714285</c:v>
                </c:pt>
                <c:pt idx="178" formatCode="0.00">
                  <c:v>88.19400133428573</c:v>
                </c:pt>
                <c:pt idx="179" formatCode="0.00">
                  <c:v>67.392570495714281</c:v>
                </c:pt>
                <c:pt idx="180" formatCode="0.00">
                  <c:v>74.302856445714283</c:v>
                </c:pt>
                <c:pt idx="181" formatCode="0.00">
                  <c:v>70.370715551428574</c:v>
                </c:pt>
                <c:pt idx="182" formatCode="0.00">
                  <c:v>60.400571005714291</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'13.Caudales'!$N$4:$O$1793</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'13.Caudales'!$T$4:$T$186</c:f>
              <c:numCache>
                <c:formatCode>0.0</c:formatCode>
                <c:ptCount val="183"/>
                <c:pt idx="0">
                  <c:v>143.09</c:v>
                </c:pt>
                <c:pt idx="1">
                  <c:v>160.98214394285716</c:v>
                </c:pt>
                <c:pt idx="2">
                  <c:v>190.44042751428574</c:v>
                </c:pt>
                <c:pt idx="3">
                  <c:v>205.5832868285714</c:v>
                </c:pt>
                <c:pt idx="4">
                  <c:v>93.607142857142861</c:v>
                </c:pt>
                <c:pt idx="5">
                  <c:v>108.25571334000001</c:v>
                </c:pt>
                <c:pt idx="6">
                  <c:v>202.98199900000003</c:v>
                </c:pt>
                <c:pt idx="7">
                  <c:v>251.1</c:v>
                </c:pt>
                <c:pt idx="8">
                  <c:v>204.95843285714287</c:v>
                </c:pt>
                <c:pt idx="9">
                  <c:v>177.15485925714287</c:v>
                </c:pt>
                <c:pt idx="10">
                  <c:v>169.375</c:v>
                </c:pt>
                <c:pt idx="11">
                  <c:v>201.58328465714288</c:v>
                </c:pt>
                <c:pt idx="12">
                  <c:v>163.75585502857143</c:v>
                </c:pt>
                <c:pt idx="13">
                  <c:v>133.53585814285714</c:v>
                </c:pt>
                <c:pt idx="14">
                  <c:v>107.59514291428572</c:v>
                </c:pt>
                <c:pt idx="15">
                  <c:v>95.78</c:v>
                </c:pt>
                <c:pt idx="16">
                  <c:v>95.39</c:v>
                </c:pt>
                <c:pt idx="17">
                  <c:v>85.958285739999994</c:v>
                </c:pt>
                <c:pt idx="18">
                  <c:v>88.244000028571435</c:v>
                </c:pt>
                <c:pt idx="19">
                  <c:v>64.809571402857145</c:v>
                </c:pt>
                <c:pt idx="20">
                  <c:v>49.303714208571428</c:v>
                </c:pt>
                <c:pt idx="21">
                  <c:v>42.928571428571431</c:v>
                </c:pt>
                <c:pt idx="22">
                  <c:v>67.797571451428567</c:v>
                </c:pt>
                <c:pt idx="23">
                  <c:v>63.982142857142854</c:v>
                </c:pt>
                <c:pt idx="24">
                  <c:v>53.035571505714287</c:v>
                </c:pt>
                <c:pt idx="25">
                  <c:v>40.369000025714286</c:v>
                </c:pt>
                <c:pt idx="26">
                  <c:v>33.409999999999997</c:v>
                </c:pt>
                <c:pt idx="27">
                  <c:v>33.160714285714285</c:v>
                </c:pt>
                <c:pt idx="28">
                  <c:v>35.738</c:v>
                </c:pt>
                <c:pt idx="29">
                  <c:v>85.065429679999994</c:v>
                </c:pt>
                <c:pt idx="30">
                  <c:v>40.375</c:v>
                </c:pt>
                <c:pt idx="31">
                  <c:v>52.946428571428569</c:v>
                </c:pt>
                <c:pt idx="32">
                  <c:v>47.13</c:v>
                </c:pt>
                <c:pt idx="33">
                  <c:v>63.892999920000001</c:v>
                </c:pt>
                <c:pt idx="34">
                  <c:v>45.64</c:v>
                </c:pt>
                <c:pt idx="35">
                  <c:v>34.571428571428569</c:v>
                </c:pt>
                <c:pt idx="36">
                  <c:v>28.744000025714286</c:v>
                </c:pt>
                <c:pt idx="37">
                  <c:v>35.571571351428574</c:v>
                </c:pt>
                <c:pt idx="38">
                  <c:v>39.39</c:v>
                </c:pt>
                <c:pt idx="39">
                  <c:v>41.34000069857143</c:v>
                </c:pt>
                <c:pt idx="40">
                  <c:v>56.607142857142847</c:v>
                </c:pt>
                <c:pt idx="41">
                  <c:v>89.232285635811792</c:v>
                </c:pt>
                <c:pt idx="42">
                  <c:v>125.70828465052978</c:v>
                </c:pt>
                <c:pt idx="43">
                  <c:v>157.60714285714286</c:v>
                </c:pt>
                <c:pt idx="44">
                  <c:v>105.63685608857143</c:v>
                </c:pt>
                <c:pt idx="45">
                  <c:v>79.304285714285712</c:v>
                </c:pt>
                <c:pt idx="46">
                  <c:v>74.684428622857141</c:v>
                </c:pt>
                <c:pt idx="47">
                  <c:v>95.303570342857142</c:v>
                </c:pt>
                <c:pt idx="48">
                  <c:v>54.31</c:v>
                </c:pt>
                <c:pt idx="49">
                  <c:v>52.47614288285714</c:v>
                </c:pt>
                <c:pt idx="50">
                  <c:v>126.14285714285714</c:v>
                </c:pt>
                <c:pt idx="51">
                  <c:v>100.38085719714286</c:v>
                </c:pt>
                <c:pt idx="52">
                  <c:v>79.871427261428579</c:v>
                </c:pt>
                <c:pt idx="53">
                  <c:v>84.184571402857145</c:v>
                </c:pt>
                <c:pt idx="54">
                  <c:v>149.30000000000001</c:v>
                </c:pt>
                <c:pt idx="55">
                  <c:v>168.80999974285714</c:v>
                </c:pt>
                <c:pt idx="56">
                  <c:v>195.24999782857142</c:v>
                </c:pt>
                <c:pt idx="57">
                  <c:v>265.28000000000003</c:v>
                </c:pt>
                <c:pt idx="58">
                  <c:v>230.7322888857143</c:v>
                </c:pt>
                <c:pt idx="59">
                  <c:v>219.37485614285717</c:v>
                </c:pt>
                <c:pt idx="60">
                  <c:v>191.17842539999998</c:v>
                </c:pt>
                <c:pt idx="61">
                  <c:v>184.08928571428572</c:v>
                </c:pt>
                <c:pt idx="62">
                  <c:v>226.88085501534573</c:v>
                </c:pt>
                <c:pt idx="63">
                  <c:v>203.44642857142858</c:v>
                </c:pt>
                <c:pt idx="64">
                  <c:v>225.26185825714285</c:v>
                </c:pt>
                <c:pt idx="65">
                  <c:v>152.47643277142856</c:v>
                </c:pt>
                <c:pt idx="66">
                  <c:v>98.160714291428576</c:v>
                </c:pt>
                <c:pt idx="67">
                  <c:v>98.279714314285712</c:v>
                </c:pt>
                <c:pt idx="68">
                  <c:v>83.547571454285716</c:v>
                </c:pt>
                <c:pt idx="69">
                  <c:v>74.392857142857139</c:v>
                </c:pt>
                <c:pt idx="70">
                  <c:v>60.613000051428571</c:v>
                </c:pt>
                <c:pt idx="71">
                  <c:v>72.321428569999995</c:v>
                </c:pt>
                <c:pt idx="72">
                  <c:v>52.565571377142859</c:v>
                </c:pt>
                <c:pt idx="73">
                  <c:v>49.261999948571429</c:v>
                </c:pt>
                <c:pt idx="74">
                  <c:v>40.500142779999997</c:v>
                </c:pt>
                <c:pt idx="75">
                  <c:v>35.785857065714289</c:v>
                </c:pt>
                <c:pt idx="76">
                  <c:v>33.357000077142857</c:v>
                </c:pt>
                <c:pt idx="77">
                  <c:v>29.154571531428569</c:v>
                </c:pt>
                <c:pt idx="78">
                  <c:v>30.35</c:v>
                </c:pt>
                <c:pt idx="79">
                  <c:v>27.702285765714286</c:v>
                </c:pt>
                <c:pt idx="80">
                  <c:v>29.940428597586454</c:v>
                </c:pt>
                <c:pt idx="81">
                  <c:v>36.729999999999997</c:v>
                </c:pt>
                <c:pt idx="82">
                  <c:v>31.720428468571431</c:v>
                </c:pt>
                <c:pt idx="83">
                  <c:v>23.255857194285714</c:v>
                </c:pt>
                <c:pt idx="84">
                  <c:v>21.297428674285715</c:v>
                </c:pt>
                <c:pt idx="85">
                  <c:v>20.922428674285715</c:v>
                </c:pt>
                <c:pt idx="86">
                  <c:v>19.458285740000001</c:v>
                </c:pt>
                <c:pt idx="87">
                  <c:v>25.369000025714286</c:v>
                </c:pt>
                <c:pt idx="88">
                  <c:v>28.136857168571428</c:v>
                </c:pt>
                <c:pt idx="89">
                  <c:v>29.351428571428567</c:v>
                </c:pt>
                <c:pt idx="90">
                  <c:v>26.470285688127774</c:v>
                </c:pt>
                <c:pt idx="91">
                  <c:v>28.190571377142856</c:v>
                </c:pt>
                <c:pt idx="92">
                  <c:v>47.010571615714284</c:v>
                </c:pt>
                <c:pt idx="93">
                  <c:v>47.291428571428575</c:v>
                </c:pt>
                <c:pt idx="94">
                  <c:v>71.934570317142857</c:v>
                </c:pt>
                <c:pt idx="95">
                  <c:v>33.011999948571429</c:v>
                </c:pt>
                <c:pt idx="96">
                  <c:v>77.119000028571435</c:v>
                </c:pt>
                <c:pt idx="97">
                  <c:v>102.37485722571429</c:v>
                </c:pt>
                <c:pt idx="98">
                  <c:v>82.511857174285723</c:v>
                </c:pt>
                <c:pt idx="99">
                  <c:v>67.75</c:v>
                </c:pt>
                <c:pt idx="100">
                  <c:v>92.821572431428564</c:v>
                </c:pt>
                <c:pt idx="101">
                  <c:v>117.73200008285714</c:v>
                </c:pt>
                <c:pt idx="102">
                  <c:v>180.44057028571427</c:v>
                </c:pt>
                <c:pt idx="103">
                  <c:v>222.82728794285717</c:v>
                </c:pt>
                <c:pt idx="104">
                  <c:v>172.15485925714285</c:v>
                </c:pt>
                <c:pt idx="105">
                  <c:v>130.2321406773155</c:v>
                </c:pt>
                <c:pt idx="106">
                  <c:v>106.97614288285715</c:v>
                </c:pt>
                <c:pt idx="107">
                  <c:v>137.04186028571428</c:v>
                </c:pt>
                <c:pt idx="108">
                  <c:v>121.29742760000001</c:v>
                </c:pt>
                <c:pt idx="109">
                  <c:v>216.11300005714287</c:v>
                </c:pt>
                <c:pt idx="110">
                  <c:v>221.35714285714261</c:v>
                </c:pt>
                <c:pt idx="111">
                  <c:v>142.54771639999998</c:v>
                </c:pt>
                <c:pt idx="112">
                  <c:v>162.01200212751087</c:v>
                </c:pt>
                <c:pt idx="113">
                  <c:v>174.72028894285717</c:v>
                </c:pt>
                <c:pt idx="114">
                  <c:v>118.91071428571429</c:v>
                </c:pt>
                <c:pt idx="115">
                  <c:v>145.36899785714286</c:v>
                </c:pt>
                <c:pt idx="116">
                  <c:v>171.26185716901472</c:v>
                </c:pt>
                <c:pt idx="117">
                  <c:v>241.59529113769531</c:v>
                </c:pt>
                <c:pt idx="118">
                  <c:v>156.28586031428571</c:v>
                </c:pt>
                <c:pt idx="119" formatCode="0.00">
                  <c:v>126.20242854857143</c:v>
                </c:pt>
                <c:pt idx="120">
                  <c:v>112.32742854857143</c:v>
                </c:pt>
                <c:pt idx="121">
                  <c:v>86.636999947684131</c:v>
                </c:pt>
                <c:pt idx="122">
                  <c:v>95.79771531714286</c:v>
                </c:pt>
                <c:pt idx="123">
                  <c:v>63.654857091428575</c:v>
                </c:pt>
                <c:pt idx="124">
                  <c:v>63.017857142857146</c:v>
                </c:pt>
                <c:pt idx="125">
                  <c:v>55.553428649902308</c:v>
                </c:pt>
                <c:pt idx="126">
                  <c:v>48.85114288285714</c:v>
                </c:pt>
                <c:pt idx="127">
                  <c:v>49.02971431142857</c:v>
                </c:pt>
                <c:pt idx="128">
                  <c:v>39.363000052315797</c:v>
                </c:pt>
                <c:pt idx="129">
                  <c:v>31.88514287142857</c:v>
                </c:pt>
                <c:pt idx="130">
                  <c:v>29.80342864857143</c:v>
                </c:pt>
                <c:pt idx="131">
                  <c:v>28.875142778669062</c:v>
                </c:pt>
                <c:pt idx="132">
                  <c:v>27.071428571428573</c:v>
                </c:pt>
                <c:pt idx="133">
                  <c:v>26.369142805714286</c:v>
                </c:pt>
                <c:pt idx="134">
                  <c:v>23.077571325714285</c:v>
                </c:pt>
                <c:pt idx="135">
                  <c:v>20.36314283098493</c:v>
                </c:pt>
                <c:pt idx="136">
                  <c:v>20.36</c:v>
                </c:pt>
                <c:pt idx="137">
                  <c:v>23.369000025714286</c:v>
                </c:pt>
                <c:pt idx="138">
                  <c:v>24.434428622857144</c:v>
                </c:pt>
                <c:pt idx="139">
                  <c:v>21.077428545270632</c:v>
                </c:pt>
                <c:pt idx="140">
                  <c:v>23.857142857142815</c:v>
                </c:pt>
                <c:pt idx="141">
                  <c:v>21.696428571428545</c:v>
                </c:pt>
                <c:pt idx="142">
                  <c:v>32.958285740443614</c:v>
                </c:pt>
                <c:pt idx="143">
                  <c:v>41.827428545714284</c:v>
                </c:pt>
                <c:pt idx="144">
                  <c:v>30.178571428571427</c:v>
                </c:pt>
                <c:pt idx="145">
                  <c:v>24.547571454285713</c:v>
                </c:pt>
                <c:pt idx="146">
                  <c:v>41.773857116699205</c:v>
                </c:pt>
                <c:pt idx="147">
                  <c:v>39.60114288285714</c:v>
                </c:pt>
                <c:pt idx="148">
                  <c:v>36.702285765714286</c:v>
                </c:pt>
                <c:pt idx="149">
                  <c:v>27.797571454285713</c:v>
                </c:pt>
                <c:pt idx="150">
                  <c:v>32.208285740000001</c:v>
                </c:pt>
                <c:pt idx="151">
                  <c:v>25.351285662857144</c:v>
                </c:pt>
                <c:pt idx="152">
                  <c:v>37.994142805714283</c:v>
                </c:pt>
                <c:pt idx="153">
                  <c:v>88.630856108571422</c:v>
                </c:pt>
                <c:pt idx="154">
                  <c:v>44.297571454285716</c:v>
                </c:pt>
                <c:pt idx="155">
                  <c:v>77.60742949714286</c:v>
                </c:pt>
                <c:pt idx="156">
                  <c:v>158.34513965714288</c:v>
                </c:pt>
                <c:pt idx="157" formatCode="0.00">
                  <c:v>212.58328465714288</c:v>
                </c:pt>
                <c:pt idx="158" formatCode="0.00">
                  <c:v>154.41086031428571</c:v>
                </c:pt>
                <c:pt idx="159" formatCode="0.00">
                  <c:v>185.14285714285714</c:v>
                </c:pt>
                <c:pt idx="160" formatCode="0.00">
                  <c:v>156.14856614285716</c:v>
                </c:pt>
                <c:pt idx="161" formatCode="0.00">
                  <c:v>108.66671425714286</c:v>
                </c:pt>
                <c:pt idx="162" formatCode="0.00">
                  <c:v>132.98228671428572</c:v>
                </c:pt>
                <c:pt idx="163" formatCode="0.00">
                  <c:v>91.321428571428569</c:v>
                </c:pt>
                <c:pt idx="164" formatCode="0.00">
                  <c:v>104.375</c:v>
                </c:pt>
                <c:pt idx="165" formatCode="0.00">
                  <c:v>81.571428571428527</c:v>
                </c:pt>
                <c:pt idx="166" formatCode="0.00">
                  <c:v>146.17256928571427</c:v>
                </c:pt>
                <c:pt idx="167" formatCode="0.00">
                  <c:v>138.12514602857144</c:v>
                </c:pt>
                <c:pt idx="168" formatCode="0.00">
                  <c:v>176.22028785714286</c:v>
                </c:pt>
                <c:pt idx="169" formatCode="0.00">
                  <c:v>161.61914497142857</c:v>
                </c:pt>
                <c:pt idx="170" formatCode="0.00">
                  <c:v>180.97614180000002</c:v>
                </c:pt>
                <c:pt idx="171" formatCode="0.00">
                  <c:v>187.79186137142855</c:v>
                </c:pt>
                <c:pt idx="172" formatCode="0.00">
                  <c:v>107.50585611428572</c:v>
                </c:pt>
                <c:pt idx="173" formatCode="0.00">
                  <c:v>90.738142825714277</c:v>
                </c:pt>
                <c:pt idx="174" formatCode="0.00">
                  <c:v>67.130999974285714</c:v>
                </c:pt>
                <c:pt idx="175" formatCode="0.00">
                  <c:v>64.428571428571431</c:v>
                </c:pt>
                <c:pt idx="176" formatCode="0.00">
                  <c:v>61.482142857142854</c:v>
                </c:pt>
                <c:pt idx="177" formatCode="0.00">
                  <c:v>63.72614288285714</c:v>
                </c:pt>
                <c:pt idx="178" formatCode="0.00">
                  <c:v>49.041857040000004</c:v>
                </c:pt>
                <c:pt idx="179" formatCode="0.00">
                  <c:v>49.232000077142857</c:v>
                </c:pt>
                <c:pt idx="180" formatCode="0.00">
                  <c:v>54.952285765714286</c:v>
                </c:pt>
                <c:pt idx="181" formatCode="0.00">
                  <c:v>39.565571377142859</c:v>
                </c:pt>
                <c:pt idx="182" formatCode="0.00">
                  <c:v>43.083285740000001</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'13.Caudales'!$N$4:$O$160</c:f>
              <c:multiLvlStrCache>
                <c:ptCount val="157"/>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lvl>
                <c:lvl>
                  <c:pt idx="0">
                    <c:v>2018</c:v>
                  </c:pt>
                  <c:pt idx="52">
                    <c:v>2019</c:v>
                  </c:pt>
                  <c:pt idx="105">
                    <c:v>2020</c:v>
                  </c:pt>
                </c:lvl>
              </c:multiLvlStrCache>
            </c:multiLvlStrRef>
          </c:cat>
          <c:val>
            <c:numRef>
              <c:f>'13.Caudales'!$U$4:$U$186</c:f>
              <c:numCache>
                <c:formatCode>0.0</c:formatCode>
                <c:ptCount val="183"/>
                <c:pt idx="0">
                  <c:v>20.63</c:v>
                </c:pt>
                <c:pt idx="1">
                  <c:v>36.213856559999996</c:v>
                </c:pt>
                <c:pt idx="2">
                  <c:v>30.819142750000001</c:v>
                </c:pt>
                <c:pt idx="3">
                  <c:v>40.893000467142862</c:v>
                </c:pt>
                <c:pt idx="4">
                  <c:v>17.748285841428572</c:v>
                </c:pt>
                <c:pt idx="5">
                  <c:v>18.79157175142857</c:v>
                </c:pt>
                <c:pt idx="6">
                  <c:v>42.088571821428573</c:v>
                </c:pt>
                <c:pt idx="7">
                  <c:v>43.74</c:v>
                </c:pt>
                <c:pt idx="8">
                  <c:v>31.755000522857138</c:v>
                </c:pt>
                <c:pt idx="9">
                  <c:v>31.196571622857142</c:v>
                </c:pt>
                <c:pt idx="10">
                  <c:v>52.626284462857136</c:v>
                </c:pt>
                <c:pt idx="11">
                  <c:v>57.669144221428567</c:v>
                </c:pt>
                <c:pt idx="12">
                  <c:v>35.725570951428573</c:v>
                </c:pt>
                <c:pt idx="13">
                  <c:v>28.622000282857147</c:v>
                </c:pt>
                <c:pt idx="14">
                  <c:v>30.753999982857145</c:v>
                </c:pt>
                <c:pt idx="15">
                  <c:v>29.88</c:v>
                </c:pt>
                <c:pt idx="16">
                  <c:v>22.257285525714284</c:v>
                </c:pt>
                <c:pt idx="17">
                  <c:v>21.651714052857141</c:v>
                </c:pt>
                <c:pt idx="18">
                  <c:v>19.037142890000002</c:v>
                </c:pt>
                <c:pt idx="19">
                  <c:v>16.531571660000001</c:v>
                </c:pt>
                <c:pt idx="20">
                  <c:v>13.450571468571427</c:v>
                </c:pt>
                <c:pt idx="21">
                  <c:v>11.897571562857141</c:v>
                </c:pt>
                <c:pt idx="22">
                  <c:v>15.801714215714284</c:v>
                </c:pt>
                <c:pt idx="23">
                  <c:v>15.595999989999999</c:v>
                </c:pt>
                <c:pt idx="24">
                  <c:v>14.135857038571428</c:v>
                </c:pt>
                <c:pt idx="25">
                  <c:v>10.912428581428573</c:v>
                </c:pt>
                <c:pt idx="26">
                  <c:v>9.4035714009999989</c:v>
                </c:pt>
                <c:pt idx="27">
                  <c:v>9.4155716217142871</c:v>
                </c:pt>
                <c:pt idx="28">
                  <c:v>9.5503999999999998</c:v>
                </c:pt>
                <c:pt idx="29">
                  <c:v>15.534142631428571</c:v>
                </c:pt>
                <c:pt idx="30">
                  <c:v>8.5579999999999998</c:v>
                </c:pt>
                <c:pt idx="31">
                  <c:v>10.739857128857144</c:v>
                </c:pt>
                <c:pt idx="32">
                  <c:v>9.23</c:v>
                </c:pt>
                <c:pt idx="33">
                  <c:v>10.917285918714287</c:v>
                </c:pt>
                <c:pt idx="34">
                  <c:v>9.4700000000000006</c:v>
                </c:pt>
                <c:pt idx="35">
                  <c:v>7.5942857142857134</c:v>
                </c:pt>
                <c:pt idx="36">
                  <c:v>6.5637142318571433</c:v>
                </c:pt>
                <c:pt idx="37">
                  <c:v>7.2939999444285712</c:v>
                </c:pt>
                <c:pt idx="38">
                  <c:v>7.68</c:v>
                </c:pt>
                <c:pt idx="39">
                  <c:v>9.112857137571428</c:v>
                </c:pt>
                <c:pt idx="40">
                  <c:v>11.170142854962995</c:v>
                </c:pt>
                <c:pt idx="41">
                  <c:v>19.282285690307582</c:v>
                </c:pt>
                <c:pt idx="42">
                  <c:v>26.382142475673081</c:v>
                </c:pt>
                <c:pt idx="43">
                  <c:v>33.364427840000005</c:v>
                </c:pt>
                <c:pt idx="44">
                  <c:v>18.735571588571428</c:v>
                </c:pt>
                <c:pt idx="45">
                  <c:v>13.16</c:v>
                </c:pt>
                <c:pt idx="46">
                  <c:v>13.483142988571428</c:v>
                </c:pt>
                <c:pt idx="47">
                  <c:v>12.543571337142859</c:v>
                </c:pt>
                <c:pt idx="48">
                  <c:v>8.99</c:v>
                </c:pt>
                <c:pt idx="49">
                  <c:v>10.909571511285714</c:v>
                </c:pt>
                <c:pt idx="50">
                  <c:v>16.8</c:v>
                </c:pt>
                <c:pt idx="51">
                  <c:v>16.435142652857145</c:v>
                </c:pt>
                <c:pt idx="52">
                  <c:v>13.115714484285716</c:v>
                </c:pt>
                <c:pt idx="53">
                  <c:v>16.11014284285714</c:v>
                </c:pt>
                <c:pt idx="54">
                  <c:v>29.23</c:v>
                </c:pt>
                <c:pt idx="55">
                  <c:v>36.200000218571425</c:v>
                </c:pt>
                <c:pt idx="56">
                  <c:v>36.703999928571427</c:v>
                </c:pt>
                <c:pt idx="57">
                  <c:v>51.29</c:v>
                </c:pt>
                <c:pt idx="58">
                  <c:v>46.224000658571427</c:v>
                </c:pt>
                <c:pt idx="59">
                  <c:v>42.94585745571429</c:v>
                </c:pt>
                <c:pt idx="60">
                  <c:v>34.696428571428569</c:v>
                </c:pt>
                <c:pt idx="61">
                  <c:v>38.680999754285715</c:v>
                </c:pt>
                <c:pt idx="62">
                  <c:v>42.633285522460888</c:v>
                </c:pt>
                <c:pt idx="63">
                  <c:v>43.529285431428569</c:v>
                </c:pt>
                <c:pt idx="64">
                  <c:v>57.974427901428569</c:v>
                </c:pt>
                <c:pt idx="65">
                  <c:v>55.119428907142868</c:v>
                </c:pt>
                <c:pt idx="66">
                  <c:v>27.713714872857139</c:v>
                </c:pt>
                <c:pt idx="67">
                  <c:v>22.869143077142859</c:v>
                </c:pt>
                <c:pt idx="68">
                  <c:v>20.273857388571425</c:v>
                </c:pt>
                <c:pt idx="69">
                  <c:v>18.103142875714287</c:v>
                </c:pt>
                <c:pt idx="70">
                  <c:v>15.728999954285714</c:v>
                </c:pt>
                <c:pt idx="71">
                  <c:v>20.647571429999999</c:v>
                </c:pt>
                <c:pt idx="72">
                  <c:v>14.46171447</c:v>
                </c:pt>
                <c:pt idx="73">
                  <c:v>12.621714454285712</c:v>
                </c:pt>
                <c:pt idx="74">
                  <c:v>10.571857179142857</c:v>
                </c:pt>
                <c:pt idx="75">
                  <c:v>9.2180000031428584</c:v>
                </c:pt>
                <c:pt idx="76">
                  <c:v>8.9321429390000002</c:v>
                </c:pt>
                <c:pt idx="77">
                  <c:v>8.3007144928571428</c:v>
                </c:pt>
                <c:pt idx="78">
                  <c:v>8.59</c:v>
                </c:pt>
                <c:pt idx="79">
                  <c:v>7.8261427880000003</c:v>
                </c:pt>
                <c:pt idx="80">
                  <c:v>7.6488569804600273</c:v>
                </c:pt>
                <c:pt idx="81">
                  <c:v>8.18</c:v>
                </c:pt>
                <c:pt idx="82">
                  <c:v>7.0618571554285712</c:v>
                </c:pt>
                <c:pt idx="83">
                  <c:v>6.2595714159999991</c:v>
                </c:pt>
                <c:pt idx="84">
                  <c:v>6.3691428730000004</c:v>
                </c:pt>
                <c:pt idx="85">
                  <c:v>6.115428584</c:v>
                </c:pt>
                <c:pt idx="86">
                  <c:v>6.3137143680000003</c:v>
                </c:pt>
                <c:pt idx="87">
                  <c:v>5.8737142427142857</c:v>
                </c:pt>
                <c:pt idx="88">
                  <c:v>6.1154285838571436</c:v>
                </c:pt>
                <c:pt idx="89">
                  <c:v>6.8328571428571419</c:v>
                </c:pt>
                <c:pt idx="90">
                  <c:v>9.2337144442966927</c:v>
                </c:pt>
                <c:pt idx="91">
                  <c:v>9.6928569934285722</c:v>
                </c:pt>
                <c:pt idx="92">
                  <c:v>10.709857054714286</c:v>
                </c:pt>
                <c:pt idx="93">
                  <c:v>8.5642857142857132</c:v>
                </c:pt>
                <c:pt idx="94">
                  <c:v>12.279142925142859</c:v>
                </c:pt>
                <c:pt idx="95">
                  <c:v>8.685571329857142</c:v>
                </c:pt>
                <c:pt idx="96">
                  <c:v>11.169571467285715</c:v>
                </c:pt>
                <c:pt idx="97">
                  <c:v>13.601000102857142</c:v>
                </c:pt>
                <c:pt idx="98">
                  <c:v>10.628571509714286</c:v>
                </c:pt>
                <c:pt idx="99">
                  <c:v>8.4404285975714277</c:v>
                </c:pt>
                <c:pt idx="100">
                  <c:v>12.563142707428572</c:v>
                </c:pt>
                <c:pt idx="101">
                  <c:v>21.506999832857144</c:v>
                </c:pt>
                <c:pt idx="102">
                  <c:v>47.032857078571432</c:v>
                </c:pt>
                <c:pt idx="103">
                  <c:v>45.963714052857135</c:v>
                </c:pt>
                <c:pt idx="104">
                  <c:v>29.933428355714284</c:v>
                </c:pt>
                <c:pt idx="105">
                  <c:v>24.27742849077493</c:v>
                </c:pt>
                <c:pt idx="106">
                  <c:v>30.680286678571431</c:v>
                </c:pt>
                <c:pt idx="107">
                  <c:v>40.240000044285715</c:v>
                </c:pt>
                <c:pt idx="108">
                  <c:v>26.470714297142855</c:v>
                </c:pt>
                <c:pt idx="109">
                  <c:v>48.707714625714289</c:v>
                </c:pt>
                <c:pt idx="110">
                  <c:v>51.925000326974022</c:v>
                </c:pt>
                <c:pt idx="111">
                  <c:v>37.997142247142854</c:v>
                </c:pt>
                <c:pt idx="112">
                  <c:v>30.780285699026873</c:v>
                </c:pt>
                <c:pt idx="113">
                  <c:v>36.13400023285714</c:v>
                </c:pt>
                <c:pt idx="114">
                  <c:v>22.61842863857143</c:v>
                </c:pt>
                <c:pt idx="115">
                  <c:v>39.343428748571434</c:v>
                </c:pt>
                <c:pt idx="116">
                  <c:v>46.286999838692772</c:v>
                </c:pt>
                <c:pt idx="117">
                  <c:v>63.414285387311629</c:v>
                </c:pt>
                <c:pt idx="118">
                  <c:v>40.567142485714285</c:v>
                </c:pt>
                <c:pt idx="119" formatCode="0.00">
                  <c:v>27.609000341428576</c:v>
                </c:pt>
                <c:pt idx="120">
                  <c:v>23.319143022857144</c:v>
                </c:pt>
                <c:pt idx="121">
                  <c:v>19.662570953369116</c:v>
                </c:pt>
                <c:pt idx="122">
                  <c:v>21.329571314285715</c:v>
                </c:pt>
                <c:pt idx="123">
                  <c:v>18.961428234285709</c:v>
                </c:pt>
                <c:pt idx="124">
                  <c:v>17.724285941428572</c:v>
                </c:pt>
                <c:pt idx="125">
                  <c:v>14.547714369637587</c:v>
                </c:pt>
                <c:pt idx="126">
                  <c:v>12.851142882857143</c:v>
                </c:pt>
                <c:pt idx="127">
                  <c:v>13.300571305714286</c:v>
                </c:pt>
                <c:pt idx="128">
                  <c:v>11.205857140677287</c:v>
                </c:pt>
                <c:pt idx="129">
                  <c:v>9.1724285395714276</c:v>
                </c:pt>
                <c:pt idx="130">
                  <c:v>8.6642858641428564</c:v>
                </c:pt>
                <c:pt idx="131">
                  <c:v>8.3150001253400507</c:v>
                </c:pt>
                <c:pt idx="132">
                  <c:v>7.9792855807142846</c:v>
                </c:pt>
                <c:pt idx="133">
                  <c:v>7.2952857698571441</c:v>
                </c:pt>
                <c:pt idx="134">
                  <c:v>7.5452858379999999</c:v>
                </c:pt>
                <c:pt idx="135">
                  <c:v>7.1267142297142865</c:v>
                </c:pt>
                <c:pt idx="136">
                  <c:v>6.828428472791396</c:v>
                </c:pt>
                <c:pt idx="137">
                  <c:v>6.6690000125714279</c:v>
                </c:pt>
                <c:pt idx="138">
                  <c:v>6.6477142742857138</c:v>
                </c:pt>
                <c:pt idx="139">
                  <c:v>6.0071428843906904</c:v>
                </c:pt>
                <c:pt idx="140">
                  <c:v>6.0528572627476231</c:v>
                </c:pt>
                <c:pt idx="141">
                  <c:v>5.992857115609298</c:v>
                </c:pt>
                <c:pt idx="142">
                  <c:v>6.3054285049438423</c:v>
                </c:pt>
                <c:pt idx="143">
                  <c:v>7.6855713981428568</c:v>
                </c:pt>
                <c:pt idx="144">
                  <c:v>7.8047143392857157</c:v>
                </c:pt>
                <c:pt idx="145">
                  <c:v>6.762428624428571</c:v>
                </c:pt>
                <c:pt idx="146">
                  <c:v>7.8334286553519048</c:v>
                </c:pt>
                <c:pt idx="147">
                  <c:v>6.4934286387142857</c:v>
                </c:pt>
                <c:pt idx="148">
                  <c:v>5.6301428931428577</c:v>
                </c:pt>
                <c:pt idx="149">
                  <c:v>5.3054286411428562</c:v>
                </c:pt>
                <c:pt idx="150">
                  <c:v>5.1785714285714288</c:v>
                </c:pt>
                <c:pt idx="151">
                  <c:v>6.1274285315714279</c:v>
                </c:pt>
                <c:pt idx="152">
                  <c:v>8.188285623714286</c:v>
                </c:pt>
                <c:pt idx="153">
                  <c:v>14.530285971857142</c:v>
                </c:pt>
                <c:pt idx="154">
                  <c:v>9.220428467142856</c:v>
                </c:pt>
                <c:pt idx="155">
                  <c:v>9.7118571817142847</c:v>
                </c:pt>
                <c:pt idx="156">
                  <c:v>34.910285677142852</c:v>
                </c:pt>
                <c:pt idx="157">
                  <c:v>44.205428261428565</c:v>
                </c:pt>
                <c:pt idx="158">
                  <c:v>27.91428565857143</c:v>
                </c:pt>
                <c:pt idx="159">
                  <c:v>39.37385668142857</c:v>
                </c:pt>
                <c:pt idx="160">
                  <c:v>23.497714179999999</c:v>
                </c:pt>
                <c:pt idx="161">
                  <c:v>21.321428571428573</c:v>
                </c:pt>
                <c:pt idx="162">
                  <c:v>30.396999359999999</c:v>
                </c:pt>
                <c:pt idx="163">
                  <c:v>18.5625</c:v>
                </c:pt>
                <c:pt idx="164">
                  <c:v>21.619</c:v>
                </c:pt>
                <c:pt idx="165">
                  <c:v>19.778999873570012</c:v>
                </c:pt>
                <c:pt idx="166">
                  <c:v>29.352285658571429</c:v>
                </c:pt>
                <c:pt idx="167">
                  <c:v>28.100000654285715</c:v>
                </c:pt>
                <c:pt idx="168">
                  <c:v>43.393999101428577</c:v>
                </c:pt>
                <c:pt idx="169">
                  <c:v>39.082286288571431</c:v>
                </c:pt>
                <c:pt idx="170">
                  <c:v>40.325571332857145</c:v>
                </c:pt>
                <c:pt idx="171">
                  <c:v>52.19757080285715</c:v>
                </c:pt>
                <c:pt idx="172">
                  <c:v>28.65042877285714</c:v>
                </c:pt>
                <c:pt idx="173">
                  <c:v>20.563142504285715</c:v>
                </c:pt>
                <c:pt idx="174">
                  <c:v>16.68214280285714</c:v>
                </c:pt>
                <c:pt idx="175">
                  <c:v>17.039285524285713</c:v>
                </c:pt>
                <c:pt idx="176">
                  <c:v>13.813714164285713</c:v>
                </c:pt>
                <c:pt idx="177">
                  <c:v>14.927285738571429</c:v>
                </c:pt>
                <c:pt idx="178">
                  <c:v>12.11642851</c:v>
                </c:pt>
                <c:pt idx="179">
                  <c:v>10.973142897142859</c:v>
                </c:pt>
                <c:pt idx="180">
                  <c:v>10.649856976285715</c:v>
                </c:pt>
                <c:pt idx="181">
                  <c:v>8.8067141942857141</c:v>
                </c:pt>
                <c:pt idx="182">
                  <c:v>8.6310001098571423</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sz="700"/>
                </a:pPr>
                <a:r>
                  <a:rPr lang="en-US" sz="700"/>
                  <a:t>m3/s</a:t>
                </a:r>
              </a:p>
            </c:rich>
          </c:tx>
          <c:layout>
            <c:manualLayout>
              <c:xMode val="edge"/>
              <c:yMode val="edge"/>
              <c:x val="7.826885561442223E-3"/>
              <c:y val="8.1785800036393116E-2"/>
            </c:manualLayout>
          </c:layout>
          <c:overlay val="0"/>
        </c:title>
        <c:numFmt formatCode="0" sourceLinked="0"/>
        <c:majorTickMark val="out"/>
        <c:minorTickMark val="none"/>
        <c:tickLblPos val="nextTo"/>
        <c:txPr>
          <a:bodyPr/>
          <a:lstStyle/>
          <a:p>
            <a:pPr>
              <a:defRPr sz="700"/>
            </a:pPr>
            <a:endParaRPr lang="es-PE"/>
          </a:p>
        </c:txPr>
        <c:crossAx val="351297536"/>
        <c:crosses val="autoZero"/>
        <c:crossBetween val="midCat"/>
      </c:valAx>
    </c:plotArea>
    <c:legend>
      <c:legendPos val="t"/>
      <c:layout>
        <c:manualLayout>
          <c:xMode val="edge"/>
          <c:yMode val="edge"/>
          <c:x val="0.33253698100628798"/>
          <c:y val="8.9445796257156221E-2"/>
          <c:w val="0.33267347813702164"/>
          <c:h val="6.8401119877462155E-2"/>
        </c:manualLayout>
      </c:layout>
      <c:overlay val="0"/>
      <c:txPr>
        <a:bodyPr/>
        <a:lstStyle/>
        <a:p>
          <a:pPr>
            <a:defRPr sz="8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3.9017678290903933E-2"/>
          <c:y val="0.19613430193816356"/>
          <c:w val="0.9177940934877804"/>
          <c:h val="0.56305061464435668"/>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'13.Caudales'!$N$4:$O$186</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'13.Caudales'!$V$4:$V$186</c:f>
              <c:numCache>
                <c:formatCode>0.0</c:formatCode>
                <c:ptCount val="183"/>
                <c:pt idx="0">
                  <c:v>13</c:v>
                </c:pt>
                <c:pt idx="1">
                  <c:v>11.774285724285715</c:v>
                </c:pt>
                <c:pt idx="2">
                  <c:v>11.857142857142858</c:v>
                </c:pt>
                <c:pt idx="3">
                  <c:v>18.734285627142857</c:v>
                </c:pt>
                <c:pt idx="4">
                  <c:v>23.390000208571426</c:v>
                </c:pt>
                <c:pt idx="5">
                  <c:v>20.201017107142857</c:v>
                </c:pt>
                <c:pt idx="6">
                  <c:v>15.283185821428571</c:v>
                </c:pt>
                <c:pt idx="7">
                  <c:v>16.564</c:v>
                </c:pt>
                <c:pt idx="8">
                  <c:v>15.852976190476195</c:v>
                </c:pt>
                <c:pt idx="9">
                  <c:v>14.442</c:v>
                </c:pt>
                <c:pt idx="10">
                  <c:v>18.273</c:v>
                </c:pt>
                <c:pt idx="11">
                  <c:v>23.244</c:v>
                </c:pt>
                <c:pt idx="12">
                  <c:v>23.143392837142859</c:v>
                </c:pt>
                <c:pt idx="13">
                  <c:v>19.16</c:v>
                </c:pt>
                <c:pt idx="14">
                  <c:v>14.377143042857142</c:v>
                </c:pt>
                <c:pt idx="15">
                  <c:v>12.36</c:v>
                </c:pt>
                <c:pt idx="16">
                  <c:v>13.4</c:v>
                </c:pt>
                <c:pt idx="17">
                  <c:v>12.785805702857145</c:v>
                </c:pt>
                <c:pt idx="18">
                  <c:v>11.328391347142857</c:v>
                </c:pt>
                <c:pt idx="19">
                  <c:v>10.899261474285714</c:v>
                </c:pt>
                <c:pt idx="20">
                  <c:v>11.166911400000002</c:v>
                </c:pt>
                <c:pt idx="21">
                  <c:v>10.57333578442857</c:v>
                </c:pt>
                <c:pt idx="22">
                  <c:v>11.341294289999999</c:v>
                </c:pt>
                <c:pt idx="23">
                  <c:v>11.96411841142857</c:v>
                </c:pt>
                <c:pt idx="24">
                  <c:v>11.79</c:v>
                </c:pt>
                <c:pt idx="25">
                  <c:v>10.93</c:v>
                </c:pt>
                <c:pt idx="26">
                  <c:v>12.51</c:v>
                </c:pt>
                <c:pt idx="27">
                  <c:v>12.3</c:v>
                </c:pt>
                <c:pt idx="28">
                  <c:v>12.245714285714286</c:v>
                </c:pt>
                <c:pt idx="29">
                  <c:v>10.995952741142858</c:v>
                </c:pt>
                <c:pt idx="30">
                  <c:v>13.18</c:v>
                </c:pt>
                <c:pt idx="31">
                  <c:v>10.850328444285712</c:v>
                </c:pt>
                <c:pt idx="32">
                  <c:v>10.84</c:v>
                </c:pt>
                <c:pt idx="33">
                  <c:v>10.534582955714285</c:v>
                </c:pt>
                <c:pt idx="34">
                  <c:v>10.92</c:v>
                </c:pt>
                <c:pt idx="35">
                  <c:v>11.091428571428571</c:v>
                </c:pt>
                <c:pt idx="36">
                  <c:v>10.825238499999999</c:v>
                </c:pt>
                <c:pt idx="37">
                  <c:v>11.159824370000001</c:v>
                </c:pt>
                <c:pt idx="38">
                  <c:v>11.33</c:v>
                </c:pt>
                <c:pt idx="39">
                  <c:v>11.565001485714285</c:v>
                </c:pt>
                <c:pt idx="40">
                  <c:v>12.740178653172041</c:v>
                </c:pt>
                <c:pt idx="41">
                  <c:v>11.792381422860229</c:v>
                </c:pt>
                <c:pt idx="42">
                  <c:v>12.0416071755545</c:v>
                </c:pt>
                <c:pt idx="43">
                  <c:v>12.188929967142856</c:v>
                </c:pt>
                <c:pt idx="44">
                  <c:v>13</c:v>
                </c:pt>
                <c:pt idx="45">
                  <c:v>13.001428571428571</c:v>
                </c:pt>
                <c:pt idx="46">
                  <c:v>12.142405645714286</c:v>
                </c:pt>
                <c:pt idx="47">
                  <c:v>11.975262778571429</c:v>
                </c:pt>
                <c:pt idx="48">
                  <c:v>12.26</c:v>
                </c:pt>
                <c:pt idx="49">
                  <c:v>13.001428604285715</c:v>
                </c:pt>
                <c:pt idx="50">
                  <c:v>12.257142857142856</c:v>
                </c:pt>
                <c:pt idx="51">
                  <c:v>12.222315514285714</c:v>
                </c:pt>
                <c:pt idx="52">
                  <c:v>11.571904317142856</c:v>
                </c:pt>
                <c:pt idx="53">
                  <c:v>11.570298602857141</c:v>
                </c:pt>
                <c:pt idx="54">
                  <c:v>11.28</c:v>
                </c:pt>
                <c:pt idx="55">
                  <c:v>11.843988554285716</c:v>
                </c:pt>
                <c:pt idx="56">
                  <c:v>12.496724401428571</c:v>
                </c:pt>
                <c:pt idx="57">
                  <c:v>12.744285714285715</c:v>
                </c:pt>
                <c:pt idx="58">
                  <c:v>23.841369902857146</c:v>
                </c:pt>
                <c:pt idx="59">
                  <c:v>23.894881112857146</c:v>
                </c:pt>
                <c:pt idx="60">
                  <c:v>22.406962801428573</c:v>
                </c:pt>
                <c:pt idx="61">
                  <c:v>23.828572680000001</c:v>
                </c:pt>
                <c:pt idx="62">
                  <c:v>23.809881482805473</c:v>
                </c:pt>
                <c:pt idx="63">
                  <c:v>19.572964258571432</c:v>
                </c:pt>
                <c:pt idx="64">
                  <c:v>12.582738467142859</c:v>
                </c:pt>
                <c:pt idx="65">
                  <c:v>21.303751674285714</c:v>
                </c:pt>
                <c:pt idx="66">
                  <c:v>17.810774395714287</c:v>
                </c:pt>
                <c:pt idx="67">
                  <c:v>12.210951395714286</c:v>
                </c:pt>
                <c:pt idx="68">
                  <c:v>12.949641501428573</c:v>
                </c:pt>
                <c:pt idx="69">
                  <c:v>11.493274145714285</c:v>
                </c:pt>
                <c:pt idx="70">
                  <c:v>10.883738517142858</c:v>
                </c:pt>
                <c:pt idx="71">
                  <c:v>11.153748650000001</c:v>
                </c:pt>
                <c:pt idx="72">
                  <c:v>12</c:v>
                </c:pt>
                <c:pt idx="73">
                  <c:v>10.442797251571431</c:v>
                </c:pt>
                <c:pt idx="74">
                  <c:v>10.979225701428572</c:v>
                </c:pt>
                <c:pt idx="75">
                  <c:v>11.096784181428571</c:v>
                </c:pt>
                <c:pt idx="76">
                  <c:v>10.461965969999998</c:v>
                </c:pt>
                <c:pt idx="77">
                  <c:v>11.259941372857144</c:v>
                </c:pt>
                <c:pt idx="78">
                  <c:v>10.758154460361988</c:v>
                </c:pt>
                <c:pt idx="79">
                  <c:v>11.139168601428571</c:v>
                </c:pt>
                <c:pt idx="80">
                  <c:v>10.810358456202879</c:v>
                </c:pt>
                <c:pt idx="81">
                  <c:v>12.61</c:v>
                </c:pt>
                <c:pt idx="82">
                  <c:v>12.322975702857141</c:v>
                </c:pt>
                <c:pt idx="83">
                  <c:v>12.551451548571427</c:v>
                </c:pt>
                <c:pt idx="84">
                  <c:v>12.137084417142857</c:v>
                </c:pt>
                <c:pt idx="85">
                  <c:v>12.034524235714285</c:v>
                </c:pt>
                <c:pt idx="86">
                  <c:v>12.041607177142856</c:v>
                </c:pt>
                <c:pt idx="87">
                  <c:v>12.055594308571429</c:v>
                </c:pt>
                <c:pt idx="88">
                  <c:v>12.130952835714286</c:v>
                </c:pt>
                <c:pt idx="89">
                  <c:v>12.194285714285716</c:v>
                </c:pt>
                <c:pt idx="90">
                  <c:v>12.167024339948341</c:v>
                </c:pt>
                <c:pt idx="91">
                  <c:v>12.594642775714282</c:v>
                </c:pt>
                <c:pt idx="92">
                  <c:v>13.274107117142858</c:v>
                </c:pt>
                <c:pt idx="93">
                  <c:v>13.001428571428571</c:v>
                </c:pt>
                <c:pt idx="94">
                  <c:v>13.139822822857143</c:v>
                </c:pt>
                <c:pt idx="95">
                  <c:v>13.275356975714287</c:v>
                </c:pt>
                <c:pt idx="96">
                  <c:v>14</c:v>
                </c:pt>
                <c:pt idx="97">
                  <c:v>14.050535747142858</c:v>
                </c:pt>
                <c:pt idx="98">
                  <c:v>13.985775811428573</c:v>
                </c:pt>
                <c:pt idx="99">
                  <c:v>13.781128474285714</c:v>
                </c:pt>
                <c:pt idx="100">
                  <c:v>13.148691448571428</c:v>
                </c:pt>
                <c:pt idx="101">
                  <c:v>12.61392865857143</c:v>
                </c:pt>
                <c:pt idx="102">
                  <c:v>12.600475584285714</c:v>
                </c:pt>
                <c:pt idx="103">
                  <c:v>12.617798667142859</c:v>
                </c:pt>
                <c:pt idx="104">
                  <c:v>12.85226127</c:v>
                </c:pt>
                <c:pt idx="105">
                  <c:v>14.514315741402715</c:v>
                </c:pt>
                <c:pt idx="106">
                  <c:v>13.21958133142857</c:v>
                </c:pt>
                <c:pt idx="107">
                  <c:v>16.855534282857143</c:v>
                </c:pt>
                <c:pt idx="108">
                  <c:v>22.011848449999999</c:v>
                </c:pt>
                <c:pt idx="109">
                  <c:v>14.496191432857142</c:v>
                </c:pt>
                <c:pt idx="110">
                  <c:v>17.659045491899729</c:v>
                </c:pt>
                <c:pt idx="111">
                  <c:v>23.642735891428568</c:v>
                </c:pt>
                <c:pt idx="112">
                  <c:v>23.681545802525072</c:v>
                </c:pt>
                <c:pt idx="113">
                  <c:v>23.625475747142854</c:v>
                </c:pt>
                <c:pt idx="114">
                  <c:v>23.72583552857143</c:v>
                </c:pt>
                <c:pt idx="115">
                  <c:v>23.714347295714287</c:v>
                </c:pt>
                <c:pt idx="116">
                  <c:v>23.623331614903002</c:v>
                </c:pt>
                <c:pt idx="117">
                  <c:v>22.128154209681874</c:v>
                </c:pt>
                <c:pt idx="118">
                  <c:v>21.36</c:v>
                </c:pt>
                <c:pt idx="119" formatCode="0.00">
                  <c:v>23.601429802857144</c:v>
                </c:pt>
                <c:pt idx="120">
                  <c:v>16.145714351428573</c:v>
                </c:pt>
                <c:pt idx="121">
                  <c:v>14.007261548723459</c:v>
                </c:pt>
                <c:pt idx="122">
                  <c:v>12.484048571428572</c:v>
                </c:pt>
                <c:pt idx="123">
                  <c:v>11.436902861999998</c:v>
                </c:pt>
                <c:pt idx="124">
                  <c:v>12.01881</c:v>
                </c:pt>
                <c:pt idx="125">
                  <c:v>11.963334356035457</c:v>
                </c:pt>
                <c:pt idx="126">
                  <c:v>11.972144264285713</c:v>
                </c:pt>
                <c:pt idx="127">
                  <c:v>12.060297148571431</c:v>
                </c:pt>
                <c:pt idx="128">
                  <c:v>12.025059972490542</c:v>
                </c:pt>
                <c:pt idx="129">
                  <c:v>11.867550168571428</c:v>
                </c:pt>
                <c:pt idx="130">
                  <c:v>11.961507115714285</c:v>
                </c:pt>
                <c:pt idx="131">
                  <c:v>12.125935554504371</c:v>
                </c:pt>
                <c:pt idx="132">
                  <c:v>12.036131450000001</c:v>
                </c:pt>
                <c:pt idx="133">
                  <c:v>12.01250158142857</c:v>
                </c:pt>
                <c:pt idx="134">
                  <c:v>12.065415654285715</c:v>
                </c:pt>
                <c:pt idx="135">
                  <c:v>12.064045632857143</c:v>
                </c:pt>
                <c:pt idx="136">
                  <c:v>11.89809417724604</c:v>
                </c:pt>
                <c:pt idx="137">
                  <c:v>11.954105787142856</c:v>
                </c:pt>
                <c:pt idx="138">
                  <c:v>11.958392961428572</c:v>
                </c:pt>
                <c:pt idx="139">
                  <c:v>12.309941428048228</c:v>
                </c:pt>
                <c:pt idx="140">
                  <c:v>12.697084290640644</c:v>
                </c:pt>
                <c:pt idx="141">
                  <c:v>12.722499983651257</c:v>
                </c:pt>
                <c:pt idx="142">
                  <c:v>12.757261548723429</c:v>
                </c:pt>
                <c:pt idx="143">
                  <c:v>12.744882855714284</c:v>
                </c:pt>
                <c:pt idx="144">
                  <c:v>13.59601129857143</c:v>
                </c:pt>
                <c:pt idx="145">
                  <c:v>13.258037294285714</c:v>
                </c:pt>
                <c:pt idx="146">
                  <c:v>12.748987061636742</c:v>
                </c:pt>
                <c:pt idx="147">
                  <c:v>12.771309988571426</c:v>
                </c:pt>
                <c:pt idx="148">
                  <c:v>13.156308445714286</c:v>
                </c:pt>
                <c:pt idx="149">
                  <c:v>12.687737055714285</c:v>
                </c:pt>
                <c:pt idx="150">
                  <c:v>13.157975741428572</c:v>
                </c:pt>
                <c:pt idx="151">
                  <c:v>12.246785572857144</c:v>
                </c:pt>
                <c:pt idx="152">
                  <c:v>13.367501529999998</c:v>
                </c:pt>
                <c:pt idx="153">
                  <c:v>13.053452899999998</c:v>
                </c:pt>
                <c:pt idx="154">
                  <c:v>13.068511554285712</c:v>
                </c:pt>
                <c:pt idx="155">
                  <c:v>12.987917082857143</c:v>
                </c:pt>
                <c:pt idx="156">
                  <c:v>18.967856814285714</c:v>
                </c:pt>
                <c:pt idx="157">
                  <c:v>22.357858387142851</c:v>
                </c:pt>
                <c:pt idx="158">
                  <c:v>16.044107027142857</c:v>
                </c:pt>
                <c:pt idx="159">
                  <c:v>18.835116929999998</c:v>
                </c:pt>
                <c:pt idx="160">
                  <c:v>16.004641395714284</c:v>
                </c:pt>
                <c:pt idx="161">
                  <c:v>16.024463924285715</c:v>
                </c:pt>
                <c:pt idx="162">
                  <c:v>15.963094302857142</c:v>
                </c:pt>
                <c:pt idx="163">
                  <c:v>14.07</c:v>
                </c:pt>
                <c:pt idx="164">
                  <c:v>13.162619047619055</c:v>
                </c:pt>
                <c:pt idx="165">
                  <c:v>11.839642660958372</c:v>
                </c:pt>
                <c:pt idx="166">
                  <c:v>10.568511418142858</c:v>
                </c:pt>
                <c:pt idx="167">
                  <c:v>11.367022922857142</c:v>
                </c:pt>
                <c:pt idx="168">
                  <c:v>14.060239925714285</c:v>
                </c:pt>
                <c:pt idx="169">
                  <c:v>20.107797215142853</c:v>
                </c:pt>
                <c:pt idx="170">
                  <c:v>23.453333172857139</c:v>
                </c:pt>
                <c:pt idx="171">
                  <c:v>23.194762912857147</c:v>
                </c:pt>
                <c:pt idx="172">
                  <c:v>18.780238424285709</c:v>
                </c:pt>
                <c:pt idx="173">
                  <c:v>13.920417241428572</c:v>
                </c:pt>
                <c:pt idx="174">
                  <c:v>10.773084301857143</c:v>
                </c:pt>
                <c:pt idx="175">
                  <c:v>11.989167077142856</c:v>
                </c:pt>
                <c:pt idx="176">
                  <c:v>12.071368352857144</c:v>
                </c:pt>
                <c:pt idx="177">
                  <c:v>12.066725457142857</c:v>
                </c:pt>
                <c:pt idx="178">
                  <c:v>12.046847342857143</c:v>
                </c:pt>
                <c:pt idx="179">
                  <c:v>12.030653000000001</c:v>
                </c:pt>
                <c:pt idx="180">
                  <c:v>11.902322768571427</c:v>
                </c:pt>
                <c:pt idx="181">
                  <c:v>11.966488567142857</c:v>
                </c:pt>
                <c:pt idx="182">
                  <c:v>11.885477065714285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'13.Caudales'!$N$4:$O$186</c:f>
              <c:multiLvlStrCache>
                <c:ptCount val="183"/>
                <c:lvl>
                  <c:pt idx="0">
                    <c:v>1</c:v>
                  </c:pt>
                  <c:pt idx="7">
                    <c:v>8</c:v>
                  </c:pt>
                  <c:pt idx="15">
                    <c:v>16</c:v>
                  </c:pt>
                  <c:pt idx="23">
                    <c:v>24</c:v>
                  </c:pt>
                  <c:pt idx="31">
                    <c:v>32</c:v>
                  </c:pt>
                  <c:pt idx="39">
                    <c:v>40</c:v>
                  </c:pt>
                  <c:pt idx="47">
                    <c:v>48</c:v>
                  </c:pt>
                  <c:pt idx="51">
                    <c:v>52</c:v>
                  </c:pt>
                  <c:pt idx="52">
                    <c:v>1</c:v>
                  </c:pt>
                  <c:pt idx="59">
                    <c:v>8</c:v>
                  </c:pt>
                  <c:pt idx="67">
                    <c:v>16</c:v>
                  </c:pt>
                  <c:pt idx="77">
                    <c:v>26</c:v>
                  </c:pt>
                  <c:pt idx="87">
                    <c:v>36</c:v>
                  </c:pt>
                  <c:pt idx="95">
                    <c:v>44</c:v>
                  </c:pt>
                  <c:pt idx="104">
                    <c:v>53</c:v>
                  </c:pt>
                  <c:pt idx="112">
                    <c:v>8</c:v>
                  </c:pt>
                  <c:pt idx="120">
                    <c:v>16</c:v>
                  </c:pt>
                  <c:pt idx="128">
                    <c:v>24</c:v>
                  </c:pt>
                  <c:pt idx="136">
                    <c:v>32</c:v>
                  </c:pt>
                  <c:pt idx="144">
                    <c:v>40</c:v>
                  </c:pt>
                  <c:pt idx="156">
                    <c:v>52</c:v>
                  </c:pt>
                  <c:pt idx="161">
                    <c:v>5</c:v>
                  </c:pt>
                  <c:pt idx="165">
                    <c:v>9</c:v>
                  </c:pt>
                  <c:pt idx="169">
                    <c:v>13</c:v>
                  </c:pt>
                  <c:pt idx="174">
                    <c:v>18</c:v>
                  </c:pt>
                  <c:pt idx="178">
                    <c:v>22</c:v>
                  </c:pt>
                  <c:pt idx="182">
                    <c:v>26</c:v>
                  </c:pt>
                </c:lvl>
                <c:lvl>
                  <c:pt idx="0">
                    <c:v>2018</c:v>
                  </c:pt>
                  <c:pt idx="52">
                    <c:v>2019</c:v>
                  </c:pt>
                  <c:pt idx="105">
                    <c:v>2020</c:v>
                  </c:pt>
                  <c:pt idx="157">
                    <c:v>2021</c:v>
                  </c:pt>
                </c:lvl>
              </c:multiLvlStrCache>
            </c:multiLvlStrRef>
          </c:cat>
          <c:val>
            <c:numRef>
              <c:f>'13.Caudales'!$W$4:$W$186</c:f>
              <c:numCache>
                <c:formatCode>0.0</c:formatCode>
                <c:ptCount val="183"/>
                <c:pt idx="0">
                  <c:v>1.64</c:v>
                </c:pt>
                <c:pt idx="1">
                  <c:v>1.5914286031428568</c:v>
                </c:pt>
                <c:pt idx="2">
                  <c:v>1.5814286125714285</c:v>
                </c:pt>
                <c:pt idx="3">
                  <c:v>1.5700000519999997</c:v>
                </c:pt>
                <c:pt idx="4">
                  <c:v>1.5700000519999997</c:v>
                </c:pt>
                <c:pt idx="5">
                  <c:v>2.3694285491428571</c:v>
                </c:pt>
                <c:pt idx="6">
                  <c:v>3.1689999100000001</c:v>
                </c:pt>
                <c:pt idx="7">
                  <c:v>3.16</c:v>
                </c:pt>
                <c:pt idx="8">
                  <c:v>3.1689999100000001</c:v>
                </c:pt>
                <c:pt idx="9">
                  <c:v>4.7437142644285712</c:v>
                </c:pt>
                <c:pt idx="10">
                  <c:v>3.0879999738571429</c:v>
                </c:pt>
                <c:pt idx="11">
                  <c:v>4.5095714328571432</c:v>
                </c:pt>
                <c:pt idx="12">
                  <c:v>3.3929999999999998</c:v>
                </c:pt>
                <c:pt idx="13">
                  <c:v>1.736</c:v>
                </c:pt>
                <c:pt idx="14">
                  <c:v>1.8612856864285716</c:v>
                </c:pt>
                <c:pt idx="15">
                  <c:v>1.9</c:v>
                </c:pt>
                <c:pt idx="16">
                  <c:v>1.7940000124285713</c:v>
                </c:pt>
                <c:pt idx="17">
                  <c:v>2.3024285860000004</c:v>
                </c:pt>
                <c:pt idx="18">
                  <c:v>1.8057142665714285</c:v>
                </c:pt>
                <c:pt idx="19">
                  <c:v>1.7767143248571429</c:v>
                </c:pt>
                <c:pt idx="20">
                  <c:v>1.8437143055714282</c:v>
                </c:pt>
                <c:pt idx="21">
                  <c:v>1.8770000252857142</c:v>
                </c:pt>
                <c:pt idx="22">
                  <c:v>1.7928571701428571</c:v>
                </c:pt>
                <c:pt idx="23">
                  <c:v>2.0252857377142854</c:v>
                </c:pt>
                <c:pt idx="24">
                  <c:v>2.0514285564285717</c:v>
                </c:pt>
                <c:pt idx="25">
                  <c:v>2.1038571597142854</c:v>
                </c:pt>
                <c:pt idx="26">
                  <c:v>2.0499999999999998</c:v>
                </c:pt>
                <c:pt idx="27">
                  <c:v>2.2505714212857142</c:v>
                </c:pt>
                <c:pt idx="28">
                  <c:v>1.9771428571428571</c:v>
                </c:pt>
                <c:pt idx="29">
                  <c:v>2.2859999964285715</c:v>
                </c:pt>
                <c:pt idx="30">
                  <c:v>2</c:v>
                </c:pt>
                <c:pt idx="31">
                  <c:v>2.0667142697142857</c:v>
                </c:pt>
                <c:pt idx="32">
                  <c:v>2.0499999999999998</c:v>
                </c:pt>
                <c:pt idx="33">
                  <c:v>1.8788571358571429</c:v>
                </c:pt>
                <c:pt idx="34">
                  <c:v>1.88</c:v>
                </c:pt>
                <c:pt idx="35">
                  <c:v>1.8442857142857143</c:v>
                </c:pt>
                <c:pt idx="36">
                  <c:v>1.8114285809999999</c:v>
                </c:pt>
                <c:pt idx="37">
                  <c:v>1.8427142925714282</c:v>
                </c:pt>
                <c:pt idx="38">
                  <c:v>1.64</c:v>
                </c:pt>
                <c:pt idx="39">
                  <c:v>1.8221428395714285</c:v>
                </c:pt>
                <c:pt idx="40">
                  <c:v>1.7041428429739784</c:v>
                </c:pt>
                <c:pt idx="41">
                  <c:v>1.5524285691124997</c:v>
                </c:pt>
                <c:pt idx="42">
                  <c:v>1.585428544453207</c:v>
                </c:pt>
                <c:pt idx="43">
                  <c:v>1.6864285471428571</c:v>
                </c:pt>
                <c:pt idx="44">
                  <c:v>1.7397142818571427</c:v>
                </c:pt>
                <c:pt idx="45">
                  <c:v>1.5</c:v>
                </c:pt>
                <c:pt idx="46">
                  <c:v>1.5</c:v>
                </c:pt>
                <c:pt idx="47">
                  <c:v>1.5</c:v>
                </c:pt>
                <c:pt idx="48">
                  <c:v>1.5</c:v>
                </c:pt>
                <c:pt idx="49">
                  <c:v>1.457142846857143</c:v>
                </c:pt>
                <c:pt idx="50">
                  <c:v>1.3857142857142859</c:v>
                </c:pt>
                <c:pt idx="51">
                  <c:v>1.2999999520000001</c:v>
                </c:pt>
                <c:pt idx="52">
                  <c:v>1.2999999520000001</c:v>
                </c:pt>
                <c:pt idx="53">
                  <c:v>1.2999999520000001</c:v>
                </c:pt>
                <c:pt idx="54">
                  <c:v>1.33</c:v>
                </c:pt>
                <c:pt idx="55">
                  <c:v>3.0287143159999999</c:v>
                </c:pt>
                <c:pt idx="56">
                  <c:v>6.6928571292857146</c:v>
                </c:pt>
                <c:pt idx="57">
                  <c:v>14.464285714285714</c:v>
                </c:pt>
                <c:pt idx="58">
                  <c:v>21.059571402857141</c:v>
                </c:pt>
                <c:pt idx="59">
                  <c:v>6.8928571428571432</c:v>
                </c:pt>
                <c:pt idx="60">
                  <c:v>3.3807143142857146</c:v>
                </c:pt>
                <c:pt idx="61">
                  <c:v>2.3840000118571427</c:v>
                </c:pt>
                <c:pt idx="62">
                  <c:v>1.9291428668158341</c:v>
                </c:pt>
                <c:pt idx="63">
                  <c:v>1.7968571012857144</c:v>
                </c:pt>
                <c:pt idx="64">
                  <c:v>1.6904285634285714</c:v>
                </c:pt>
                <c:pt idx="65">
                  <c:v>1.6808571647142858</c:v>
                </c:pt>
                <c:pt idx="66">
                  <c:v>1.7205714498571432</c:v>
                </c:pt>
                <c:pt idx="67">
                  <c:v>1.789857131857143</c:v>
                </c:pt>
                <c:pt idx="68">
                  <c:v>1.6648571664285714</c:v>
                </c:pt>
                <c:pt idx="69">
                  <c:v>1.55</c:v>
                </c:pt>
                <c:pt idx="70">
                  <c:v>1.5914285865714286</c:v>
                </c:pt>
                <c:pt idx="71">
                  <c:v>1.5371428389999999</c:v>
                </c:pt>
                <c:pt idx="72">
                  <c:v>1.5128571304285714</c:v>
                </c:pt>
                <c:pt idx="73">
                  <c:v>1.5</c:v>
                </c:pt>
                <c:pt idx="74">
                  <c:v>1.5</c:v>
                </c:pt>
                <c:pt idx="75">
                  <c:v>1.5</c:v>
                </c:pt>
                <c:pt idx="76">
                  <c:v>1.5</c:v>
                </c:pt>
                <c:pt idx="77">
                  <c:v>1.5</c:v>
                </c:pt>
                <c:pt idx="78">
                  <c:v>1.59</c:v>
                </c:pt>
                <c:pt idx="79">
                  <c:v>1.6000000240000001</c:v>
                </c:pt>
                <c:pt idx="80">
                  <c:v>1.6000000238418504</c:v>
                </c:pt>
                <c:pt idx="81">
                  <c:v>1.6285714285714283</c:v>
                </c:pt>
                <c:pt idx="82">
                  <c:v>1.7000000479999999</c:v>
                </c:pt>
                <c:pt idx="83">
                  <c:v>1.7214285988571427</c:v>
                </c:pt>
                <c:pt idx="84">
                  <c:v>1.7482857022857143</c:v>
                </c:pt>
                <c:pt idx="85">
                  <c:v>1.7482857022857143</c:v>
                </c:pt>
                <c:pt idx="86">
                  <c:v>1.75</c:v>
                </c:pt>
                <c:pt idx="87">
                  <c:v>1.6425714154285713</c:v>
                </c:pt>
                <c:pt idx="88">
                  <c:v>1.6457142658571429</c:v>
                </c:pt>
                <c:pt idx="89">
                  <c:v>1.6014285714285712</c:v>
                </c:pt>
                <c:pt idx="90">
                  <c:v>1.4285714115415273</c:v>
                </c:pt>
                <c:pt idx="91">
                  <c:v>1.3999999759999999</c:v>
                </c:pt>
                <c:pt idx="92">
                  <c:v>1.3785714251428571</c:v>
                </c:pt>
                <c:pt idx="93">
                  <c:v>1.3499999999999999</c:v>
                </c:pt>
                <c:pt idx="94">
                  <c:v>1.2642857177142857</c:v>
                </c:pt>
                <c:pt idx="95">
                  <c:v>1.1857142621428574</c:v>
                </c:pt>
                <c:pt idx="96">
                  <c:v>1.1200000049999999</c:v>
                </c:pt>
                <c:pt idx="97">
                  <c:v>1.1085714441428569</c:v>
                </c:pt>
                <c:pt idx="98">
                  <c:v>1.1000000240000001</c:v>
                </c:pt>
                <c:pt idx="99">
                  <c:v>1.1000000240000001</c:v>
                </c:pt>
                <c:pt idx="100">
                  <c:v>1.1000000000000001</c:v>
                </c:pt>
                <c:pt idx="101">
                  <c:v>1.1014285939999999</c:v>
                </c:pt>
                <c:pt idx="102">
                  <c:v>1.1000000240000001</c:v>
                </c:pt>
                <c:pt idx="103">
                  <c:v>1.4000000274285713</c:v>
                </c:pt>
                <c:pt idx="104">
                  <c:v>1.4571428811428571</c:v>
                </c:pt>
                <c:pt idx="105">
                  <c:v>2.278571367263786</c:v>
                </c:pt>
                <c:pt idx="106">
                  <c:v>1.8857142757142857</c:v>
                </c:pt>
                <c:pt idx="107">
                  <c:v>6.3075712748571418</c:v>
                </c:pt>
                <c:pt idx="108">
                  <c:v>4.3669999327142861</c:v>
                </c:pt>
                <c:pt idx="109">
                  <c:v>2.6891428574285712</c:v>
                </c:pt>
                <c:pt idx="110">
                  <c:v>9.7964284079415354</c:v>
                </c:pt>
                <c:pt idx="111">
                  <c:v>10.810714449000001</c:v>
                </c:pt>
                <c:pt idx="112">
                  <c:v>21.290571621486073</c:v>
                </c:pt>
                <c:pt idx="113">
                  <c:v>11.064000130142858</c:v>
                </c:pt>
                <c:pt idx="114">
                  <c:v>5.0324285712857142</c:v>
                </c:pt>
                <c:pt idx="115">
                  <c:v>12.165999821428571</c:v>
                </c:pt>
                <c:pt idx="116">
                  <c:v>11.119714055742502</c:v>
                </c:pt>
                <c:pt idx="117">
                  <c:v>6.0048571995326432</c:v>
                </c:pt>
                <c:pt idx="118">
                  <c:v>4.6619999238571435</c:v>
                </c:pt>
                <c:pt idx="119" formatCode="0.00">
                  <c:v>2.5870000464285714</c:v>
                </c:pt>
                <c:pt idx="120">
                  <c:v>1.9568571534285717</c:v>
                </c:pt>
                <c:pt idx="121">
                  <c:v>2.0897142546517471</c:v>
                </c:pt>
                <c:pt idx="122">
                  <c:v>2.074857081857143</c:v>
                </c:pt>
                <c:pt idx="123">
                  <c:v>1.6491428614285712</c:v>
                </c:pt>
                <c:pt idx="124">
                  <c:v>1.6491428614285712</c:v>
                </c:pt>
                <c:pt idx="125">
                  <c:v>1.6175714560917398</c:v>
                </c:pt>
                <c:pt idx="126">
                  <c:v>1.7258571555714286</c:v>
                </c:pt>
                <c:pt idx="127">
                  <c:v>2.2755714314285713</c:v>
                </c:pt>
                <c:pt idx="128">
                  <c:v>2.2755714314324473</c:v>
                </c:pt>
                <c:pt idx="129">
                  <c:v>1.7577142885714285</c:v>
                </c:pt>
                <c:pt idx="130">
                  <c:v>1.7387143204285713</c:v>
                </c:pt>
                <c:pt idx="131">
                  <c:v>2.0545714242117699</c:v>
                </c:pt>
                <c:pt idx="132">
                  <c:v>1.862857103571429</c:v>
                </c:pt>
                <c:pt idx="133">
                  <c:v>2.1428571427142855</c:v>
                </c:pt>
                <c:pt idx="134">
                  <c:v>2.0148571899999999</c:v>
                </c:pt>
                <c:pt idx="135">
                  <c:v>2.0708571672857143</c:v>
                </c:pt>
                <c:pt idx="136">
                  <c:v>1.7728571551186658</c:v>
                </c:pt>
                <c:pt idx="137">
                  <c:v>1.7154285907142857</c:v>
                </c:pt>
                <c:pt idx="138">
                  <c:v>2.26100002</c:v>
                </c:pt>
                <c:pt idx="139">
                  <c:v>1.5178571258272411</c:v>
                </c:pt>
                <c:pt idx="140">
                  <c:v>1.0650000040020247</c:v>
                </c:pt>
                <c:pt idx="141">
                  <c:v>1.5737142903464156</c:v>
                </c:pt>
                <c:pt idx="142">
                  <c:v>1.6808571304593714</c:v>
                </c:pt>
                <c:pt idx="143">
                  <c:v>1.6871428661428571</c:v>
                </c:pt>
                <c:pt idx="144">
                  <c:v>1.6130000010000001</c:v>
                </c:pt>
                <c:pt idx="145">
                  <c:v>1.8452857051428571</c:v>
                </c:pt>
                <c:pt idx="146">
                  <c:v>1.9990000043596503</c:v>
                </c:pt>
                <c:pt idx="147">
                  <c:v>1.5481428758571429</c:v>
                </c:pt>
                <c:pt idx="148">
                  <c:v>1.4392857041428573</c:v>
                </c:pt>
                <c:pt idx="149">
                  <c:v>1.380714297142857</c:v>
                </c:pt>
                <c:pt idx="150">
                  <c:v>1.3845714331428574</c:v>
                </c:pt>
                <c:pt idx="151">
                  <c:v>1.5065714290000003</c:v>
                </c:pt>
                <c:pt idx="152">
                  <c:v>1.0268571504285715</c:v>
                </c:pt>
                <c:pt idx="153">
                  <c:v>1.0737142817142857</c:v>
                </c:pt>
                <c:pt idx="154">
                  <c:v>1.2921428212857144</c:v>
                </c:pt>
                <c:pt idx="155">
                  <c:v>1.2780000142857142</c:v>
                </c:pt>
                <c:pt idx="156">
                  <c:v>7.1757142371428566</c:v>
                </c:pt>
                <c:pt idx="157">
                  <c:v>6.7241427552857145</c:v>
                </c:pt>
                <c:pt idx="158">
                  <c:v>3.2384286270000002</c:v>
                </c:pt>
                <c:pt idx="159">
                  <c:v>6.560571466571429</c:v>
                </c:pt>
                <c:pt idx="160">
                  <c:v>5.1067142825714296</c:v>
                </c:pt>
                <c:pt idx="161">
                  <c:v>3.1654285022857147</c:v>
                </c:pt>
                <c:pt idx="162">
                  <c:v>5.8411428927142861</c:v>
                </c:pt>
                <c:pt idx="163">
                  <c:v>3.3580000000000001</c:v>
                </c:pt>
                <c:pt idx="164">
                  <c:v>2.181</c:v>
                </c:pt>
                <c:pt idx="165">
                  <c:v>2.5798570939472714</c:v>
                </c:pt>
                <c:pt idx="166">
                  <c:v>2.1962857415714288</c:v>
                </c:pt>
                <c:pt idx="167">
                  <c:v>2.7152857098571426</c:v>
                </c:pt>
                <c:pt idx="168">
                  <c:v>3.625</c:v>
                </c:pt>
                <c:pt idx="169">
                  <c:v>4.0744285582857147</c:v>
                </c:pt>
                <c:pt idx="170">
                  <c:v>2.8194285800000003</c:v>
                </c:pt>
                <c:pt idx="171">
                  <c:v>2.7518571105714291</c:v>
                </c:pt>
                <c:pt idx="172">
                  <c:v>1.8839999778571432</c:v>
                </c:pt>
                <c:pt idx="173">
                  <c:v>1.7985714162857143</c:v>
                </c:pt>
                <c:pt idx="174">
                  <c:v>1.8058571475714285</c:v>
                </c:pt>
                <c:pt idx="175">
                  <c:v>1.8551428488571429</c:v>
                </c:pt>
                <c:pt idx="176">
                  <c:v>1.7121428761428572</c:v>
                </c:pt>
                <c:pt idx="177">
                  <c:v>1.9470000094285715</c:v>
                </c:pt>
                <c:pt idx="178">
                  <c:v>1.9281428372857143</c:v>
                </c:pt>
                <c:pt idx="179">
                  <c:v>1.8262857195714286</c:v>
                </c:pt>
                <c:pt idx="180">
                  <c:v>1.3272857154285713</c:v>
                </c:pt>
                <c:pt idx="181">
                  <c:v>1.2890000087142857</c:v>
                </c:pt>
                <c:pt idx="182">
                  <c:v>1.732857125</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'13.Caudales'!$Y$4:$Y$186</c:f>
              <c:numCache>
                <c:formatCode>0.0</c:formatCode>
                <c:ptCount val="183"/>
                <c:pt idx="0">
                  <c:v>63.23</c:v>
                </c:pt>
                <c:pt idx="1">
                  <c:v>56.654285431428562</c:v>
                </c:pt>
                <c:pt idx="2">
                  <c:v>68.516428267142857</c:v>
                </c:pt>
                <c:pt idx="3">
                  <c:v>58.935427530000005</c:v>
                </c:pt>
                <c:pt idx="4">
                  <c:v>45.332857951428579</c:v>
                </c:pt>
                <c:pt idx="5">
                  <c:v>65.987571171428584</c:v>
                </c:pt>
                <c:pt idx="6">
                  <c:v>97.722999031428586</c:v>
                </c:pt>
                <c:pt idx="7">
                  <c:v>142.13</c:v>
                </c:pt>
                <c:pt idx="8">
                  <c:v>142.13857270714286</c:v>
                </c:pt>
                <c:pt idx="9">
                  <c:v>72.30971418</c:v>
                </c:pt>
                <c:pt idx="10">
                  <c:v>119.7894287057143</c:v>
                </c:pt>
                <c:pt idx="11">
                  <c:v>152.80443028571429</c:v>
                </c:pt>
                <c:pt idx="12">
                  <c:v>107.32928468714286</c:v>
                </c:pt>
                <c:pt idx="13">
                  <c:v>80.936570849999995</c:v>
                </c:pt>
                <c:pt idx="14">
                  <c:v>42.693143572857146</c:v>
                </c:pt>
                <c:pt idx="15">
                  <c:v>33.717142651428574</c:v>
                </c:pt>
                <c:pt idx="16">
                  <c:v>27.06</c:v>
                </c:pt>
                <c:pt idx="17">
                  <c:v>22.269714081428571</c:v>
                </c:pt>
                <c:pt idx="18">
                  <c:v>17.565999711428571</c:v>
                </c:pt>
                <c:pt idx="19">
                  <c:v>14.502285821428572</c:v>
                </c:pt>
                <c:pt idx="20">
                  <c:v>12.214999879999999</c:v>
                </c:pt>
                <c:pt idx="21">
                  <c:v>10.894571441428569</c:v>
                </c:pt>
                <c:pt idx="22">
                  <c:v>13.860571451428571</c:v>
                </c:pt>
                <c:pt idx="23">
                  <c:v>13.392856871428572</c:v>
                </c:pt>
                <c:pt idx="24">
                  <c:v>10.749428476857142</c:v>
                </c:pt>
                <c:pt idx="25">
                  <c:v>9.1145714351428584</c:v>
                </c:pt>
                <c:pt idx="26">
                  <c:v>7.6487142698571438</c:v>
                </c:pt>
                <c:pt idx="27">
                  <c:v>7.0544285774285713</c:v>
                </c:pt>
                <c:pt idx="28">
                  <c:v>6.3400000000000007</c:v>
                </c:pt>
                <c:pt idx="29">
                  <c:v>9.4385714285714304</c:v>
                </c:pt>
                <c:pt idx="30">
                  <c:v>8.5770238095238049</c:v>
                </c:pt>
                <c:pt idx="31">
                  <c:v>9.7962856299999999</c:v>
                </c:pt>
                <c:pt idx="32">
                  <c:v>8.7822855541428577</c:v>
                </c:pt>
                <c:pt idx="33">
                  <c:v>11.383714402571428</c:v>
                </c:pt>
                <c:pt idx="34">
                  <c:v>7.88</c:v>
                </c:pt>
                <c:pt idx="35">
                  <c:v>8.0857142857142854</c:v>
                </c:pt>
                <c:pt idx="36">
                  <c:v>8.6452856064285708</c:v>
                </c:pt>
                <c:pt idx="37">
                  <c:v>8.6452856064285708</c:v>
                </c:pt>
                <c:pt idx="38">
                  <c:v>7.4194285528571422</c:v>
                </c:pt>
                <c:pt idx="39">
                  <c:v>9.6005713597142837</c:v>
                </c:pt>
                <c:pt idx="40">
                  <c:v>10.943285942077617</c:v>
                </c:pt>
                <c:pt idx="41">
                  <c:v>17.972571236746628</c:v>
                </c:pt>
                <c:pt idx="42">
                  <c:v>19.552571432931028</c:v>
                </c:pt>
                <c:pt idx="43">
                  <c:v>33.081571032857141</c:v>
                </c:pt>
                <c:pt idx="44">
                  <c:v>39.80185754</c:v>
                </c:pt>
                <c:pt idx="45">
                  <c:v>37.212857142857146</c:v>
                </c:pt>
                <c:pt idx="46">
                  <c:v>35.055428368571434</c:v>
                </c:pt>
                <c:pt idx="47">
                  <c:v>28.370000294285713</c:v>
                </c:pt>
                <c:pt idx="48">
                  <c:v>22.919999999999998</c:v>
                </c:pt>
                <c:pt idx="49">
                  <c:v>17.695714271428571</c:v>
                </c:pt>
                <c:pt idx="50">
                  <c:v>33.51428571428572</c:v>
                </c:pt>
                <c:pt idx="51">
                  <c:v>52.753143308571431</c:v>
                </c:pt>
                <c:pt idx="52">
                  <c:v>64.398429325714275</c:v>
                </c:pt>
                <c:pt idx="53">
                  <c:v>70.997858864285703</c:v>
                </c:pt>
                <c:pt idx="54">
                  <c:v>68.83</c:v>
                </c:pt>
                <c:pt idx="55">
                  <c:v>70.089428494285713</c:v>
                </c:pt>
                <c:pt idx="56">
                  <c:v>74.655428748571438</c:v>
                </c:pt>
                <c:pt idx="57">
                  <c:v>117.82857142857142</c:v>
                </c:pt>
                <c:pt idx="58">
                  <c:v>118.07871352857144</c:v>
                </c:pt>
                <c:pt idx="59">
                  <c:v>98.32</c:v>
                </c:pt>
                <c:pt idx="60">
                  <c:v>120.90099988571428</c:v>
                </c:pt>
                <c:pt idx="61">
                  <c:v>78.177285328571429</c:v>
                </c:pt>
                <c:pt idx="62">
                  <c:v>44.638999938964801</c:v>
                </c:pt>
                <c:pt idx="63">
                  <c:v>98.4</c:v>
                </c:pt>
                <c:pt idx="64">
                  <c:v>92.103571201428579</c:v>
                </c:pt>
                <c:pt idx="65">
                  <c:v>65.665856497142855</c:v>
                </c:pt>
                <c:pt idx="66">
                  <c:v>49.633285522857136</c:v>
                </c:pt>
                <c:pt idx="67">
                  <c:v>31.291000095714285</c:v>
                </c:pt>
                <c:pt idx="68">
                  <c:v>25.921857015714284</c:v>
                </c:pt>
                <c:pt idx="69">
                  <c:v>22.190428595714284</c:v>
                </c:pt>
                <c:pt idx="70">
                  <c:v>20.991285870000006</c:v>
                </c:pt>
                <c:pt idx="71">
                  <c:v>23.085714070000002</c:v>
                </c:pt>
                <c:pt idx="72">
                  <c:v>17.858285902857144</c:v>
                </c:pt>
                <c:pt idx="73">
                  <c:v>15.324571202857143</c:v>
                </c:pt>
                <c:pt idx="74">
                  <c:v>13.868142808571431</c:v>
                </c:pt>
                <c:pt idx="75">
                  <c:v>12.512571334285715</c:v>
                </c:pt>
                <c:pt idx="76">
                  <c:v>11.450428658571429</c:v>
                </c:pt>
                <c:pt idx="77">
                  <c:v>9.6660000944285702</c:v>
                </c:pt>
                <c:pt idx="78">
                  <c:v>8.27</c:v>
                </c:pt>
                <c:pt idx="79">
                  <c:v>7.4899999752857136</c:v>
                </c:pt>
                <c:pt idx="80">
                  <c:v>6.46428571428571</c:v>
                </c:pt>
                <c:pt idx="81">
                  <c:v>8.2285714285714295</c:v>
                </c:pt>
                <c:pt idx="82">
                  <c:v>6.7562857354285706</c:v>
                </c:pt>
                <c:pt idx="83">
                  <c:v>6.4201429230000002</c:v>
                </c:pt>
                <c:pt idx="84">
                  <c:v>4.7154285567142855</c:v>
                </c:pt>
                <c:pt idx="85">
                  <c:v>5.7421428814285713</c:v>
                </c:pt>
                <c:pt idx="86">
                  <c:v>6.5945714541428577</c:v>
                </c:pt>
                <c:pt idx="87">
                  <c:v>4.9847143037142851</c:v>
                </c:pt>
                <c:pt idx="88">
                  <c:v>5.502714293285714</c:v>
                </c:pt>
                <c:pt idx="89">
                  <c:v>6.8414285714285716</c:v>
                </c:pt>
                <c:pt idx="90">
                  <c:v>5.5879999569484111</c:v>
                </c:pt>
                <c:pt idx="91">
                  <c:v>8.0550000327142861</c:v>
                </c:pt>
                <c:pt idx="92">
                  <c:v>6.9969999451428562</c:v>
                </c:pt>
                <c:pt idx="93">
                  <c:v>6.2985714285714289</c:v>
                </c:pt>
                <c:pt idx="94">
                  <c:v>11.989999907285712</c:v>
                </c:pt>
                <c:pt idx="95">
                  <c:v>7.9394285338571438</c:v>
                </c:pt>
                <c:pt idx="96">
                  <c:v>10.621285710571428</c:v>
                </c:pt>
                <c:pt idx="97">
                  <c:v>19.484428541428574</c:v>
                </c:pt>
                <c:pt idx="98">
                  <c:v>19.475428171428575</c:v>
                </c:pt>
                <c:pt idx="99">
                  <c:v>16.918428555714282</c:v>
                </c:pt>
                <c:pt idx="100">
                  <c:v>23.580285755714289</c:v>
                </c:pt>
                <c:pt idx="101">
                  <c:v>41.892142702857143</c:v>
                </c:pt>
                <c:pt idx="102">
                  <c:v>39.827428544285716</c:v>
                </c:pt>
                <c:pt idx="103">
                  <c:v>62.57285690285714</c:v>
                </c:pt>
                <c:pt idx="104">
                  <c:v>97.806430279999987</c:v>
                </c:pt>
                <c:pt idx="105">
                  <c:v>152.80385916573601</c:v>
                </c:pt>
                <c:pt idx="106">
                  <c:v>97.949856347142855</c:v>
                </c:pt>
                <c:pt idx="107">
                  <c:v>78.131857190000005</c:v>
                </c:pt>
                <c:pt idx="108">
                  <c:v>52.875</c:v>
                </c:pt>
                <c:pt idx="109">
                  <c:v>99.128998899999985</c:v>
                </c:pt>
                <c:pt idx="110">
                  <c:v>151.47385733468144</c:v>
                </c:pt>
                <c:pt idx="111">
                  <c:v>148.12728554285715</c:v>
                </c:pt>
                <c:pt idx="112">
                  <c:v>143.28899928501644</c:v>
                </c:pt>
                <c:pt idx="113">
                  <c:v>84.357999531428575</c:v>
                </c:pt>
                <c:pt idx="114">
                  <c:v>76.472572329999977</c:v>
                </c:pt>
                <c:pt idx="115">
                  <c:v>110.78628649857141</c:v>
                </c:pt>
                <c:pt idx="116">
                  <c:v>113.32999965122723</c:v>
                </c:pt>
                <c:pt idx="117">
                  <c:v>97.158571515764294</c:v>
                </c:pt>
                <c:pt idx="118">
                  <c:v>87.023999895714283</c:v>
                </c:pt>
                <c:pt idx="119" formatCode="0.00">
                  <c:v>56.692000798571428</c:v>
                </c:pt>
                <c:pt idx="120">
                  <c:v>41.578285762857142</c:v>
                </c:pt>
                <c:pt idx="121">
                  <c:v>32.277857099260544</c:v>
                </c:pt>
                <c:pt idx="122">
                  <c:v>27.218570980000003</c:v>
                </c:pt>
                <c:pt idx="123">
                  <c:v>23.996714454285712</c:v>
                </c:pt>
                <c:pt idx="124">
                  <c:v>27.218570980000003</c:v>
                </c:pt>
                <c:pt idx="125">
                  <c:v>17.639571326119512</c:v>
                </c:pt>
                <c:pt idx="126">
                  <c:v>13.389714241428573</c:v>
                </c:pt>
                <c:pt idx="127">
                  <c:v>13.06000001</c:v>
                </c:pt>
                <c:pt idx="128">
                  <c:v>10.094714164733857</c:v>
                </c:pt>
                <c:pt idx="129">
                  <c:v>9.1595716474285691</c:v>
                </c:pt>
                <c:pt idx="130">
                  <c:v>8.8348572594285706</c:v>
                </c:pt>
                <c:pt idx="131">
                  <c:v>8.4665715353829452</c:v>
                </c:pt>
                <c:pt idx="132">
                  <c:v>7.6952857290000001</c:v>
                </c:pt>
                <c:pt idx="133">
                  <c:v>7.1297142847142867</c:v>
                </c:pt>
                <c:pt idx="134">
                  <c:v>8.1214285577142853</c:v>
                </c:pt>
                <c:pt idx="135">
                  <c:v>8.1097143717142863</c:v>
                </c:pt>
                <c:pt idx="136">
                  <c:v>10.538714272635294</c:v>
                </c:pt>
                <c:pt idx="137">
                  <c:v>6.1292857952857149</c:v>
                </c:pt>
                <c:pt idx="138">
                  <c:v>6.0765714645714288</c:v>
                </c:pt>
                <c:pt idx="139">
                  <c:v>5.9287142923900031</c:v>
                </c:pt>
                <c:pt idx="140">
                  <c:v>6.6625714302062962</c:v>
                </c:pt>
                <c:pt idx="141">
                  <c:v>6.7525714465549971</c:v>
                </c:pt>
                <c:pt idx="142">
                  <c:v>6.3287143026079411</c:v>
                </c:pt>
                <c:pt idx="143">
                  <c:v>7.4534285069999999</c:v>
                </c:pt>
                <c:pt idx="144">
                  <c:v>6.0369999748571432</c:v>
                </c:pt>
                <c:pt idx="145">
                  <c:v>6.8767141612857143</c:v>
                </c:pt>
                <c:pt idx="146">
                  <c:v>6.4478571755545433</c:v>
                </c:pt>
                <c:pt idx="147">
                  <c:v>6.2457143240000006</c:v>
                </c:pt>
                <c:pt idx="148">
                  <c:v>6.5374285491428568</c:v>
                </c:pt>
                <c:pt idx="149">
                  <c:v>6.183142798285715</c:v>
                </c:pt>
                <c:pt idx="150">
                  <c:v>7.3267143794285712</c:v>
                </c:pt>
                <c:pt idx="151">
                  <c:v>9.6325714934285713</c:v>
                </c:pt>
                <c:pt idx="152">
                  <c:v>13.102857045714286</c:v>
                </c:pt>
                <c:pt idx="153">
                  <c:v>17.667142595714285</c:v>
                </c:pt>
                <c:pt idx="154">
                  <c:v>14.238999775714285</c:v>
                </c:pt>
                <c:pt idx="155">
                  <c:v>17.224714688571428</c:v>
                </c:pt>
                <c:pt idx="156">
                  <c:v>54.019857132857133</c:v>
                </c:pt>
                <c:pt idx="157">
                  <c:v>70.259001594285721</c:v>
                </c:pt>
                <c:pt idx="158">
                  <c:v>58.126999447142857</c:v>
                </c:pt>
                <c:pt idx="159">
                  <c:v>74.927428108571434</c:v>
                </c:pt>
                <c:pt idx="160">
                  <c:v>68.394571574285706</c:v>
                </c:pt>
                <c:pt idx="161">
                  <c:v>56.864572254285704</c:v>
                </c:pt>
                <c:pt idx="162">
                  <c:v>60.405000412857149</c:v>
                </c:pt>
                <c:pt idx="163">
                  <c:v>76.87</c:v>
                </c:pt>
                <c:pt idx="164">
                  <c:v>119.958</c:v>
                </c:pt>
                <c:pt idx="165">
                  <c:v>71.76285661969861</c:v>
                </c:pt>
                <c:pt idx="166">
                  <c:v>56.04871422714286</c:v>
                </c:pt>
                <c:pt idx="167">
                  <c:v>63.309571402857145</c:v>
                </c:pt>
                <c:pt idx="168">
                  <c:v>68.27</c:v>
                </c:pt>
                <c:pt idx="169">
                  <c:v>61.654713765714291</c:v>
                </c:pt>
                <c:pt idx="170">
                  <c:v>68.710573468571425</c:v>
                </c:pt>
                <c:pt idx="171">
                  <c:v>74.239000592857138</c:v>
                </c:pt>
                <c:pt idx="172">
                  <c:v>39.415857042857148</c:v>
                </c:pt>
                <c:pt idx="173">
                  <c:v>25.886856898571434</c:v>
                </c:pt>
                <c:pt idx="174">
                  <c:v>19.646428789999998</c:v>
                </c:pt>
                <c:pt idx="175">
                  <c:v>16.286999974285717</c:v>
                </c:pt>
                <c:pt idx="176">
                  <c:v>14.018428667142857</c:v>
                </c:pt>
                <c:pt idx="177">
                  <c:v>14.466285705714286</c:v>
                </c:pt>
                <c:pt idx="178">
                  <c:v>11.637142864285716</c:v>
                </c:pt>
                <c:pt idx="179">
                  <c:v>10.373285701857142</c:v>
                </c:pt>
                <c:pt idx="180">
                  <c:v>9.3365716934285707</c:v>
                </c:pt>
                <c:pt idx="181">
                  <c:v>8.5024284634285721</c:v>
                </c:pt>
                <c:pt idx="182">
                  <c:v>7.8322857448571428</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'13.Caudales'!$X$4:$X$186</c:f>
              <c:numCache>
                <c:formatCode>0.0</c:formatCode>
                <c:ptCount val="183"/>
                <c:pt idx="0">
                  <c:v>201.2428571428571</c:v>
                </c:pt>
                <c:pt idx="1">
                  <c:v>229.4250030571429</c:v>
                </c:pt>
                <c:pt idx="2">
                  <c:v>261.56357028571426</c:v>
                </c:pt>
                <c:pt idx="3">
                  <c:v>261.98000009999998</c:v>
                </c:pt>
                <c:pt idx="4">
                  <c:v>141.83571514285714</c:v>
                </c:pt>
                <c:pt idx="5">
                  <c:v>164.55714089999998</c:v>
                </c:pt>
                <c:pt idx="6">
                  <c:v>355.31285748571423</c:v>
                </c:pt>
                <c:pt idx="7">
                  <c:v>437.78</c:v>
                </c:pt>
                <c:pt idx="8">
                  <c:v>424.14571271428576</c:v>
                </c:pt>
                <c:pt idx="9">
                  <c:v>293.69142804285718</c:v>
                </c:pt>
                <c:pt idx="10">
                  <c:v>511.54500034285724</c:v>
                </c:pt>
                <c:pt idx="11">
                  <c:v>433.89143152857145</c:v>
                </c:pt>
                <c:pt idx="12">
                  <c:v>281.79928587142859</c:v>
                </c:pt>
                <c:pt idx="13">
                  <c:v>176.23214502857144</c:v>
                </c:pt>
                <c:pt idx="14">
                  <c:v>130.09</c:v>
                </c:pt>
                <c:pt idx="15">
                  <c:v>96.9</c:v>
                </c:pt>
                <c:pt idx="16">
                  <c:v>89.59</c:v>
                </c:pt>
                <c:pt idx="17">
                  <c:v>89.602142331428567</c:v>
                </c:pt>
                <c:pt idx="18">
                  <c:v>75.568572998571426</c:v>
                </c:pt>
                <c:pt idx="19">
                  <c:v>62.208570752857149</c:v>
                </c:pt>
                <c:pt idx="20">
                  <c:v>54.38714218285714</c:v>
                </c:pt>
                <c:pt idx="21">
                  <c:v>48.837857382857138</c:v>
                </c:pt>
                <c:pt idx="22">
                  <c:v>58.175000328571436</c:v>
                </c:pt>
                <c:pt idx="23">
                  <c:v>61.988572801428582</c:v>
                </c:pt>
                <c:pt idx="24">
                  <c:v>51.970714024285719</c:v>
                </c:pt>
                <c:pt idx="25">
                  <c:v>44.390714371428579</c:v>
                </c:pt>
                <c:pt idx="26">
                  <c:v>39.173571994285716</c:v>
                </c:pt>
                <c:pt idx="27">
                  <c:v>36.999285560000011</c:v>
                </c:pt>
                <c:pt idx="28">
                  <c:v>38.677142857142861</c:v>
                </c:pt>
                <c:pt idx="29">
                  <c:v>56.166428702857139</c:v>
                </c:pt>
                <c:pt idx="30">
                  <c:v>50.215000000000003</c:v>
                </c:pt>
                <c:pt idx="31">
                  <c:v>50.460713522857141</c:v>
                </c:pt>
                <c:pt idx="32">
                  <c:v>44.64</c:v>
                </c:pt>
                <c:pt idx="33">
                  <c:v>35.627857751428571</c:v>
                </c:pt>
                <c:pt idx="34">
                  <c:v>32.979999999999997</c:v>
                </c:pt>
                <c:pt idx="35">
                  <c:v>31.20428571428571</c:v>
                </c:pt>
                <c:pt idx="36">
                  <c:v>29.614285605714283</c:v>
                </c:pt>
                <c:pt idx="37">
                  <c:v>30.912857054285716</c:v>
                </c:pt>
                <c:pt idx="38">
                  <c:v>37.200000000000003</c:v>
                </c:pt>
                <c:pt idx="39">
                  <c:v>42.197143011428572</c:v>
                </c:pt>
                <c:pt idx="40">
                  <c:v>49.475714547293492</c:v>
                </c:pt>
                <c:pt idx="41">
                  <c:v>72.350713457379968</c:v>
                </c:pt>
                <c:pt idx="42">
                  <c:v>82.484284537179079</c:v>
                </c:pt>
                <c:pt idx="43">
                  <c:v>110.40928649571428</c:v>
                </c:pt>
                <c:pt idx="44">
                  <c:v>114.14357212285714</c:v>
                </c:pt>
                <c:pt idx="45">
                  <c:v>93.457142857142841</c:v>
                </c:pt>
                <c:pt idx="46">
                  <c:v>104.10500007571429</c:v>
                </c:pt>
                <c:pt idx="47">
                  <c:v>91.569999695714287</c:v>
                </c:pt>
                <c:pt idx="48">
                  <c:v>62.974285714285706</c:v>
                </c:pt>
                <c:pt idx="49">
                  <c:v>52.244286674285718</c:v>
                </c:pt>
                <c:pt idx="50">
                  <c:v>86.528571428571439</c:v>
                </c:pt>
                <c:pt idx="51">
                  <c:v>103.53357153142858</c:v>
                </c:pt>
                <c:pt idx="52">
                  <c:v>121.75642612857142</c:v>
                </c:pt>
                <c:pt idx="53">
                  <c:v>180.32999965714288</c:v>
                </c:pt>
                <c:pt idx="54">
                  <c:v>167.22</c:v>
                </c:pt>
                <c:pt idx="55">
                  <c:v>185.51500375714286</c:v>
                </c:pt>
                <c:pt idx="56">
                  <c:v>199.03571430000002</c:v>
                </c:pt>
                <c:pt idx="57">
                  <c:v>338.89857142857142</c:v>
                </c:pt>
                <c:pt idx="58">
                  <c:v>288.0957205571429</c:v>
                </c:pt>
                <c:pt idx="59">
                  <c:v>411.75142995714288</c:v>
                </c:pt>
                <c:pt idx="60">
                  <c:v>249.46285358571427</c:v>
                </c:pt>
                <c:pt idx="61">
                  <c:v>225.10000174285716</c:v>
                </c:pt>
                <c:pt idx="62">
                  <c:v>217.45642525809117</c:v>
                </c:pt>
                <c:pt idx="63">
                  <c:v>327.82142857142861</c:v>
                </c:pt>
                <c:pt idx="64">
                  <c:v>339.04356602857143</c:v>
                </c:pt>
                <c:pt idx="65">
                  <c:v>250.08571298571431</c:v>
                </c:pt>
                <c:pt idx="66">
                  <c:v>148.48785617142858</c:v>
                </c:pt>
                <c:pt idx="67">
                  <c:v>105.47928511571429</c:v>
                </c:pt>
                <c:pt idx="68">
                  <c:v>103.81928579571429</c:v>
                </c:pt>
                <c:pt idx="69">
                  <c:v>91.532855442857141</c:v>
                </c:pt>
                <c:pt idx="70">
                  <c:v>82.45500183</c:v>
                </c:pt>
                <c:pt idx="71">
                  <c:v>76.857142859999996</c:v>
                </c:pt>
                <c:pt idx="72">
                  <c:v>58.057856968571436</c:v>
                </c:pt>
                <c:pt idx="73">
                  <c:v>51.520714895714285</c:v>
                </c:pt>
                <c:pt idx="74">
                  <c:v>46.520714351428573</c:v>
                </c:pt>
                <c:pt idx="75">
                  <c:v>42.473571777142858</c:v>
                </c:pt>
                <c:pt idx="76">
                  <c:v>43.729285104285715</c:v>
                </c:pt>
                <c:pt idx="77">
                  <c:v>44.616428919999997</c:v>
                </c:pt>
                <c:pt idx="78">
                  <c:v>43.84</c:v>
                </c:pt>
                <c:pt idx="79">
                  <c:v>39.995714458571435</c:v>
                </c:pt>
                <c:pt idx="80">
                  <c:v>42.704285757882197</c:v>
                </c:pt>
                <c:pt idx="81">
                  <c:v>44.611428571428576</c:v>
                </c:pt>
                <c:pt idx="82">
                  <c:v>43.444999694285706</c:v>
                </c:pt>
                <c:pt idx="83">
                  <c:v>38.432857512857147</c:v>
                </c:pt>
                <c:pt idx="84">
                  <c:v>36.690713608571421</c:v>
                </c:pt>
                <c:pt idx="85">
                  <c:v>34.872856138571429</c:v>
                </c:pt>
                <c:pt idx="86">
                  <c:v>34.16142872428572</c:v>
                </c:pt>
                <c:pt idx="87">
                  <c:v>35.968571799999999</c:v>
                </c:pt>
                <c:pt idx="88">
                  <c:v>34.324999674285714</c:v>
                </c:pt>
                <c:pt idx="89">
                  <c:v>33.131428571428572</c:v>
                </c:pt>
                <c:pt idx="90">
                  <c:v>32.532142911638481</c:v>
                </c:pt>
                <c:pt idx="91">
                  <c:v>36.384999957142853</c:v>
                </c:pt>
                <c:pt idx="92">
                  <c:v>40.987143380000006</c:v>
                </c:pt>
                <c:pt idx="93">
                  <c:v>37.554285714285712</c:v>
                </c:pt>
                <c:pt idx="94">
                  <c:v>52.87071446142857</c:v>
                </c:pt>
                <c:pt idx="95">
                  <c:v>36.208572388571426</c:v>
                </c:pt>
                <c:pt idx="96">
                  <c:v>61.867856707142856</c:v>
                </c:pt>
                <c:pt idx="97">
                  <c:v>108.26642826857143</c:v>
                </c:pt>
                <c:pt idx="98">
                  <c:v>123.16000039999999</c:v>
                </c:pt>
                <c:pt idx="99">
                  <c:v>94.382143292857137</c:v>
                </c:pt>
                <c:pt idx="100">
                  <c:v>134.38285718142859</c:v>
                </c:pt>
                <c:pt idx="101">
                  <c:v>210.99928282857144</c:v>
                </c:pt>
                <c:pt idx="102">
                  <c:v>166.85428727142857</c:v>
                </c:pt>
                <c:pt idx="103">
                  <c:v>293.28928701428578</c:v>
                </c:pt>
                <c:pt idx="104">
                  <c:v>278.16286141428571</c:v>
                </c:pt>
                <c:pt idx="105">
                  <c:v>468.15499877929659</c:v>
                </c:pt>
                <c:pt idx="106">
                  <c:v>213.59428187142859</c:v>
                </c:pt>
                <c:pt idx="107">
                  <c:v>247.26214164285713</c:v>
                </c:pt>
                <c:pt idx="108">
                  <c:v>212.78856985714287</c:v>
                </c:pt>
                <c:pt idx="109">
                  <c:v>410.15428595714286</c:v>
                </c:pt>
                <c:pt idx="110">
                  <c:v>622.45499965122758</c:v>
                </c:pt>
                <c:pt idx="111">
                  <c:v>434.32357352857144</c:v>
                </c:pt>
                <c:pt idx="112">
                  <c:v>403.40571376255542</c:v>
                </c:pt>
                <c:pt idx="113">
                  <c:v>388.35356794285718</c:v>
                </c:pt>
                <c:pt idx="114">
                  <c:v>317.96785625714284</c:v>
                </c:pt>
                <c:pt idx="115">
                  <c:v>377.62500435714281</c:v>
                </c:pt>
                <c:pt idx="116">
                  <c:v>380.85929216657314</c:v>
                </c:pt>
                <c:pt idx="117">
                  <c:v>332.15285818917374</c:v>
                </c:pt>
                <c:pt idx="118">
                  <c:v>272.16142927142863</c:v>
                </c:pt>
                <c:pt idx="119" formatCode="0.00">
                  <c:v>174.17928642857143</c:v>
                </c:pt>
                <c:pt idx="120">
                  <c:v>124.01500048571428</c:v>
                </c:pt>
                <c:pt idx="121">
                  <c:v>109.72071402413471</c:v>
                </c:pt>
                <c:pt idx="122">
                  <c:v>121.69785745714287</c:v>
                </c:pt>
                <c:pt idx="123">
                  <c:v>98.23285565285714</c:v>
                </c:pt>
                <c:pt idx="124">
                  <c:v>74.486427307142861</c:v>
                </c:pt>
                <c:pt idx="125">
                  <c:v>66.354285648890865</c:v>
                </c:pt>
                <c:pt idx="126">
                  <c:v>60.742857795714293</c:v>
                </c:pt>
                <c:pt idx="127">
                  <c:v>60.932143074285719</c:v>
                </c:pt>
                <c:pt idx="128">
                  <c:v>56.771429334367994</c:v>
                </c:pt>
                <c:pt idx="129">
                  <c:v>51.780714305714291</c:v>
                </c:pt>
                <c:pt idx="130">
                  <c:v>47.265713828571435</c:v>
                </c:pt>
                <c:pt idx="131">
                  <c:v>44.601428440638877</c:v>
                </c:pt>
                <c:pt idx="132">
                  <c:v>42.742857252857149</c:v>
                </c:pt>
                <c:pt idx="133">
                  <c:v>40.262857164285712</c:v>
                </c:pt>
                <c:pt idx="134">
                  <c:v>39.827141895714291</c:v>
                </c:pt>
                <c:pt idx="135">
                  <c:v>37.761428834285709</c:v>
                </c:pt>
                <c:pt idx="136">
                  <c:v>37.760714394705587</c:v>
                </c:pt>
                <c:pt idx="137">
                  <c:v>38.402142115714284</c:v>
                </c:pt>
                <c:pt idx="138">
                  <c:v>36.792856487142856</c:v>
                </c:pt>
                <c:pt idx="139">
                  <c:v>37.991428375244077</c:v>
                </c:pt>
                <c:pt idx="140">
                  <c:v>40.24999999999995</c:v>
                </c:pt>
                <c:pt idx="141">
                  <c:v>41.220714024135006</c:v>
                </c:pt>
                <c:pt idx="142">
                  <c:v>38.451428549630243</c:v>
                </c:pt>
                <c:pt idx="143">
                  <c:v>41.307143075714286</c:v>
                </c:pt>
                <c:pt idx="144">
                  <c:v>45.036428724285713</c:v>
                </c:pt>
                <c:pt idx="145">
                  <c:v>44.255714417142862</c:v>
                </c:pt>
                <c:pt idx="146">
                  <c:v>49.407857077462303</c:v>
                </c:pt>
                <c:pt idx="147">
                  <c:v>49.056428090000004</c:v>
                </c:pt>
                <c:pt idx="148">
                  <c:v>48.241428374285711</c:v>
                </c:pt>
                <c:pt idx="149">
                  <c:v>46.33071463571428</c:v>
                </c:pt>
                <c:pt idx="150">
                  <c:v>44.693571362857142</c:v>
                </c:pt>
                <c:pt idx="151">
                  <c:v>42.967857361428564</c:v>
                </c:pt>
                <c:pt idx="152">
                  <c:v>63.644285474285716</c:v>
                </c:pt>
                <c:pt idx="153">
                  <c:v>90.734285625714293</c:v>
                </c:pt>
                <c:pt idx="154">
                  <c:v>57.20714296714285</c:v>
                </c:pt>
                <c:pt idx="155">
                  <c:v>76.025713785714288</c:v>
                </c:pt>
                <c:pt idx="156">
                  <c:v>180.25785610000003</c:v>
                </c:pt>
                <c:pt idx="157">
                  <c:v>233.42357307142856</c:v>
                </c:pt>
                <c:pt idx="158">
                  <c:v>199.51214380000002</c:v>
                </c:pt>
                <c:pt idx="159">
                  <c:v>380.69428361428572</c:v>
                </c:pt>
                <c:pt idx="160">
                  <c:v>322.4650006857143</c:v>
                </c:pt>
                <c:pt idx="161">
                  <c:v>203.94785854285715</c:v>
                </c:pt>
                <c:pt idx="162">
                  <c:v>317.90785435714287</c:v>
                </c:pt>
                <c:pt idx="163">
                  <c:v>339.78</c:v>
                </c:pt>
                <c:pt idx="164">
                  <c:v>264.85700000000003</c:v>
                </c:pt>
                <c:pt idx="165">
                  <c:v>195.40928431919602</c:v>
                </c:pt>
                <c:pt idx="166">
                  <c:v>212.2000013</c:v>
                </c:pt>
                <c:pt idx="167">
                  <c:v>229.93857247142856</c:v>
                </c:pt>
                <c:pt idx="168">
                  <c:v>287.37429152857146</c:v>
                </c:pt>
                <c:pt idx="169">
                  <c:v>292.37857055714284</c:v>
                </c:pt>
                <c:pt idx="170">
                  <c:v>281.81714740000001</c:v>
                </c:pt>
                <c:pt idx="171">
                  <c:v>319.64357211428575</c:v>
                </c:pt>
                <c:pt idx="172">
                  <c:v>174.665717</c:v>
                </c:pt>
                <c:pt idx="173">
                  <c:v>112.05499922142857</c:v>
                </c:pt>
                <c:pt idx="174">
                  <c:v>79.242856705714289</c:v>
                </c:pt>
                <c:pt idx="175">
                  <c:v>73.040000915714288</c:v>
                </c:pt>
                <c:pt idx="176">
                  <c:v>68.874286108571425</c:v>
                </c:pt>
                <c:pt idx="177">
                  <c:v>68.332856858571418</c:v>
                </c:pt>
                <c:pt idx="178">
                  <c:v>60.234999522857144</c:v>
                </c:pt>
                <c:pt idx="179">
                  <c:v>55.279285977142862</c:v>
                </c:pt>
                <c:pt idx="180">
                  <c:v>49.072856904285722</c:v>
                </c:pt>
                <c:pt idx="181">
                  <c:v>43.960000174285717</c:v>
                </c:pt>
                <c:pt idx="182">
                  <c:v>41.416428701428572</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lgn="ctr">
                  <a:defRPr sz="700"/>
                </a:pPr>
                <a:r>
                  <a:rPr lang="en-US" sz="700"/>
                  <a:t>m3/s</a:t>
                </a:r>
              </a:p>
            </c:rich>
          </c:tx>
          <c:layout>
            <c:manualLayout>
              <c:xMode val="edge"/>
              <c:yMode val="edge"/>
              <c:x val="0"/>
              <c:y val="3.4201987897699529E-2"/>
            </c:manualLayout>
          </c:layout>
          <c:overlay val="0"/>
        </c:title>
        <c:numFmt formatCode="0" sourceLinked="0"/>
        <c:majorTickMark val="out"/>
        <c:minorTickMark val="none"/>
        <c:tickLblPos val="nextTo"/>
        <c:txPr>
          <a:bodyPr/>
          <a:lstStyle/>
          <a:p>
            <a:pPr>
              <a:defRPr sz="700"/>
            </a:pPr>
            <a:endParaRPr lang="es-PE"/>
          </a:p>
        </c:txPr>
        <c:crossAx val="351621120"/>
        <c:crosses val="autoZero"/>
        <c:crossBetween val="between"/>
      </c:valAx>
      <c:valAx>
        <c:axId val="625393880"/>
        <c:scaling>
          <c:orientation val="minMax"/>
          <c:max val="650"/>
        </c:scaling>
        <c:delete val="0"/>
        <c:axPos val="r"/>
        <c:numFmt formatCode="0.0" sourceLinked="1"/>
        <c:majorTickMark val="out"/>
        <c:minorTickMark val="none"/>
        <c:tickLblPos val="nextTo"/>
        <c:txPr>
          <a:bodyPr/>
          <a:lstStyle/>
          <a:p>
            <a:pPr>
              <a:defRPr sz="700"/>
            </a:pPr>
            <a:endParaRPr lang="es-PE"/>
          </a:p>
        </c:txPr>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0.10493780771282524"/>
          <c:y val="0.15533005195962601"/>
          <c:w val="0.79300488639316924"/>
          <c:h val="6.3582727286523422E-2"/>
        </c:manualLayout>
      </c:layout>
      <c:overlay val="0"/>
      <c:txPr>
        <a:bodyPr/>
        <a:lstStyle/>
        <a:p>
          <a:pPr>
            <a:defRPr sz="7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14.152450548765579</c:v>
                </c:pt>
                <c:pt idx="1">
                  <c:v>13.999566885454428</c:v>
                </c:pt>
                <c:pt idx="2">
                  <c:v>13.805434195012083</c:v>
                </c:pt>
                <c:pt idx="3">
                  <c:v>13.712027349543018</c:v>
                </c:pt>
                <c:pt idx="4">
                  <c:v>13.743584457449538</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13.272354393717301</c:v>
                </c:pt>
                <c:pt idx="1">
                  <c:v>13.248153076500259</c:v>
                </c:pt>
                <c:pt idx="2">
                  <c:v>13.264220436353932</c:v>
                </c:pt>
                <c:pt idx="3">
                  <c:v>13.067840084497275</c:v>
                </c:pt>
                <c:pt idx="4">
                  <c:v>13.337837992182564</c:v>
                </c:pt>
                <c:pt idx="5">
                  <c:v>13.066273849298696</c:v>
                </c:pt>
                <c:pt idx="6">
                  <c:v>13.020301282369095</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14.749278772381675</c:v>
                </c:pt>
                <c:pt idx="1">
                  <c:v>14.19475894371152</c:v>
                </c:pt>
                <c:pt idx="2">
                  <c:v>14.185889388795513</c:v>
                </c:pt>
                <c:pt idx="3">
                  <c:v>14.399346259951393</c:v>
                </c:pt>
                <c:pt idx="4">
                  <c:v>13.758953456953789</c:v>
                </c:pt>
                <c:pt idx="5">
                  <c:v>13.622580963671911</c:v>
                </c:pt>
                <c:pt idx="6">
                  <c:v>13.719055561662916</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77205083725214407"/>
        </c:manualLayout>
      </c:layout>
      <c:barChart>
        <c:barDir val="col"/>
        <c:grouping val="clustered"/>
        <c:varyColors val="0"/>
        <c:ser>
          <c:idx val="2"/>
          <c:order val="0"/>
          <c:tx>
            <c:strRef>
              <c:f>'16. Congestiones'!$F$6</c:f>
              <c:strCache>
                <c:ptCount val="1"/>
                <c:pt idx="0">
                  <c:v>JUNIO
 2019</c:v>
                </c:pt>
              </c:strCache>
            </c:strRef>
          </c:tx>
          <c:spPr>
            <a:solidFill>
              <a:schemeClr val="accent6"/>
            </a:solidFill>
          </c:spPr>
          <c:invertIfNegative val="0"/>
          <c:cat>
            <c:strRef>
              <c:f>'16. Congestiones'!$C$7:$C$12</c:f>
              <c:strCache>
                <c:ptCount val="6"/>
                <c:pt idx="0">
                  <c:v>TRUJILLO NORTE - CHIMBOTE 1</c:v>
                </c:pt>
                <c:pt idx="1">
                  <c:v>SAN JUAN - LOS INDUSTRIALES</c:v>
                </c:pt>
                <c:pt idx="2">
                  <c:v>SAN JUAN - SANTA ROSA N.</c:v>
                </c:pt>
                <c:pt idx="3">
                  <c:v>SANTA ROSA N. - CHAVARRÍA</c:v>
                </c:pt>
                <c:pt idx="4">
                  <c:v>INDEPENDENCIA</c:v>
                </c:pt>
                <c:pt idx="5">
                  <c:v>MARCONA</c:v>
                </c:pt>
              </c:strCache>
            </c:strRef>
          </c:cat>
          <c:val>
            <c:numRef>
              <c:f>'16. Congestiones'!$F$7:$F$12</c:f>
              <c:numCache>
                <c:formatCode>#,##0.00</c:formatCode>
                <c:ptCount val="6"/>
                <c:pt idx="5">
                  <c:v>3.5833333333333326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JUNIO
 2020</c:v>
                </c:pt>
              </c:strCache>
            </c:strRef>
          </c:tx>
          <c:invertIfNegative val="0"/>
          <c:cat>
            <c:strRef>
              <c:f>'16. Congestiones'!$C$7:$C$12</c:f>
              <c:strCache>
                <c:ptCount val="6"/>
                <c:pt idx="0">
                  <c:v>TRUJILLO NORTE - CHIMBOTE 1</c:v>
                </c:pt>
                <c:pt idx="1">
                  <c:v>SAN JUAN - LOS INDUSTRIALES</c:v>
                </c:pt>
                <c:pt idx="2">
                  <c:v>SAN JUAN - SANTA ROSA N.</c:v>
                </c:pt>
                <c:pt idx="3">
                  <c:v>SANTA ROSA N. - CHAVARRÍA</c:v>
                </c:pt>
                <c:pt idx="4">
                  <c:v>INDEPENDENCIA</c:v>
                </c:pt>
                <c:pt idx="5">
                  <c:v>MARCONA</c:v>
                </c:pt>
              </c:strCache>
            </c:strRef>
          </c:cat>
          <c:val>
            <c:numRef>
              <c:f>'16. Congestiones'!$E$7:$E$12</c:f>
              <c:numCache>
                <c:formatCode>#,##0.00</c:formatCode>
                <c:ptCount val="6"/>
                <c:pt idx="4">
                  <c:v>12.883333333333335</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JUNIO
 2021</c:v>
                </c:pt>
              </c:strCache>
            </c:strRef>
          </c:tx>
          <c:invertIfNegative val="0"/>
          <c:cat>
            <c:strRef>
              <c:f>'16. Congestiones'!$C$7:$C$12</c:f>
              <c:strCache>
                <c:ptCount val="6"/>
                <c:pt idx="0">
                  <c:v>TRUJILLO NORTE - CHIMBOTE 1</c:v>
                </c:pt>
                <c:pt idx="1">
                  <c:v>SAN JUAN - LOS INDUSTRIALES</c:v>
                </c:pt>
                <c:pt idx="2">
                  <c:v>SAN JUAN - SANTA ROSA N.</c:v>
                </c:pt>
                <c:pt idx="3">
                  <c:v>SANTA ROSA N. - CHAVARRÍA</c:v>
                </c:pt>
                <c:pt idx="4">
                  <c:v>INDEPENDENCIA</c:v>
                </c:pt>
                <c:pt idx="5">
                  <c:v>MARCONA</c:v>
                </c:pt>
              </c:strCache>
            </c:strRef>
          </c:cat>
          <c:val>
            <c:numRef>
              <c:f>'16. Congestiones'!$D$7:$D$12</c:f>
              <c:numCache>
                <c:formatCode>#,##0.00</c:formatCode>
                <c:ptCount val="6"/>
                <c:pt idx="0">
                  <c:v>11.93333333333333</c:v>
                </c:pt>
                <c:pt idx="1">
                  <c:v>7.5499999999999989</c:v>
                </c:pt>
                <c:pt idx="2">
                  <c:v>7.5499999999999989</c:v>
                </c:pt>
                <c:pt idx="3">
                  <c:v>4.2333333333333325</c:v>
                </c:pt>
                <c:pt idx="4">
                  <c:v>34.466666666666661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2019282978849915"/>
          <c:y val="2.813970401498824E-3"/>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5.7122431993671145E-3"/>
                  <c:y val="-0.1010929765879726"/>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4.4693404972434785E-2"/>
                  <c:y val="1.307677177037964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6.0373627042322187E-2"/>
                  <c:y val="1.941845837281969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3.7740319244493156E-2"/>
                  <c:y val="7.861072973183821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6.2893305921267142E-2"/>
                  <c:y val="-5.124259705290502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38486758320329978"/>
                  <c:y val="0.53282147842742589"/>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2</c:v>
                </c:pt>
                <c:pt idx="1">
                  <c:v>7</c:v>
                </c:pt>
                <c:pt idx="2">
                  <c:v>2</c:v>
                </c:pt>
                <c:pt idx="3">
                  <c:v>1</c:v>
                </c:pt>
                <c:pt idx="4">
                  <c:v>11</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Eventos'!$J$7:$J$12</c:f>
              <c:numCache>
                <c:formatCode>#,##0.00</c:formatCode>
                <c:ptCount val="6"/>
                <c:pt idx="0">
                  <c:v>466.04999999999995</c:v>
                </c:pt>
                <c:pt idx="1">
                  <c:v>9.9</c:v>
                </c:pt>
                <c:pt idx="2">
                  <c:v>18.91</c:v>
                </c:pt>
                <c:pt idx="3">
                  <c:v>13</c:v>
                </c:pt>
                <c:pt idx="4">
                  <c:v>0.22</c:v>
                </c:pt>
                <c:pt idx="5">
                  <c:v>16.350000000000001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generación'!$B$26:$C$26</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generación'!$D$25:$E$25</c:f>
              <c:strCache>
                <c:ptCount val="2"/>
                <c:pt idx="0">
                  <c:v>JUNIO 2021</c:v>
                </c:pt>
                <c:pt idx="1">
                  <c:v>JUNIO 2020</c:v>
                </c:pt>
              </c:strCache>
            </c:strRef>
          </c:cat>
          <c:val>
            <c:numRef>
              <c:f>'2. Oferta de generación'!$D$26:$E$26</c:f>
              <c:numCache>
                <c:formatCode>#,##0.0</c:formatCode>
                <c:ptCount val="2"/>
                <c:pt idx="0">
                  <c:v>5245.6192474999998</c:v>
                </c:pt>
                <c:pt idx="1">
                  <c:v>5163.1192474999998</c:v>
                </c:pt>
              </c:numCache>
            </c:numRef>
          </c:val>
          <c:extLst>
            <c:ext xmlns:c16="http://schemas.microsoft.com/office/drawing/2014/chart" uri="{C3380CC4-5D6E-409C-BE32-E72D297353CC}">
              <c16:uniqueId val="{00000004-54B0-402D-913D-0304413B844F}"/>
            </c:ext>
          </c:extLst>
        </c:ser>
        <c:ser>
          <c:idx val="1"/>
          <c:order val="1"/>
          <c:tx>
            <c:strRef>
              <c:f>'2. Oferta de generación'!$B$27:$C$27</c:f>
              <c:strCache>
                <c:ptCount val="2"/>
                <c:pt idx="0">
                  <c:v>TERMOELÉCTRICA</c:v>
                </c:pt>
              </c:strCache>
            </c:strRef>
          </c:tx>
          <c:spPr>
            <a:solidFill>
              <a:schemeClr val="accent2"/>
            </a:solidFill>
          </c:spPr>
          <c:invertIfNegative val="0"/>
          <c:cat>
            <c:strRef>
              <c:f>'2. Oferta de generación'!$D$25:$E$25</c:f>
              <c:strCache>
                <c:ptCount val="2"/>
                <c:pt idx="0">
                  <c:v>JUNIO 2021</c:v>
                </c:pt>
                <c:pt idx="1">
                  <c:v>JUNIO 2020</c:v>
                </c:pt>
              </c:strCache>
            </c:strRef>
          </c:cat>
          <c:val>
            <c:numRef>
              <c:f>'2. Oferta de generación'!$D$27:$E$27</c:f>
              <c:numCache>
                <c:formatCode>#,##0.0</c:formatCode>
                <c:ptCount val="2"/>
                <c:pt idx="0">
                  <c:v>7398.3644999999997</c:v>
                </c:pt>
                <c:pt idx="1">
                  <c:v>7395.9645</c:v>
                </c:pt>
              </c:numCache>
            </c:numRef>
          </c:val>
          <c:extLst>
            <c:ext xmlns:c16="http://schemas.microsoft.com/office/drawing/2014/chart" uri="{C3380CC4-5D6E-409C-BE32-E72D297353CC}">
              <c16:uniqueId val="{00000005-54B0-402D-913D-0304413B844F}"/>
            </c:ext>
          </c:extLst>
        </c:ser>
        <c:ser>
          <c:idx val="2"/>
          <c:order val="2"/>
          <c:tx>
            <c:strRef>
              <c:f>'2. Oferta de generación'!$B$28:$C$28</c:f>
              <c:strCache>
                <c:ptCount val="2"/>
                <c:pt idx="0">
                  <c:v>EÓLICA</c:v>
                </c:pt>
              </c:strCache>
            </c:strRef>
          </c:tx>
          <c:spPr>
            <a:solidFill>
              <a:srgbClr val="6DA6D9"/>
            </a:solidFill>
          </c:spPr>
          <c:invertIfNegative val="0"/>
          <c:cat>
            <c:strRef>
              <c:f>'2. Oferta de generación'!$D$25:$E$25</c:f>
              <c:strCache>
                <c:ptCount val="2"/>
                <c:pt idx="0">
                  <c:v>JUNIO 2021</c:v>
                </c:pt>
                <c:pt idx="1">
                  <c:v>JUNIO 2020</c:v>
                </c:pt>
              </c:strCache>
            </c:strRef>
          </c:cat>
          <c:val>
            <c:numRef>
              <c:f>'2. Oferta de generación'!$D$28:$E$28</c:f>
              <c:numCache>
                <c:formatCode>#,##0.0</c:formatCode>
                <c:ptCount val="2"/>
                <c:pt idx="0">
                  <c:v>412.2</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generación'!$B$29:$C$29</c:f>
              <c:strCache>
                <c:ptCount val="2"/>
                <c:pt idx="0">
                  <c:v>SOLAR</c:v>
                </c:pt>
              </c:strCache>
            </c:strRef>
          </c:tx>
          <c:invertIfNegative val="0"/>
          <c:cat>
            <c:strRef>
              <c:f>'2. Oferta de generación'!$D$25:$E$25</c:f>
              <c:strCache>
                <c:ptCount val="2"/>
                <c:pt idx="0">
                  <c:v>JUNIO 2021</c:v>
                </c:pt>
                <c:pt idx="1">
                  <c:v>JUNIO 2020</c:v>
                </c:pt>
              </c:strCache>
            </c:strRef>
          </c:cat>
          <c:val>
            <c:numRef>
              <c:f>'2. Oferta de generación'!$D$29:$E$29</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Eventos'!$B$7:$B$12</c:f>
              <c:numCache>
                <c:formatCode>General</c:formatCode>
                <c:ptCount val="6"/>
                <c:pt idx="0">
                  <c:v>2</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Eventos'!$C$7:$C$12</c:f>
              <c:numCache>
                <c:formatCode>General</c:formatCode>
                <c:ptCount val="6"/>
                <c:pt idx="0">
                  <c:v>3</c:v>
                </c:pt>
                <c:pt idx="1">
                  <c:v>1</c:v>
                </c:pt>
                <c:pt idx="3">
                  <c:v>1</c:v>
                </c:pt>
                <c:pt idx="4">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Eventos'!$D$7:$D$12</c:f>
              <c:numCache>
                <c:formatCode>General</c:formatCode>
                <c:ptCount val="6"/>
                <c:pt idx="0">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Eventos'!$E$7:$E$12</c:f>
              <c:numCache>
                <c:formatCode>General</c:formatCode>
                <c:ptCount val="6"/>
                <c:pt idx="0">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Eventos'!$F$7:$F$12</c:f>
              <c:numCache>
                <c:formatCode>General</c:formatCode>
                <c:ptCount val="6"/>
                <c:pt idx="0">
                  <c:v>10</c:v>
                </c:pt>
                <c:pt idx="5">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Eventos'!$G$7:$G$12</c:f>
              <c:numCache>
                <c:formatCode>General</c:formatCode>
                <c:ptCount val="6"/>
                <c:pt idx="0">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0">
                  <c:v>LINEA DE TRANSMISION</c:v>
                </c:pt>
                <c:pt idx="1">
                  <c:v>GENERADOR HIDROELÉCTRICO</c:v>
                </c:pt>
                <c:pt idx="2">
                  <c:v>CENTRAL TERMOELÉCTRICA</c:v>
                </c:pt>
                <c:pt idx="3">
                  <c:v>BARRA</c:v>
                </c:pt>
                <c:pt idx="4">
                  <c:v>TRANSFORMADOR 3D</c:v>
                </c:pt>
                <c:pt idx="5">
                  <c:v>TRANSFORMADOR 2D</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generación'!$L$16:$L$19</c:f>
              <c:strCache>
                <c:ptCount val="4"/>
                <c:pt idx="0">
                  <c:v>Central Hidroeléctrica</c:v>
                </c:pt>
                <c:pt idx="1">
                  <c:v>Central Termoeléctrica</c:v>
                </c:pt>
                <c:pt idx="2">
                  <c:v>Central Eólica</c:v>
                </c:pt>
                <c:pt idx="3">
                  <c:v>Central Solar</c:v>
                </c:pt>
              </c:strCache>
            </c:strRef>
          </c:tx>
          <c:spPr>
            <a:solidFill>
              <a:schemeClr val="accent1"/>
            </a:solidFill>
            <a:ln>
              <a:noFill/>
            </a:ln>
            <a:effectLst/>
          </c:spPr>
          <c:invertIfNegative val="0"/>
          <c:dLbls>
            <c:delete val="1"/>
          </c:dLbls>
          <c:cat>
            <c:strRef>
              <c:f>'2. Oferta de generación'!$L$16:$L$19</c:f>
              <c:strCache>
                <c:ptCount val="4"/>
                <c:pt idx="0">
                  <c:v>Central Hidroeléctrica</c:v>
                </c:pt>
                <c:pt idx="1">
                  <c:v>Central Termoeléctrica</c:v>
                </c:pt>
                <c:pt idx="2">
                  <c:v>Central Eólica</c:v>
                </c:pt>
                <c:pt idx="3">
                  <c:v>Central Solar</c:v>
                </c:pt>
              </c:strCache>
            </c:strRef>
          </c:cat>
          <c:val>
            <c:numRef>
              <c:f>'2. Oferta de generación'!$M$16:$M$19</c:f>
              <c:numCache>
                <c:formatCode>General</c:formatCode>
                <c:ptCount val="4"/>
                <c:pt idx="0">
                  <c:v>62.5</c:v>
                </c:pt>
                <c:pt idx="2">
                  <c:v>36.74</c:v>
                </c:pt>
              </c:numCache>
            </c:numRef>
          </c:val>
          <c:extLst>
            <c:ext xmlns:c16="http://schemas.microsoft.com/office/drawing/2014/chart" uri="{C3380CC4-5D6E-409C-BE32-E72D297353CC}">
              <c16:uniqueId val="{00000000-E58B-45F6-AEAD-DAC384E0A069}"/>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2019</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16593.078632462508</c:v>
                </c:pt>
                <c:pt idx="1">
                  <c:v>8618.5820859150026</c:v>
                </c:pt>
                <c:pt idx="2">
                  <c:v>795.12044744499997</c:v>
                </c:pt>
                <c:pt idx="3">
                  <c:v>341.36199789999995</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2020</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16968.109444374997</c:v>
                </c:pt>
                <c:pt idx="1">
                  <c:v>5023.9724376499998</c:v>
                </c:pt>
                <c:pt idx="2">
                  <c:v>800.99519206749994</c:v>
                </c:pt>
                <c:pt idx="3">
                  <c:v>350.62904399749999</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2021</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17295.1478346925</c:v>
                </c:pt>
                <c:pt idx="1">
                  <c:v>8091.8510132299998</c:v>
                </c:pt>
                <c:pt idx="2">
                  <c:v>863.7040409650001</c:v>
                </c:pt>
                <c:pt idx="3">
                  <c:v>374.22773975749999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2021</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17295.1478346925</c:v>
                </c:pt>
                <c:pt idx="1">
                  <c:v>7505.1897904274992</c:v>
                </c:pt>
                <c:pt idx="2">
                  <c:v>333.90736995499998</c:v>
                </c:pt>
                <c:pt idx="3">
                  <c:v>71.650333852499998</c:v>
                </c:pt>
                <c:pt idx="4">
                  <c:v>0</c:v>
                </c:pt>
                <c:pt idx="5">
                  <c:v>12.778767482499999</c:v>
                </c:pt>
                <c:pt idx="6">
                  <c:v>4.2980835649999998</c:v>
                </c:pt>
                <c:pt idx="7">
                  <c:v>0</c:v>
                </c:pt>
                <c:pt idx="8">
                  <c:v>10.244491575</c:v>
                </c:pt>
                <c:pt idx="9">
                  <c:v>112.68767763999999</c:v>
                </c:pt>
                <c:pt idx="10">
                  <c:v>41.094498732500007</c:v>
                </c:pt>
                <c:pt idx="11">
                  <c:v>374.22773975749999</c:v>
                </c:pt>
                <c:pt idx="12">
                  <c:v>863.7040409650001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2020</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16968.109444374997</c:v>
                </c:pt>
                <c:pt idx="1">
                  <c:v>4643.9973746100004</c:v>
                </c:pt>
                <c:pt idx="2">
                  <c:v>227.43830298750001</c:v>
                </c:pt>
                <c:pt idx="3">
                  <c:v>15.849400752499999</c:v>
                </c:pt>
                <c:pt idx="4">
                  <c:v>0</c:v>
                </c:pt>
                <c:pt idx="5">
                  <c:v>0</c:v>
                </c:pt>
                <c:pt idx="6">
                  <c:v>1.2236413724999999</c:v>
                </c:pt>
                <c:pt idx="7">
                  <c:v>0</c:v>
                </c:pt>
                <c:pt idx="8">
                  <c:v>8.0604177100000012</c:v>
                </c:pt>
                <c:pt idx="9">
                  <c:v>106.3829947025</c:v>
                </c:pt>
                <c:pt idx="10">
                  <c:v>21.020305515</c:v>
                </c:pt>
                <c:pt idx="11">
                  <c:v>350.62904399749999</c:v>
                </c:pt>
                <c:pt idx="12">
                  <c:v>800.99519206749994</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2019</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16593.078632462508</c:v>
                </c:pt>
                <c:pt idx="1">
                  <c:v>7996.0885491945328</c:v>
                </c:pt>
                <c:pt idx="2">
                  <c:v>250.84280231499991</c:v>
                </c:pt>
                <c:pt idx="3">
                  <c:v>107.077483865</c:v>
                </c:pt>
                <c:pt idx="4">
                  <c:v>0</c:v>
                </c:pt>
                <c:pt idx="5">
                  <c:v>18.283256609999999</c:v>
                </c:pt>
                <c:pt idx="6">
                  <c:v>41.949142722499985</c:v>
                </c:pt>
                <c:pt idx="7">
                  <c:v>8.9529357500000004E-2</c:v>
                </c:pt>
                <c:pt idx="8">
                  <c:v>96.16921034546877</c:v>
                </c:pt>
                <c:pt idx="9">
                  <c:v>76.464057187500003</c:v>
                </c:pt>
                <c:pt idx="10">
                  <c:v>31.618054317499997</c:v>
                </c:pt>
                <c:pt idx="11">
                  <c:v>341.36199789999995</c:v>
                </c:pt>
                <c:pt idx="12">
                  <c:v>795.12044744499997</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2019</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958.31141548750008</c:v>
                </c:pt>
                <c:pt idx="1">
                  <c:v>795.12044744499997</c:v>
                </c:pt>
                <c:pt idx="2">
                  <c:v>341.36199789999995</c:v>
                </c:pt>
                <c:pt idx="3">
                  <c:v>76.464057187500003</c:v>
                </c:pt>
                <c:pt idx="4">
                  <c:v>31.618054317499997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2020</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1270.3747325024999</c:v>
                </c:pt>
                <c:pt idx="1">
                  <c:v>800.99519206749994</c:v>
                </c:pt>
                <c:pt idx="2">
                  <c:v>350.62904399749999</c:v>
                </c:pt>
                <c:pt idx="3">
                  <c:v>106.3829947025</c:v>
                </c:pt>
                <c:pt idx="4">
                  <c:v>21.020305515</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2021</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1355.7110774300002</c:v>
                </c:pt>
                <c:pt idx="1">
                  <c:v>863.7040409650001</c:v>
                </c:pt>
                <c:pt idx="2">
                  <c:v>374.22773975749999</c:v>
                </c:pt>
                <c:pt idx="3">
                  <c:v>112.68767763999999</c:v>
                </c:pt>
                <c:pt idx="4">
                  <c:v>41.094498732500007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285453272601959E-2"/>
                  <c:y val="-2.117473078470576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8,707%</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4051.7683897099992</c:v>
                </c:pt>
                <c:pt idx="1">
                  <c:v>164.32338348750002</c:v>
                </c:pt>
                <c:pt idx="2">
                  <c:v>134.0867127425</c:v>
                </c:pt>
                <c:pt idx="3">
                  <c:v>54.256861282500005</c:v>
                </c:pt>
                <c:pt idx="4">
                  <c:v>28.032808269999997</c:v>
                </c:pt>
                <c:pt idx="5">
                  <c:v>5.730149074999999</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LAS PIZARRAS</c:v>
                </c:pt>
                <c:pt idx="3">
                  <c:v>C.H. YARUCAYA</c:v>
                </c:pt>
                <c:pt idx="4">
                  <c:v>C.H. ZAÑA</c:v>
                </c:pt>
                <c:pt idx="5">
                  <c:v>C.H. RUCUY</c:v>
                </c:pt>
                <c:pt idx="6">
                  <c:v>C.H. POTRERO</c:v>
                </c:pt>
                <c:pt idx="7">
                  <c:v>C.H. CARHUAC</c:v>
                </c:pt>
                <c:pt idx="8">
                  <c:v>C.H. MANTA I</c:v>
                </c:pt>
                <c:pt idx="9">
                  <c:v>C.H. CARHUAQUERO IV</c:v>
                </c:pt>
                <c:pt idx="10">
                  <c:v>C.H. ÁNGEL III</c:v>
                </c:pt>
                <c:pt idx="11">
                  <c:v>C.H. ÁNGEL II</c:v>
                </c:pt>
                <c:pt idx="12">
                  <c:v>C.H. RUNATULLO III</c:v>
                </c:pt>
                <c:pt idx="13">
                  <c:v>C.H. LA JOYA</c:v>
                </c:pt>
                <c:pt idx="14">
                  <c:v>C.H. 8 DE AGOSTO</c:v>
                </c:pt>
                <c:pt idx="15">
                  <c:v>C.H. ÁNGEL I</c:v>
                </c:pt>
                <c:pt idx="16">
                  <c:v>C.H. RUNATULLO II</c:v>
                </c:pt>
                <c:pt idx="17">
                  <c:v>C.H. CAÑA BRAVA</c:v>
                </c:pt>
                <c:pt idx="18">
                  <c:v>C.H. POECHOS II</c:v>
                </c:pt>
                <c:pt idx="19">
                  <c:v>C.H. EL CARMEN</c:v>
                </c:pt>
                <c:pt idx="20">
                  <c:v>C.H. HUASAHUASI II</c:v>
                </c:pt>
                <c:pt idx="21">
                  <c:v>C.H. HUASAHUASI I</c:v>
                </c:pt>
                <c:pt idx="22">
                  <c:v>C.H. YANAPAMPA</c:v>
                </c:pt>
                <c:pt idx="23">
                  <c:v>C.H. IMPERIAL</c:v>
                </c:pt>
                <c:pt idx="24">
                  <c:v>C.H. CANCHAYLLO</c:v>
                </c:pt>
                <c:pt idx="25">
                  <c:v>C.H. SANTA CRUZ II</c:v>
                </c:pt>
                <c:pt idx="26">
                  <c:v>C.H. SANTA CRUZ I</c:v>
                </c:pt>
                <c:pt idx="27">
                  <c:v>C.H. RONCADOR</c:v>
                </c:pt>
                <c:pt idx="28">
                  <c:v>C.H. PURMACANA</c:v>
                </c:pt>
                <c:pt idx="29">
                  <c:v>C.H. HER 1</c:v>
                </c:pt>
              </c:strCache>
            </c:strRef>
          </c:cat>
          <c:val>
            <c:numRef>
              <c:f>'6. FP RER'!$O$6:$O$35</c:f>
              <c:numCache>
                <c:formatCode>0.00</c:formatCode>
                <c:ptCount val="30"/>
                <c:pt idx="0">
                  <c:v>14.3996138975</c:v>
                </c:pt>
                <c:pt idx="1">
                  <c:v>12.5333137075</c:v>
                </c:pt>
                <c:pt idx="2">
                  <c:v>11.9598513625</c:v>
                </c:pt>
                <c:pt idx="3">
                  <c:v>11.930665569999999</c:v>
                </c:pt>
                <c:pt idx="4">
                  <c:v>9.1583625399999988</c:v>
                </c:pt>
                <c:pt idx="5">
                  <c:v>8.6438365699999995</c:v>
                </c:pt>
                <c:pt idx="6">
                  <c:v>8.2153126424999989</c:v>
                </c:pt>
                <c:pt idx="7">
                  <c:v>8.0713270250000004</c:v>
                </c:pt>
                <c:pt idx="8">
                  <c:v>7.5211444449999991</c:v>
                </c:pt>
                <c:pt idx="9">
                  <c:v>7.0753433150000005</c:v>
                </c:pt>
                <c:pt idx="10">
                  <c:v>6.4038709874999995</c:v>
                </c:pt>
                <c:pt idx="11">
                  <c:v>6.2803986399999996</c:v>
                </c:pt>
                <c:pt idx="12">
                  <c:v>5.9945365975000007</c:v>
                </c:pt>
                <c:pt idx="13">
                  <c:v>5.0253127425000006</c:v>
                </c:pt>
                <c:pt idx="14">
                  <c:v>4.9960477374999996</c:v>
                </c:pt>
                <c:pt idx="15">
                  <c:v>4.6006336350000003</c:v>
                </c:pt>
                <c:pt idx="16">
                  <c:v>4.0218978400000003</c:v>
                </c:pt>
                <c:pt idx="17">
                  <c:v>3.9389684649999999</c:v>
                </c:pt>
                <c:pt idx="18">
                  <c:v>3.7117004625000001</c:v>
                </c:pt>
                <c:pt idx="19">
                  <c:v>3.1466193474999997</c:v>
                </c:pt>
                <c:pt idx="20">
                  <c:v>2.8341035049999999</c:v>
                </c:pt>
                <c:pt idx="21">
                  <c:v>2.6459590500000001</c:v>
                </c:pt>
                <c:pt idx="22">
                  <c:v>2.1523594775000001</c:v>
                </c:pt>
                <c:pt idx="23">
                  <c:v>1.9724000000000002</c:v>
                </c:pt>
                <c:pt idx="24">
                  <c:v>1.8214101550000001</c:v>
                </c:pt>
                <c:pt idx="25">
                  <c:v>1.8117487875</c:v>
                </c:pt>
                <c:pt idx="26">
                  <c:v>1.5141621674999999</c:v>
                </c:pt>
                <c:pt idx="27">
                  <c:v>1.3921643050000001</c:v>
                </c:pt>
                <c:pt idx="28">
                  <c:v>0.30371019999999999</c:v>
                </c:pt>
                <c:pt idx="29">
                  <c:v>0.24660831</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LAS PIZARRAS</c:v>
                </c:pt>
                <c:pt idx="3">
                  <c:v>C.H. YARUCAYA</c:v>
                </c:pt>
                <c:pt idx="4">
                  <c:v>C.H. ZAÑA</c:v>
                </c:pt>
                <c:pt idx="5">
                  <c:v>C.H. RUCUY</c:v>
                </c:pt>
                <c:pt idx="6">
                  <c:v>C.H. POTRERO</c:v>
                </c:pt>
                <c:pt idx="7">
                  <c:v>C.H. CARHUAC</c:v>
                </c:pt>
                <c:pt idx="8">
                  <c:v>C.H. MANTA I</c:v>
                </c:pt>
                <c:pt idx="9">
                  <c:v>C.H. CARHUAQUERO IV</c:v>
                </c:pt>
                <c:pt idx="10">
                  <c:v>C.H. ÁNGEL III</c:v>
                </c:pt>
                <c:pt idx="11">
                  <c:v>C.H. ÁNGEL II</c:v>
                </c:pt>
                <c:pt idx="12">
                  <c:v>C.H. RUNATULLO III</c:v>
                </c:pt>
                <c:pt idx="13">
                  <c:v>C.H. LA JOYA</c:v>
                </c:pt>
                <c:pt idx="14">
                  <c:v>C.H. 8 DE AGOSTO</c:v>
                </c:pt>
                <c:pt idx="15">
                  <c:v>C.H. ÁNGEL I</c:v>
                </c:pt>
                <c:pt idx="16">
                  <c:v>C.H. RUNATULLO II</c:v>
                </c:pt>
                <c:pt idx="17">
                  <c:v>C.H. CAÑA BRAVA</c:v>
                </c:pt>
                <c:pt idx="18">
                  <c:v>C.H. POECHOS II</c:v>
                </c:pt>
                <c:pt idx="19">
                  <c:v>C.H. EL CARMEN</c:v>
                </c:pt>
                <c:pt idx="20">
                  <c:v>C.H. HUASAHUASI II</c:v>
                </c:pt>
                <c:pt idx="21">
                  <c:v>C.H. HUASAHUASI I</c:v>
                </c:pt>
                <c:pt idx="22">
                  <c:v>C.H. YANAPAMPA</c:v>
                </c:pt>
                <c:pt idx="23">
                  <c:v>C.H. IMPERIAL</c:v>
                </c:pt>
                <c:pt idx="24">
                  <c:v>C.H. CANCHAYLLO</c:v>
                </c:pt>
                <c:pt idx="25">
                  <c:v>C.H. SANTA CRUZ II</c:v>
                </c:pt>
                <c:pt idx="26">
                  <c:v>C.H. SANTA CRUZ I</c:v>
                </c:pt>
                <c:pt idx="27">
                  <c:v>C.H. RONCADOR</c:v>
                </c:pt>
                <c:pt idx="28">
                  <c:v>C.H. PURMACANA</c:v>
                </c:pt>
                <c:pt idx="29">
                  <c:v>C.H. HER 1</c:v>
                </c:pt>
              </c:strCache>
            </c:strRef>
          </c:cat>
          <c:val>
            <c:numRef>
              <c:f>'6. FP RER'!$P$6:$P$35</c:f>
              <c:numCache>
                <c:formatCode>0.00</c:formatCode>
                <c:ptCount val="30"/>
                <c:pt idx="0">
                  <c:v>0.98721345344066824</c:v>
                </c:pt>
                <c:pt idx="1">
                  <c:v>0.84229258786962358</c:v>
                </c:pt>
                <c:pt idx="2">
                  <c:v>0.83726498271404359</c:v>
                </c:pt>
                <c:pt idx="3">
                  <c:v>1.069056054659498</c:v>
                </c:pt>
                <c:pt idx="4">
                  <c:v>0.93467175929327806</c:v>
                </c:pt>
                <c:pt idx="5">
                  <c:v>0.58090299529569889</c:v>
                </c:pt>
                <c:pt idx="6">
                  <c:v>0.55487873794375098</c:v>
                </c:pt>
                <c:pt idx="7">
                  <c:v>0.54242789146505377</c:v>
                </c:pt>
                <c:pt idx="8">
                  <c:v>0.50545325571236555</c:v>
                </c:pt>
                <c:pt idx="9">
                  <c:v>0.95260643564489733</c:v>
                </c:pt>
                <c:pt idx="10">
                  <c:v>0.42865306164455086</c:v>
                </c:pt>
                <c:pt idx="11">
                  <c:v>0.42249229336863747</c:v>
                </c:pt>
                <c:pt idx="12">
                  <c:v>0.4035446682411174</c:v>
                </c:pt>
                <c:pt idx="13">
                  <c:v>0.744702603184906</c:v>
                </c:pt>
                <c:pt idx="14">
                  <c:v>0.32629338808295977</c:v>
                </c:pt>
                <c:pt idx="15">
                  <c:v>0.30841133959456196</c:v>
                </c:pt>
                <c:pt idx="16">
                  <c:v>0.27073554698586005</c:v>
                </c:pt>
                <c:pt idx="17">
                  <c:v>0.93374117336102114</c:v>
                </c:pt>
                <c:pt idx="18">
                  <c:v>0.52151836793448569</c:v>
                </c:pt>
                <c:pt idx="19">
                  <c:v>0.49292856409943092</c:v>
                </c:pt>
                <c:pt idx="20">
                  <c:v>0.38230418552487883</c:v>
                </c:pt>
                <c:pt idx="21">
                  <c:v>0.36105548960209599</c:v>
                </c:pt>
                <c:pt idx="22">
                  <c:v>0.73871326792035297</c:v>
                </c:pt>
                <c:pt idx="23">
                  <c:v>0.66878790837971858</c:v>
                </c:pt>
                <c:pt idx="24">
                  <c:v>0.47179262454489129</c:v>
                </c:pt>
                <c:pt idx="25">
                  <c:v>0.32800999727344615</c:v>
                </c:pt>
                <c:pt idx="26">
                  <c:v>0.2924926995730141</c:v>
                </c:pt>
                <c:pt idx="27">
                  <c:v>0.53769786838771483</c:v>
                </c:pt>
                <c:pt idx="28">
                  <c:v>0.23816373069346683</c:v>
                </c:pt>
                <c:pt idx="29">
                  <c:v>0.47351826036866362</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5" Type="http://schemas.openxmlformats.org/officeDocument/2006/relationships/image" Target="../media/image4.png"/><Relationship Id="rId4" Type="http://schemas.openxmlformats.org/officeDocument/2006/relationships/image" Target="../media/image3.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image" Target="../media/image5.png"/></Relationships>
</file>

<file path=xl/drawings/_rels/drawing18.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julio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2021</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Junio 2021</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INFSGI-MES-06-2021</a:t>
          </a:r>
        </a:p>
        <a:p>
          <a:pPr algn="r" fontAlgn="auto"/>
          <a:r>
            <a:rPr lang="es-PE" sz="1100" b="1">
              <a:solidFill>
                <a:schemeClr val="dk1"/>
              </a:solidFill>
              <a:effectLst/>
              <a:latin typeface="+mn-lt"/>
              <a:ea typeface="+mn-ea"/>
              <a:cs typeface="+mn-cs"/>
            </a:rPr>
            <a:t>Versión:01</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202447</xdr:colOff>
      <xdr:row>4</xdr:row>
      <xdr:rowOff>95948</xdr:rowOff>
    </xdr:from>
    <xdr:to>
      <xdr:col>9</xdr:col>
      <xdr:colOff>579120</xdr:colOff>
      <xdr:row>66</xdr:row>
      <xdr:rowOff>43401</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33512</xdr:colOff>
      <xdr:row>18</xdr:row>
      <xdr:rowOff>86856</xdr:rowOff>
    </xdr:from>
    <xdr:to>
      <xdr:col>11</xdr:col>
      <xdr:colOff>405911</xdr:colOff>
      <xdr:row>37</xdr:row>
      <xdr:rowOff>58999</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42</xdr:row>
      <xdr:rowOff>33131</xdr:rowOff>
    </xdr:from>
    <xdr:to>
      <xdr:col>11</xdr:col>
      <xdr:colOff>456125</xdr:colOff>
      <xdr:row>63</xdr:row>
      <xdr:rowOff>39757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28966</xdr:colOff>
      <xdr:row>44</xdr:row>
      <xdr:rowOff>4733</xdr:rowOff>
    </xdr:from>
    <xdr:to>
      <xdr:col>0</xdr:col>
      <xdr:colOff>479462</xdr:colOff>
      <xdr:row>45</xdr:row>
      <xdr:rowOff>37863</xdr:rowOff>
    </xdr:to>
    <xdr:pic>
      <xdr:nvPicPr>
        <xdr:cNvPr id="8" name="Imagen 7">
          <a:extLst>
            <a:ext uri="{FF2B5EF4-FFF2-40B4-BE49-F238E27FC236}">
              <a16:creationId xmlns:a16="http://schemas.microsoft.com/office/drawing/2014/main" id="{4882DBF1-45EE-4715-9F00-962D9D770CC8}"/>
            </a:ext>
          </a:extLst>
        </xdr:cNvPr>
        <xdr:cNvPicPr>
          <a:picLocks noChangeAspect="1"/>
        </xdr:cNvPicPr>
      </xdr:nvPicPr>
      <xdr:blipFill rotWithShape="1">
        <a:blip xmlns:r="http://schemas.openxmlformats.org/officeDocument/2006/relationships" r:embed="rId4"/>
        <a:srcRect t="6920" r="30642" b="22251"/>
        <a:stretch/>
      </xdr:blipFill>
      <xdr:spPr>
        <a:xfrm>
          <a:off x="28966" y="6135567"/>
          <a:ext cx="450496" cy="172467"/>
        </a:xfrm>
        <a:prstGeom prst="rect">
          <a:avLst/>
        </a:prstGeom>
      </xdr:spPr>
    </xdr:pic>
    <xdr:clientData/>
  </xdr:twoCellAnchor>
  <xdr:twoCellAnchor editAs="oneCell">
    <xdr:from>
      <xdr:col>10</xdr:col>
      <xdr:colOff>384313</xdr:colOff>
      <xdr:row>44</xdr:row>
      <xdr:rowOff>33132</xdr:rowOff>
    </xdr:from>
    <xdr:to>
      <xdr:col>11</xdr:col>
      <xdr:colOff>430696</xdr:colOff>
      <xdr:row>45</xdr:row>
      <xdr:rowOff>87959</xdr:rowOff>
    </xdr:to>
    <xdr:pic>
      <xdr:nvPicPr>
        <xdr:cNvPr id="9" name="Imagen 8">
          <a:extLst>
            <a:ext uri="{FF2B5EF4-FFF2-40B4-BE49-F238E27FC236}">
              <a16:creationId xmlns:a16="http://schemas.microsoft.com/office/drawing/2014/main" id="{3281463D-A6ED-4D53-8549-9BC388D6C639}"/>
            </a:ext>
          </a:extLst>
        </xdr:cNvPr>
        <xdr:cNvPicPr>
          <a:picLocks noChangeAspect="1"/>
        </xdr:cNvPicPr>
      </xdr:nvPicPr>
      <xdr:blipFill rotWithShape="1">
        <a:blip xmlns:r="http://schemas.openxmlformats.org/officeDocument/2006/relationships" r:embed="rId5"/>
        <a:srcRect l="19539" t="6106" r="931" b="18180"/>
        <a:stretch/>
      </xdr:blipFill>
      <xdr:spPr>
        <a:xfrm>
          <a:off x="5353878" y="6155636"/>
          <a:ext cx="543340" cy="193975"/>
        </a:xfrm>
        <a:prstGeom prst="rect">
          <a:avLst/>
        </a:prstGeom>
      </xdr:spPr>
    </xdr:pic>
    <xdr:clientData/>
  </xdr:twoCellAnchor>
</xdr:wsDr>
</file>

<file path=xl/drawings/drawing15.xml><?xml version="1.0" encoding="utf-8"?>
<c:userShapes xmlns:c="http://schemas.openxmlformats.org/drawingml/2006/chart">
  <cdr:relSizeAnchor xmlns:cdr="http://schemas.openxmlformats.org/drawingml/2006/chartDrawing">
    <cdr:from>
      <cdr:x>0.86868</cdr:x>
      <cdr:y>0.03927</cdr:y>
    </cdr:from>
    <cdr:to>
      <cdr:x>1</cdr:x>
      <cdr:y>0.12635</cdr:y>
    </cdr:to>
    <cdr:sp macro="" textlink="">
      <cdr:nvSpPr>
        <cdr:cNvPr id="2" name="Rectángulo 1">
          <a:extLst xmlns:a="http://schemas.openxmlformats.org/drawingml/2006/main">
            <a:ext uri="{FF2B5EF4-FFF2-40B4-BE49-F238E27FC236}">
              <a16:creationId xmlns:a16="http://schemas.microsoft.com/office/drawing/2014/main" id="{05201A63-3E27-4865-8529-055AA80ED9A6}"/>
            </a:ext>
          </a:extLst>
        </cdr:cNvPr>
        <cdr:cNvSpPr/>
      </cdr:nvSpPr>
      <cdr:spPr>
        <a:xfrm xmlns:a="http://schemas.openxmlformats.org/drawingml/2006/main">
          <a:off x="5157078" y="103103"/>
          <a:ext cx="779585" cy="2286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r"/>
          <a:r>
            <a:rPr lang="es-PE" sz="700" b="1">
              <a:solidFill>
                <a:schemeClr val="tx1"/>
              </a:solidFill>
              <a:latin typeface="Arial" panose="020B0604020202020204" pitchFamily="34" charset="0"/>
              <a:cs typeface="Arial" panose="020B0604020202020204" pitchFamily="34" charset="0"/>
            </a:rPr>
            <a:t>m3/s</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8185</xdr:colOff>
      <xdr:row>2</xdr:row>
      <xdr:rowOff>29864</xdr:rowOff>
    </xdr:from>
    <xdr:to>
      <xdr:col>11</xdr:col>
      <xdr:colOff>555033</xdr:colOff>
      <xdr:row>61</xdr:row>
      <xdr:rowOff>81508</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8185" y="492319"/>
          <a:ext cx="6443151" cy="8491451"/>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(13,74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(13,71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(14,15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(13,62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(13,76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(13,81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(14,4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(13,26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(14,19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(13,72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(13,27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(13,34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(13,02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(14,75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(13,07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(13,07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(13,25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(14,19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107044</xdr:colOff>
      <xdr:row>18</xdr:row>
      <xdr:rowOff>25512</xdr:rowOff>
    </xdr:from>
    <xdr:to>
      <xdr:col>7</xdr:col>
      <xdr:colOff>411112</xdr:colOff>
      <xdr:row>47</xdr:row>
      <xdr:rowOff>143934</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221674</xdr:colOff>
      <xdr:row>18</xdr:row>
      <xdr:rowOff>7253</xdr:rowOff>
    </xdr:from>
    <xdr:to>
      <xdr:col>3</xdr:col>
      <xdr:colOff>333346</xdr:colOff>
      <xdr:row>33</xdr:row>
      <xdr:rowOff>23676</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17</xdr:row>
      <xdr:rowOff>54428</xdr:rowOff>
    </xdr:from>
    <xdr:to>
      <xdr:col>9</xdr:col>
      <xdr:colOff>571499</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443424</xdr:colOff>
      <xdr:row>19</xdr:row>
      <xdr:rowOff>112394</xdr:rowOff>
    </xdr:from>
    <xdr:to>
      <xdr:col>13</xdr:col>
      <xdr:colOff>96818</xdr:colOff>
      <xdr:row>44</xdr:row>
      <xdr:rowOff>2931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32</xdr:row>
      <xdr:rowOff>43543</xdr:rowOff>
    </xdr:from>
    <xdr:to>
      <xdr:col>9</xdr:col>
      <xdr:colOff>581525</xdr:colOff>
      <xdr:row>44</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12</xdr:row>
      <xdr:rowOff>9525</xdr:rowOff>
    </xdr:from>
    <xdr:to>
      <xdr:col>9</xdr:col>
      <xdr:colOff>104774</xdr:colOff>
      <xdr:row>21</xdr:row>
      <xdr:rowOff>104775</xdr:rowOff>
    </xdr:to>
    <xdr:graphicFrame macro="">
      <xdr:nvGraphicFramePr>
        <xdr:cNvPr id="3" name="Chart 2">
          <a:extLst>
            <a:ext uri="{FF2B5EF4-FFF2-40B4-BE49-F238E27FC236}">
              <a16:creationId xmlns:a16="http://schemas.microsoft.com/office/drawing/2014/main" id="{F1C1C063-08B3-4853-A9FD-8FBE19720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18</xdr:row>
      <xdr:rowOff>135503</xdr:rowOff>
    </xdr:from>
    <xdr:to>
      <xdr:col>10</xdr:col>
      <xdr:colOff>365759</xdr:colOff>
      <xdr:row>53</xdr:row>
      <xdr:rowOff>125577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32</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27</xdr:row>
      <xdr:rowOff>39757</xdr:rowOff>
    </xdr:from>
    <xdr:to>
      <xdr:col>10</xdr:col>
      <xdr:colOff>546462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26277</xdr:rowOff>
    </xdr:from>
    <xdr:to>
      <xdr:col>9</xdr:col>
      <xdr:colOff>479534</xdr:colOff>
      <xdr:row>66</xdr:row>
      <xdr:rowOff>106680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70" zoomScaleNormal="70" zoomScaleSheetLayoutView="70" zoomScalePageLayoutView="115" workbookViewId="0">
      <selection activeCell="P57" sqref="P57"/>
    </sheetView>
  </sheetViews>
  <sheetFormatPr baseColWidth="10" defaultColWidth="9.28515625" defaultRowHeight="10.199999999999999"/>
  <cols>
    <col min="9" max="9" width="14.7109375" customWidth="1"/>
    <col min="11" max="11" width="13.85546875" customWidth="1"/>
    <col min="12" max="12" width="20.42578125" customWidth="1"/>
  </cols>
  <sheetData>
    <row r="11" spans="9:9" ht="15.6">
      <c r="I11" s="364"/>
    </row>
    <row r="12" spans="9:9" ht="15.6">
      <c r="I12" s="364"/>
    </row>
    <row r="13" spans="9:9" ht="15.6">
      <c r="I13" s="364"/>
    </row>
    <row r="14" spans="9:9" ht="15.6">
      <c r="I14" s="364"/>
    </row>
    <row r="15" spans="9:9" ht="15.6">
      <c r="I15" s="364"/>
    </row>
  </sheetData>
  <pageMargins left="0.59055118110236227" right="0.39370078740157483" top="0.55000000000000004" bottom="0.62992125984251968" header="0.31496062992125984" footer="0.31496062992125984"/>
  <pageSetup paperSize="9" scale="88" orientation="portrait" r:id="rId1"/>
  <headerFooter>
    <oddFooter>&amp;LCOES, 2021&amp;RDirección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workbookViewId="0">
      <selection activeCell="G9" sqref="G9"/>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8" width="10" customWidth="1"/>
    <col min="9" max="9" width="9.7109375" customWidth="1"/>
    <col min="10" max="10" width="10.28515625" customWidth="1"/>
    <col min="11" max="11" width="8.42578125" customWidth="1"/>
  </cols>
  <sheetData>
    <row r="1" spans="1:12" ht="11.25" customHeight="1"/>
    <row r="2" spans="1:12" ht="18.75" customHeight="1">
      <c r="A2" s="860" t="s">
        <v>244</v>
      </c>
      <c r="B2" s="860"/>
      <c r="C2" s="860"/>
      <c r="D2" s="860"/>
      <c r="E2" s="860"/>
      <c r="F2" s="860"/>
      <c r="G2" s="860"/>
      <c r="H2" s="860"/>
      <c r="I2" s="860"/>
      <c r="J2" s="860"/>
      <c r="K2" s="860"/>
    </row>
    <row r="3" spans="1:12" ht="11.25" customHeight="1">
      <c r="A3" s="17"/>
      <c r="B3" s="17"/>
      <c r="C3" s="17"/>
      <c r="D3" s="17"/>
      <c r="E3" s="17"/>
      <c r="F3" s="17"/>
      <c r="G3" s="17"/>
      <c r="H3" s="17"/>
      <c r="I3" s="17"/>
      <c r="J3" s="17"/>
      <c r="K3" s="17"/>
      <c r="L3" s="36"/>
    </row>
    <row r="4" spans="1:12" ht="11.25" customHeight="1">
      <c r="A4" s="861" t="s">
        <v>380</v>
      </c>
      <c r="B4" s="861"/>
      <c r="C4" s="861"/>
      <c r="D4" s="861"/>
      <c r="E4" s="861"/>
      <c r="F4" s="861"/>
      <c r="G4" s="861"/>
      <c r="H4" s="861"/>
      <c r="I4" s="861"/>
      <c r="J4" s="861"/>
      <c r="K4" s="861"/>
      <c r="L4" s="36"/>
    </row>
    <row r="5" spans="1:12" ht="11.25" customHeight="1">
      <c r="A5" s="17"/>
      <c r="B5" s="67"/>
      <c r="C5" s="68"/>
      <c r="D5" s="69"/>
      <c r="E5" s="69"/>
      <c r="F5" s="69"/>
      <c r="G5" s="69"/>
      <c r="H5" s="70"/>
      <c r="I5" s="66"/>
      <c r="J5" s="66"/>
      <c r="K5" s="71"/>
      <c r="L5" s="8"/>
    </row>
    <row r="6" spans="1:12" ht="12.75" customHeight="1">
      <c r="A6" s="867" t="s">
        <v>212</v>
      </c>
      <c r="B6" s="862" t="s">
        <v>247</v>
      </c>
      <c r="C6" s="863"/>
      <c r="D6" s="863"/>
      <c r="E6" s="863" t="s">
        <v>34</v>
      </c>
      <c r="F6" s="863"/>
      <c r="G6" s="864" t="s">
        <v>246</v>
      </c>
      <c r="H6" s="864"/>
      <c r="I6" s="864"/>
      <c r="J6" s="864"/>
      <c r="K6" s="864"/>
      <c r="L6" s="15"/>
    </row>
    <row r="7" spans="1:12" ht="12.75" customHeight="1">
      <c r="A7" s="867"/>
      <c r="B7" s="457">
        <v>44309.78125</v>
      </c>
      <c r="C7" s="457">
        <v>44342.75</v>
      </c>
      <c r="D7" s="457">
        <v>44371.875</v>
      </c>
      <c r="E7" s="457">
        <v>44011.8125</v>
      </c>
      <c r="F7" s="865" t="s">
        <v>120</v>
      </c>
      <c r="G7" s="616">
        <v>2021</v>
      </c>
      <c r="H7" s="616">
        <v>2020</v>
      </c>
      <c r="I7" s="865" t="s">
        <v>498</v>
      </c>
      <c r="J7" s="616">
        <v>2019</v>
      </c>
      <c r="K7" s="865" t="s">
        <v>458</v>
      </c>
      <c r="L7" s="13"/>
    </row>
    <row r="8" spans="1:12" ht="12.75" customHeight="1">
      <c r="A8" s="867"/>
      <c r="B8" s="458">
        <v>44309.78125</v>
      </c>
      <c r="C8" s="458">
        <v>44342.75</v>
      </c>
      <c r="D8" s="458">
        <v>44371.875</v>
      </c>
      <c r="E8" s="458">
        <v>44011.8125</v>
      </c>
      <c r="F8" s="866"/>
      <c r="G8" s="459">
        <v>44204.822916666664</v>
      </c>
      <c r="H8" s="459">
        <v>43854.8125</v>
      </c>
      <c r="I8" s="866"/>
      <c r="J8" s="459">
        <v>43494.833333333336</v>
      </c>
      <c r="K8" s="866"/>
      <c r="L8" s="14"/>
    </row>
    <row r="9" spans="1:12" ht="12.75" customHeight="1">
      <c r="A9" s="867"/>
      <c r="B9" s="460">
        <v>44309.78125</v>
      </c>
      <c r="C9" s="460">
        <v>44342.75</v>
      </c>
      <c r="D9" s="460">
        <v>44371.875</v>
      </c>
      <c r="E9" s="460">
        <v>44011.8125</v>
      </c>
      <c r="F9" s="866"/>
      <c r="G9" s="461">
        <v>44204.822916666664</v>
      </c>
      <c r="H9" s="461">
        <v>43854.8125</v>
      </c>
      <c r="I9" s="866"/>
      <c r="J9" s="461">
        <v>43494.833333333336</v>
      </c>
      <c r="K9" s="866"/>
      <c r="L9" s="14"/>
    </row>
    <row r="10" spans="1:12" ht="12.75" customHeight="1">
      <c r="A10" s="462" t="s">
        <v>36</v>
      </c>
      <c r="B10" s="463">
        <v>4166.2018100000014</v>
      </c>
      <c r="C10" s="464">
        <v>3942.3593100000007</v>
      </c>
      <c r="D10" s="465">
        <v>3253.2329099999993</v>
      </c>
      <c r="E10" s="463">
        <v>3418.7987400000006</v>
      </c>
      <c r="F10" s="466">
        <f>+IF(E10=0,"",D10/E10-1)</f>
        <v>-4.8428071551237739E-2</v>
      </c>
      <c r="G10" s="463">
        <v>4594.55105</v>
      </c>
      <c r="H10" s="464">
        <v>4614.2048799999993</v>
      </c>
      <c r="I10" s="466">
        <f>+IF(H10=0,"",G10/H10-1)</f>
        <v>-4.2594185804769591E-3</v>
      </c>
      <c r="J10" s="463">
        <v>4587.9101300000002</v>
      </c>
      <c r="K10" s="466">
        <f t="shared" ref="K10:K18" si="0">+IF(J10=0,"",H10/J10-1)</f>
        <v>5.7313132243066445E-3</v>
      </c>
      <c r="L10" s="14"/>
    </row>
    <row r="11" spans="1:12" ht="12.75" customHeight="1">
      <c r="A11" s="467" t="s">
        <v>37</v>
      </c>
      <c r="B11" s="468">
        <v>2587.1141699999998</v>
      </c>
      <c r="C11" s="469">
        <v>2699.0438099999997</v>
      </c>
      <c r="D11" s="470">
        <v>3361.2986999999998</v>
      </c>
      <c r="E11" s="468">
        <v>2303.9215900000004</v>
      </c>
      <c r="F11" s="471">
        <f>+IF(E11=0,"",D11/E11-1)</f>
        <v>0.45894665625317543</v>
      </c>
      <c r="G11" s="468">
        <v>2012.4400399999995</v>
      </c>
      <c r="H11" s="469">
        <v>2307.6013599999997</v>
      </c>
      <c r="I11" s="471">
        <f>+IF(H11=0,"",G11/H11-1)</f>
        <v>-0.12790827961723861</v>
      </c>
      <c r="J11" s="468">
        <v>2159.8880899999999</v>
      </c>
      <c r="K11" s="471">
        <f>+IF(J11=0,"",H11/J11-1)</f>
        <v>6.8389316411296086E-2</v>
      </c>
      <c r="L11" s="14"/>
    </row>
    <row r="12" spans="1:12" ht="12.75" customHeight="1">
      <c r="A12" s="472" t="s">
        <v>38</v>
      </c>
      <c r="B12" s="473">
        <v>0</v>
      </c>
      <c r="C12" s="474">
        <v>188.69861</v>
      </c>
      <c r="D12" s="475">
        <v>289.30723999999998</v>
      </c>
      <c r="E12" s="473">
        <v>340.21674000000002</v>
      </c>
      <c r="F12" s="476">
        <f>+IF(E12=0,"",D12/E12-1)</f>
        <v>-0.14963843342923111</v>
      </c>
      <c r="G12" s="473">
        <v>302.64609999999999</v>
      </c>
      <c r="H12" s="474">
        <v>148.82196999999999</v>
      </c>
      <c r="I12" s="476">
        <f>+IF(H12=0,"",G12/H12-1)</f>
        <v>1.0336117039708586</v>
      </c>
      <c r="J12" s="473">
        <v>128.49421999999998</v>
      </c>
      <c r="K12" s="476">
        <f>+IF(J12=0,"",H12/J12-1)</f>
        <v>0.15819972291360673</v>
      </c>
      <c r="L12" s="13"/>
    </row>
    <row r="13" spans="1:12" ht="12.75" customHeight="1">
      <c r="A13" s="477" t="s">
        <v>30</v>
      </c>
      <c r="B13" s="478">
        <v>9.7912999999999997</v>
      </c>
      <c r="C13" s="479">
        <v>0</v>
      </c>
      <c r="D13" s="480">
        <v>0</v>
      </c>
      <c r="E13" s="478">
        <v>0</v>
      </c>
      <c r="F13" s="481" t="str">
        <f>+IF(E13=0,"",D13/E13-1)</f>
        <v/>
      </c>
      <c r="G13" s="478">
        <v>0</v>
      </c>
      <c r="H13" s="479">
        <v>0</v>
      </c>
      <c r="I13" s="481" t="str">
        <f>+IF(H13=0,"",G13/H13-1)</f>
        <v/>
      </c>
      <c r="J13" s="478">
        <v>0</v>
      </c>
      <c r="K13" s="481" t="str">
        <f t="shared" si="0"/>
        <v/>
      </c>
      <c r="L13" s="14"/>
    </row>
    <row r="14" spans="1:12" ht="12.75" customHeight="1">
      <c r="A14" s="482" t="s">
        <v>42</v>
      </c>
      <c r="B14" s="453">
        <f>+SUM(B10:B13)</f>
        <v>6763.1072800000011</v>
      </c>
      <c r="C14" s="454">
        <f t="shared" ref="C14:J14" si="1">+SUM(C10:C13)</f>
        <v>6830.1017300000012</v>
      </c>
      <c r="D14" s="455">
        <f t="shared" si="1"/>
        <v>6903.8388499999992</v>
      </c>
      <c r="E14" s="453">
        <f t="shared" si="1"/>
        <v>6062.9370700000009</v>
      </c>
      <c r="F14" s="509">
        <f>+IF(E14=0,"",D14/E14-1)</f>
        <v>0.13869544913485266</v>
      </c>
      <c r="G14" s="506">
        <f t="shared" si="1"/>
        <v>6909.6371899999995</v>
      </c>
      <c r="H14" s="454">
        <f t="shared" si="1"/>
        <v>7070.6282099999989</v>
      </c>
      <c r="I14" s="509">
        <f>+IF(H14=0,"",G14/H14-1)</f>
        <v>-2.2768983917484165E-2</v>
      </c>
      <c r="J14" s="453">
        <f t="shared" si="1"/>
        <v>6876.2924400000002</v>
      </c>
      <c r="K14" s="509">
        <f>+IF(J14=0,"",H14/J14-1)</f>
        <v>2.8261708136426922E-2</v>
      </c>
      <c r="L14" s="14"/>
    </row>
    <row r="15" spans="1:12" ht="6.75" customHeight="1">
      <c r="A15" s="483"/>
      <c r="B15" s="483"/>
      <c r="C15" s="483"/>
      <c r="D15" s="483"/>
      <c r="E15" s="483"/>
      <c r="F15" s="484"/>
      <c r="G15" s="483"/>
      <c r="H15" s="483"/>
      <c r="I15" s="484"/>
      <c r="J15" s="483"/>
      <c r="K15" s="484"/>
      <c r="L15" s="14"/>
    </row>
    <row r="16" spans="1:12" ht="12.75" customHeight="1">
      <c r="A16" s="485" t="s">
        <v>39</v>
      </c>
      <c r="B16" s="486">
        <v>45.744999999999997</v>
      </c>
      <c r="C16" s="487">
        <v>39.607999999999997</v>
      </c>
      <c r="D16" s="488">
        <v>0</v>
      </c>
      <c r="E16" s="486">
        <v>38.844000000000001</v>
      </c>
      <c r="F16" s="488">
        <v>0</v>
      </c>
      <c r="G16" s="486">
        <v>0</v>
      </c>
      <c r="H16" s="487">
        <v>0</v>
      </c>
      <c r="I16" s="488">
        <v>0</v>
      </c>
      <c r="J16" s="486">
        <v>0</v>
      </c>
      <c r="K16" s="489" t="str">
        <f t="shared" si="0"/>
        <v/>
      </c>
      <c r="L16" s="15"/>
    </row>
    <row r="17" spans="1:12" ht="12.75" customHeight="1">
      <c r="A17" s="490" t="s">
        <v>40</v>
      </c>
      <c r="B17" s="491">
        <v>0</v>
      </c>
      <c r="C17" s="492">
        <v>0</v>
      </c>
      <c r="D17" s="493">
        <v>0</v>
      </c>
      <c r="E17" s="491">
        <v>0</v>
      </c>
      <c r="F17" s="493">
        <v>0</v>
      </c>
      <c r="G17" s="491">
        <v>0</v>
      </c>
      <c r="H17" s="492">
        <v>0</v>
      </c>
      <c r="I17" s="493">
        <v>0</v>
      </c>
      <c r="J17" s="491">
        <v>0</v>
      </c>
      <c r="K17" s="494" t="str">
        <f t="shared" si="0"/>
        <v/>
      </c>
      <c r="L17" s="15"/>
    </row>
    <row r="18" spans="1:12" ht="24" customHeight="1">
      <c r="A18" s="495" t="s">
        <v>41</v>
      </c>
      <c r="B18" s="496">
        <f t="shared" ref="B18:J18" si="2">+B17-B16</f>
        <v>-45.744999999999997</v>
      </c>
      <c r="C18" s="497">
        <f t="shared" si="2"/>
        <v>-39.607999999999997</v>
      </c>
      <c r="D18" s="498">
        <f t="shared" si="2"/>
        <v>0</v>
      </c>
      <c r="E18" s="496">
        <f t="shared" si="2"/>
        <v>-38.844000000000001</v>
      </c>
      <c r="F18" s="498">
        <f t="shared" si="2"/>
        <v>0</v>
      </c>
      <c r="G18" s="496">
        <f t="shared" si="2"/>
        <v>0</v>
      </c>
      <c r="H18" s="497">
        <f t="shared" si="2"/>
        <v>0</v>
      </c>
      <c r="I18" s="498">
        <f t="shared" si="2"/>
        <v>0</v>
      </c>
      <c r="J18" s="496">
        <f t="shared" si="2"/>
        <v>0</v>
      </c>
      <c r="K18" s="499" t="str">
        <f t="shared" si="0"/>
        <v/>
      </c>
      <c r="L18" s="15"/>
    </row>
    <row r="19" spans="1:12" ht="6" customHeight="1">
      <c r="A19" s="500"/>
      <c r="B19" s="500"/>
      <c r="C19" s="500"/>
      <c r="D19" s="500"/>
      <c r="E19" s="500"/>
      <c r="F19" s="501"/>
      <c r="G19" s="500"/>
      <c r="H19" s="500"/>
      <c r="I19" s="501"/>
      <c r="J19" s="500"/>
      <c r="K19" s="501"/>
      <c r="L19" s="15"/>
    </row>
    <row r="20" spans="1:12" ht="24" customHeight="1">
      <c r="A20" s="502" t="s">
        <v>245</v>
      </c>
      <c r="B20" s="503">
        <f>+B14-B18</f>
        <v>6808.852280000001</v>
      </c>
      <c r="C20" s="504">
        <f t="shared" ref="C20" si="3">+C14-C18</f>
        <v>6869.7097300000014</v>
      </c>
      <c r="D20" s="505">
        <f>+D14-D18</f>
        <v>6903.8388499999992</v>
      </c>
      <c r="E20" s="503">
        <f>+E14-E18</f>
        <v>6101.7810700000009</v>
      </c>
      <c r="F20" s="456">
        <f>+IF(E20=0,"",D20/E20-1)</f>
        <v>0.13144650238983391</v>
      </c>
      <c r="G20" s="580">
        <f>+G14-G18</f>
        <v>6909.6371899999995</v>
      </c>
      <c r="H20" s="503">
        <f>+H14-H18</f>
        <v>7070.6282099999989</v>
      </c>
      <c r="I20" s="456">
        <f>+IF(H20=0,"",G20/H20-1)</f>
        <v>-2.2768983917484165E-2</v>
      </c>
      <c r="J20" s="503">
        <f>+J14-J18</f>
        <v>6876.2924400000002</v>
      </c>
      <c r="K20" s="456">
        <f>+IF(J20=0,"",H20/J20-1)</f>
        <v>2.8261708136426922E-2</v>
      </c>
      <c r="L20" s="15"/>
    </row>
    <row r="21" spans="1:12" ht="11.25" customHeight="1">
      <c r="A21" s="261" t="s">
        <v>402</v>
      </c>
      <c r="B21" s="138"/>
      <c r="C21" s="138"/>
      <c r="D21" s="138"/>
      <c r="E21" s="138"/>
      <c r="F21" s="138"/>
      <c r="G21" s="138"/>
      <c r="H21" s="138"/>
      <c r="I21" s="138"/>
      <c r="J21" s="138"/>
      <c r="K21" s="138"/>
      <c r="L21" s="16"/>
    </row>
    <row r="22" spans="1:12" ht="17.25" customHeight="1">
      <c r="A22" s="858"/>
      <c r="B22" s="858"/>
      <c r="C22" s="858"/>
      <c r="D22" s="858"/>
      <c r="E22" s="858"/>
      <c r="F22" s="858"/>
      <c r="G22" s="858"/>
      <c r="H22" s="858"/>
      <c r="I22" s="858"/>
      <c r="J22" s="858"/>
      <c r="K22" s="858"/>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1.4">
      <c r="A58" s="859" t="str">
        <f>"Gráfico N° 11: Comparación de la máxima potencia coincidente (MW) anual por tipo de generación en el SEIN."</f>
        <v>Gráfico N° 11: Comparación de la máxima potencia coincidente (MW) anual por tipo de generación en el SEIN.</v>
      </c>
      <c r="B58" s="859"/>
      <c r="C58" s="859"/>
      <c r="D58" s="859"/>
      <c r="E58" s="859"/>
      <c r="F58" s="859"/>
      <c r="G58" s="859"/>
      <c r="H58" s="859"/>
      <c r="I58" s="859"/>
      <c r="J58" s="859"/>
      <c r="K58" s="859"/>
      <c r="L58" s="11"/>
    </row>
    <row r="59" spans="1:12" ht="11.4">
      <c r="A59" s="132"/>
      <c r="B59" s="156"/>
      <c r="C59" s="156"/>
      <c r="D59" s="157"/>
      <c r="E59" s="157"/>
      <c r="F59" s="157"/>
      <c r="G59" s="138"/>
      <c r="H59" s="138"/>
      <c r="I59" s="138"/>
      <c r="J59" s="138"/>
      <c r="K59" s="138"/>
      <c r="L59" s="11"/>
    </row>
    <row r="60" spans="1:12" ht="11.4">
      <c r="A60" s="132"/>
      <c r="B60" s="156"/>
      <c r="C60" s="156"/>
      <c r="D60" s="157"/>
      <c r="E60" s="157"/>
      <c r="F60" s="157"/>
      <c r="G60" s="138"/>
      <c r="H60" s="138"/>
      <c r="I60" s="138"/>
      <c r="J60" s="138"/>
      <c r="K60" s="138"/>
      <c r="L60" s="11"/>
    </row>
    <row r="61" spans="1:12" ht="13.2">
      <c r="A61" s="17"/>
      <c r="B61" s="150"/>
      <c r="C61" s="150"/>
      <c r="D61" s="151"/>
      <c r="E61" s="151"/>
      <c r="F61" s="151"/>
      <c r="G61" s="73"/>
      <c r="H61" s="73"/>
      <c r="I61" s="73"/>
      <c r="J61" s="73"/>
      <c r="K61" s="73"/>
      <c r="L61" s="11"/>
    </row>
    <row r="62" spans="1:12" ht="13.2">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Q72"/>
  <sheetViews>
    <sheetView showGridLines="0" view="pageBreakPreview" zoomScaleNormal="100" zoomScaleSheetLayoutView="100" zoomScalePageLayoutView="115" workbookViewId="0">
      <selection activeCell="C32" sqref="C32"/>
    </sheetView>
  </sheetViews>
  <sheetFormatPr baseColWidth="10" defaultColWidth="9.28515625" defaultRowHeight="10.199999999999999"/>
  <cols>
    <col min="1" max="1" width="28.7109375" customWidth="1"/>
    <col min="2" max="2" width="11.28515625" customWidth="1"/>
    <col min="3" max="3" width="10.85546875" customWidth="1"/>
    <col min="4" max="4" width="8.7109375" customWidth="1"/>
    <col min="10" max="10" width="11.85546875" customWidth="1"/>
    <col min="11" max="11" width="9.28515625" customWidth="1"/>
    <col min="12" max="12" width="27.85546875" style="585" customWidth="1"/>
    <col min="13" max="17" width="9.28515625" style="278"/>
  </cols>
  <sheetData>
    <row r="1" spans="1:15" ht="25.5" customHeight="1">
      <c r="A1" s="870" t="s">
        <v>249</v>
      </c>
      <c r="B1" s="870"/>
      <c r="C1" s="870"/>
      <c r="D1" s="870"/>
      <c r="E1" s="870"/>
      <c r="F1" s="870"/>
      <c r="G1" s="870"/>
      <c r="H1" s="870"/>
      <c r="I1" s="870"/>
      <c r="J1" s="870"/>
    </row>
    <row r="2" spans="1:15" ht="7.5" customHeight="1">
      <c r="A2" s="74"/>
      <c r="B2" s="73"/>
      <c r="C2" s="73"/>
      <c r="D2" s="73"/>
      <c r="E2" s="73"/>
      <c r="F2" s="73"/>
      <c r="G2" s="73"/>
      <c r="H2" s="73"/>
      <c r="I2" s="73"/>
      <c r="J2" s="73"/>
      <c r="K2" s="36"/>
      <c r="L2" s="782"/>
    </row>
    <row r="3" spans="1:15" ht="11.25" customHeight="1">
      <c r="A3" s="871" t="s">
        <v>121</v>
      </c>
      <c r="B3" s="873" t="str">
        <f>+'1. Resumen'!Q4</f>
        <v>junio</v>
      </c>
      <c r="C3" s="874"/>
      <c r="D3" s="875"/>
      <c r="E3" s="138"/>
      <c r="F3" s="138"/>
      <c r="G3" s="876" t="s">
        <v>499</v>
      </c>
      <c r="H3" s="876"/>
      <c r="I3" s="876"/>
      <c r="J3" s="138"/>
      <c r="K3" s="148"/>
      <c r="L3" s="782"/>
    </row>
    <row r="4" spans="1:15" ht="11.25" customHeight="1">
      <c r="A4" s="871"/>
      <c r="B4" s="376">
        <v>2021</v>
      </c>
      <c r="C4" s="377">
        <v>2020</v>
      </c>
      <c r="D4" s="875" t="s">
        <v>35</v>
      </c>
      <c r="E4" s="138"/>
      <c r="F4" s="138"/>
      <c r="G4" s="138"/>
      <c r="H4" s="138"/>
      <c r="I4" s="138"/>
      <c r="J4" s="138"/>
      <c r="K4" s="24"/>
      <c r="L4" s="783"/>
    </row>
    <row r="5" spans="1:15" ht="11.25" customHeight="1">
      <c r="A5" s="871"/>
      <c r="B5" s="378">
        <f>+'8. Max Potencia'!D8</f>
        <v>44371.875</v>
      </c>
      <c r="C5" s="378">
        <f>+'8. Max Potencia'!E8</f>
        <v>44011.8125</v>
      </c>
      <c r="D5" s="875"/>
      <c r="E5" s="138"/>
      <c r="F5" s="138"/>
      <c r="G5" s="138"/>
      <c r="H5" s="138"/>
      <c r="I5" s="138"/>
      <c r="J5" s="138"/>
      <c r="K5" s="24"/>
      <c r="L5" s="784"/>
    </row>
    <row r="6" spans="1:15" ht="11.25" customHeight="1" thickBot="1">
      <c r="A6" s="872"/>
      <c r="B6" s="379">
        <f>+'8. Max Potencia'!D9</f>
        <v>44371.875</v>
      </c>
      <c r="C6" s="379">
        <f>+'8. Max Potencia'!E9</f>
        <v>44011.8125</v>
      </c>
      <c r="D6" s="877"/>
      <c r="E6" s="138"/>
      <c r="F6" s="138"/>
      <c r="G6" s="138"/>
      <c r="H6" s="138"/>
      <c r="I6" s="138"/>
      <c r="J6" s="138"/>
      <c r="K6" s="25"/>
      <c r="L6" s="783" t="s">
        <v>248</v>
      </c>
      <c r="M6" s="585">
        <v>2020</v>
      </c>
      <c r="N6" s="585">
        <v>2019</v>
      </c>
    </row>
    <row r="7" spans="1:15" ht="9.75" customHeight="1">
      <c r="A7" s="667" t="s">
        <v>88</v>
      </c>
      <c r="B7" s="668">
        <v>1060.53989</v>
      </c>
      <c r="C7" s="668">
        <v>872.75891000000001</v>
      </c>
      <c r="D7" s="669">
        <f>IF(C7=0,"",B7/C7-1)</f>
        <v>0.21515790655176459</v>
      </c>
      <c r="E7" s="138"/>
      <c r="F7" s="138"/>
      <c r="G7" s="138"/>
      <c r="H7" s="138"/>
      <c r="I7" s="138"/>
      <c r="J7" s="138"/>
      <c r="K7" s="23"/>
      <c r="L7" s="785" t="s">
        <v>487</v>
      </c>
      <c r="M7" s="786">
        <v>0</v>
      </c>
      <c r="N7" s="786">
        <v>0.82318000000000002</v>
      </c>
      <c r="O7" s="728"/>
    </row>
    <row r="8" spans="1:15" ht="9.75" customHeight="1">
      <c r="A8" s="670" t="s">
        <v>87</v>
      </c>
      <c r="B8" s="671">
        <v>972.13833000000011</v>
      </c>
      <c r="C8" s="671">
        <v>929.21021999999994</v>
      </c>
      <c r="D8" s="672">
        <f t="shared" ref="D8:D68" si="0">IF(C8=0,"",B8/C8-1)</f>
        <v>4.6198491015305709E-2</v>
      </c>
      <c r="E8" s="138"/>
      <c r="F8" s="138"/>
      <c r="G8" s="138"/>
      <c r="H8" s="138"/>
      <c r="I8" s="138"/>
      <c r="J8" s="138"/>
      <c r="K8" s="26"/>
      <c r="L8" s="785" t="s">
        <v>485</v>
      </c>
      <c r="M8" s="784">
        <v>0</v>
      </c>
      <c r="N8" s="784"/>
      <c r="O8" s="728"/>
    </row>
    <row r="9" spans="1:15" ht="9.75" customHeight="1">
      <c r="A9" s="673" t="s">
        <v>89</v>
      </c>
      <c r="B9" s="674">
        <v>853.06079999999986</v>
      </c>
      <c r="C9" s="674">
        <v>869.16816000000006</v>
      </c>
      <c r="D9" s="675">
        <f t="shared" si="0"/>
        <v>-1.8531925973910734E-2</v>
      </c>
      <c r="E9" s="324"/>
      <c r="F9" s="138"/>
      <c r="G9" s="138"/>
      <c r="H9" s="138"/>
      <c r="I9" s="138"/>
      <c r="J9" s="138"/>
      <c r="K9" s="25"/>
      <c r="L9" s="785" t="s">
        <v>484</v>
      </c>
      <c r="M9" s="784">
        <v>0</v>
      </c>
      <c r="N9" s="784">
        <v>0</v>
      </c>
      <c r="O9" s="728"/>
    </row>
    <row r="10" spans="1:15" ht="9.75" customHeight="1">
      <c r="A10" s="670" t="s">
        <v>407</v>
      </c>
      <c r="B10" s="671">
        <v>785.20920999999987</v>
      </c>
      <c r="C10" s="671">
        <v>791.83739000000003</v>
      </c>
      <c r="D10" s="672">
        <f t="shared" si="0"/>
        <v>-8.370632763376018E-3</v>
      </c>
      <c r="E10" s="138"/>
      <c r="F10" s="138"/>
      <c r="G10" s="138"/>
      <c r="H10" s="138"/>
      <c r="I10" s="138"/>
      <c r="J10" s="138"/>
      <c r="K10" s="25"/>
      <c r="L10" s="785" t="s">
        <v>483</v>
      </c>
      <c r="M10" s="786">
        <v>0</v>
      </c>
      <c r="N10" s="786">
        <v>0</v>
      </c>
      <c r="O10" s="728"/>
    </row>
    <row r="11" spans="1:15" ht="9.75" customHeight="1">
      <c r="A11" s="673" t="s">
        <v>237</v>
      </c>
      <c r="B11" s="674">
        <v>540.08069</v>
      </c>
      <c r="C11" s="674">
        <v>546.11649</v>
      </c>
      <c r="D11" s="675">
        <f t="shared" si="0"/>
        <v>-1.1052220745064845E-2</v>
      </c>
      <c r="E11" s="138"/>
      <c r="F11" s="138"/>
      <c r="G11" s="138"/>
      <c r="H11" s="138"/>
      <c r="I11" s="138"/>
      <c r="J11" s="138"/>
      <c r="K11" s="25"/>
      <c r="L11" s="785" t="s">
        <v>426</v>
      </c>
      <c r="M11" s="784">
        <v>0</v>
      </c>
      <c r="N11" s="784">
        <v>5.82</v>
      </c>
      <c r="O11" s="728"/>
    </row>
    <row r="12" spans="1:15" ht="9.75" customHeight="1">
      <c r="A12" s="670" t="s">
        <v>235</v>
      </c>
      <c r="B12" s="671">
        <v>315.66933</v>
      </c>
      <c r="C12" s="671">
        <v>30.739879999999999</v>
      </c>
      <c r="D12" s="672">
        <f t="shared" si="0"/>
        <v>9.2690488707177785</v>
      </c>
      <c r="E12" s="138"/>
      <c r="F12" s="138"/>
      <c r="G12" s="138"/>
      <c r="H12" s="138"/>
      <c r="I12" s="138"/>
      <c r="J12" s="138"/>
      <c r="K12" s="23"/>
      <c r="L12" s="785" t="s">
        <v>109</v>
      </c>
      <c r="M12" s="784">
        <v>0</v>
      </c>
      <c r="N12" s="784">
        <v>0</v>
      </c>
      <c r="O12" s="728"/>
    </row>
    <row r="13" spans="1:15" ht="9.75" customHeight="1">
      <c r="A13" s="673" t="s">
        <v>100</v>
      </c>
      <c r="B13" s="674">
        <v>290.87457999999998</v>
      </c>
      <c r="C13" s="674">
        <v>0</v>
      </c>
      <c r="D13" s="675" t="str">
        <f t="shared" si="0"/>
        <v/>
      </c>
      <c r="E13" s="138"/>
      <c r="F13" s="138"/>
      <c r="G13" s="138"/>
      <c r="H13" s="138"/>
      <c r="I13" s="138"/>
      <c r="J13" s="138"/>
      <c r="K13" s="26"/>
      <c r="L13" s="785" t="s">
        <v>117</v>
      </c>
      <c r="M13" s="784">
        <v>0</v>
      </c>
      <c r="N13" s="784">
        <v>0</v>
      </c>
      <c r="O13" s="728"/>
    </row>
    <row r="14" spans="1:15" ht="9.75" customHeight="1">
      <c r="A14" s="670" t="s">
        <v>90</v>
      </c>
      <c r="B14" s="671">
        <v>256.80173000000002</v>
      </c>
      <c r="C14" s="671">
        <v>259.27860999999996</v>
      </c>
      <c r="D14" s="672">
        <f t="shared" si="0"/>
        <v>-9.5529669801914796E-3</v>
      </c>
      <c r="E14" s="138"/>
      <c r="F14" s="138"/>
      <c r="G14" s="138"/>
      <c r="H14" s="138"/>
      <c r="I14" s="138"/>
      <c r="J14" s="138"/>
      <c r="K14" s="26"/>
      <c r="L14" s="785" t="s">
        <v>242</v>
      </c>
      <c r="M14" s="784">
        <v>0</v>
      </c>
      <c r="N14" s="784">
        <v>0</v>
      </c>
      <c r="O14" s="728"/>
    </row>
    <row r="15" spans="1:15" ht="9.75" customHeight="1">
      <c r="A15" s="673" t="s">
        <v>239</v>
      </c>
      <c r="B15" s="674">
        <v>205.41876000000005</v>
      </c>
      <c r="C15" s="674">
        <v>179.07745999999997</v>
      </c>
      <c r="D15" s="675">
        <f t="shared" si="0"/>
        <v>0.14709444728554932</v>
      </c>
      <c r="E15" s="138"/>
      <c r="F15" s="138"/>
      <c r="G15" s="138"/>
      <c r="H15" s="138"/>
      <c r="I15" s="138"/>
      <c r="J15" s="138"/>
      <c r="K15" s="26"/>
      <c r="L15" s="785" t="s">
        <v>241</v>
      </c>
      <c r="M15" s="786">
        <v>0</v>
      </c>
      <c r="N15" s="786">
        <v>0</v>
      </c>
      <c r="O15" s="728"/>
    </row>
    <row r="16" spans="1:15" ht="9.75" customHeight="1">
      <c r="A16" s="670" t="s">
        <v>93</v>
      </c>
      <c r="B16" s="671">
        <v>166.60892999999999</v>
      </c>
      <c r="C16" s="671">
        <v>144.20676</v>
      </c>
      <c r="D16" s="672">
        <f t="shared" si="0"/>
        <v>0.15534757177818848</v>
      </c>
      <c r="E16" s="138"/>
      <c r="F16" s="138"/>
      <c r="G16" s="138"/>
      <c r="H16" s="138"/>
      <c r="I16" s="138"/>
      <c r="J16" s="138"/>
      <c r="K16" s="26"/>
      <c r="L16" s="785" t="s">
        <v>107</v>
      </c>
      <c r="M16" s="784">
        <v>0</v>
      </c>
      <c r="N16" s="784">
        <v>0</v>
      </c>
      <c r="O16" s="728"/>
    </row>
    <row r="17" spans="1:15" ht="9.75" customHeight="1">
      <c r="A17" s="673" t="s">
        <v>94</v>
      </c>
      <c r="B17" s="674">
        <v>157.25013999999999</v>
      </c>
      <c r="C17" s="674">
        <v>203.70605999999998</v>
      </c>
      <c r="D17" s="675">
        <f t="shared" si="0"/>
        <v>-0.2280536965861496</v>
      </c>
      <c r="E17" s="138"/>
      <c r="F17" s="138"/>
      <c r="G17" s="138"/>
      <c r="H17" s="138"/>
      <c r="I17" s="138"/>
      <c r="J17" s="138"/>
      <c r="K17" s="26"/>
      <c r="L17" s="785" t="s">
        <v>110</v>
      </c>
      <c r="M17" s="784">
        <v>0</v>
      </c>
      <c r="N17" s="784">
        <v>0</v>
      </c>
      <c r="O17" s="728"/>
    </row>
    <row r="18" spans="1:15" ht="9.75" customHeight="1">
      <c r="A18" s="670" t="s">
        <v>91</v>
      </c>
      <c r="B18" s="671">
        <v>145.75068999999999</v>
      </c>
      <c r="C18" s="671">
        <v>167.37198999999998</v>
      </c>
      <c r="D18" s="672">
        <f t="shared" si="0"/>
        <v>-0.12918111327946802</v>
      </c>
      <c r="E18" s="138"/>
      <c r="F18" s="138"/>
      <c r="G18" s="138"/>
      <c r="H18" s="138"/>
      <c r="I18" s="138"/>
      <c r="J18" s="138"/>
      <c r="K18" s="26"/>
      <c r="L18" s="785" t="s">
        <v>116</v>
      </c>
      <c r="M18" s="784">
        <v>0</v>
      </c>
      <c r="N18" s="784">
        <v>0</v>
      </c>
      <c r="O18" s="728"/>
    </row>
    <row r="19" spans="1:15" ht="9.75" customHeight="1">
      <c r="A19" s="673" t="s">
        <v>92</v>
      </c>
      <c r="B19" s="674">
        <v>125.73308</v>
      </c>
      <c r="C19" s="674">
        <v>139.61899</v>
      </c>
      <c r="D19" s="675">
        <f t="shared" si="0"/>
        <v>-9.9455740225595335E-2</v>
      </c>
      <c r="E19" s="138"/>
      <c r="F19" s="138"/>
      <c r="G19" s="138"/>
      <c r="H19" s="138"/>
      <c r="I19" s="138"/>
      <c r="J19" s="138"/>
      <c r="K19" s="26"/>
      <c r="L19" s="785" t="s">
        <v>234</v>
      </c>
      <c r="M19" s="786">
        <v>0</v>
      </c>
      <c r="N19" s="786">
        <v>0</v>
      </c>
      <c r="O19" s="728"/>
    </row>
    <row r="20" spans="1:15" ht="9.75" customHeight="1">
      <c r="A20" s="670" t="s">
        <v>98</v>
      </c>
      <c r="B20" s="671">
        <v>119.07773</v>
      </c>
      <c r="C20" s="671">
        <v>128.52634</v>
      </c>
      <c r="D20" s="672">
        <f t="shared" si="0"/>
        <v>-7.351496977195493E-2</v>
      </c>
      <c r="E20" s="138"/>
      <c r="F20" s="138"/>
      <c r="G20" s="138"/>
      <c r="H20" s="138"/>
      <c r="I20" s="138"/>
      <c r="J20" s="138"/>
      <c r="K20" s="29"/>
      <c r="L20" s="785" t="s">
        <v>486</v>
      </c>
      <c r="M20" s="786">
        <v>0.30436000000000002</v>
      </c>
      <c r="N20" s="786"/>
      <c r="O20" s="728"/>
    </row>
    <row r="21" spans="1:15" ht="9.75" customHeight="1">
      <c r="A21" s="673" t="s">
        <v>96</v>
      </c>
      <c r="B21" s="674">
        <v>91.749669999999995</v>
      </c>
      <c r="C21" s="674">
        <v>91.338499999999996</v>
      </c>
      <c r="D21" s="675">
        <f t="shared" si="0"/>
        <v>4.5016066609371297E-3</v>
      </c>
      <c r="E21" s="138"/>
      <c r="F21" s="138"/>
      <c r="G21" s="138"/>
      <c r="H21" s="138"/>
      <c r="I21" s="138"/>
      <c r="J21" s="138"/>
      <c r="K21" s="26"/>
      <c r="L21" s="785" t="s">
        <v>409</v>
      </c>
      <c r="M21" s="784">
        <v>0.52800000000000002</v>
      </c>
      <c r="N21" s="784">
        <v>0</v>
      </c>
      <c r="O21" s="728"/>
    </row>
    <row r="22" spans="1:15" ht="9.75" customHeight="1">
      <c r="A22" s="670" t="s">
        <v>99</v>
      </c>
      <c r="B22" s="671">
        <v>90.099869999999996</v>
      </c>
      <c r="C22" s="671">
        <v>92.051659999999998</v>
      </c>
      <c r="D22" s="672">
        <f t="shared" si="0"/>
        <v>-2.1203202636432605E-2</v>
      </c>
      <c r="E22" s="138"/>
      <c r="F22" s="138"/>
      <c r="G22" s="138"/>
      <c r="H22" s="138"/>
      <c r="I22" s="138"/>
      <c r="J22" s="138"/>
      <c r="K22" s="26"/>
      <c r="L22" s="785" t="s">
        <v>115</v>
      </c>
      <c r="M22" s="784">
        <v>1.9338599999999999</v>
      </c>
      <c r="N22" s="784">
        <v>1.3103199999999999</v>
      </c>
      <c r="O22" s="728"/>
    </row>
    <row r="23" spans="1:15" ht="9.75" customHeight="1">
      <c r="A23" s="673" t="s">
        <v>105</v>
      </c>
      <c r="B23" s="674">
        <v>89.145039999999995</v>
      </c>
      <c r="C23" s="674">
        <v>0</v>
      </c>
      <c r="D23" s="675" t="str">
        <f t="shared" si="0"/>
        <v/>
      </c>
      <c r="E23" s="138"/>
      <c r="F23" s="138"/>
      <c r="G23" s="138"/>
      <c r="H23" s="138"/>
      <c r="I23" s="138"/>
      <c r="J23" s="138"/>
      <c r="K23" s="26"/>
      <c r="L23" s="785" t="s">
        <v>112</v>
      </c>
      <c r="M23" s="786">
        <v>2.5543200000000001</v>
      </c>
      <c r="N23" s="786">
        <v>2.31291</v>
      </c>
      <c r="O23" s="728"/>
    </row>
    <row r="24" spans="1:15" ht="9.75" customHeight="1">
      <c r="A24" s="670" t="s">
        <v>236</v>
      </c>
      <c r="B24" s="671">
        <v>72.859000000000009</v>
      </c>
      <c r="C24" s="671">
        <v>94.074659999999994</v>
      </c>
      <c r="D24" s="672">
        <f t="shared" si="0"/>
        <v>-0.22551939066269266</v>
      </c>
      <c r="E24" s="138"/>
      <c r="F24" s="138"/>
      <c r="G24" s="138"/>
      <c r="H24" s="138"/>
      <c r="I24" s="138"/>
      <c r="J24" s="138"/>
      <c r="K24" s="29"/>
      <c r="L24" s="785" t="s">
        <v>113</v>
      </c>
      <c r="M24" s="784">
        <v>2.6180699999999999</v>
      </c>
      <c r="N24" s="784">
        <v>2.42727</v>
      </c>
      <c r="O24" s="728"/>
    </row>
    <row r="25" spans="1:15" ht="9.75" customHeight="1">
      <c r="A25" s="673" t="s">
        <v>425</v>
      </c>
      <c r="B25" s="674">
        <v>67.226389999999995</v>
      </c>
      <c r="C25" s="674">
        <v>74.079190000000011</v>
      </c>
      <c r="D25" s="675">
        <f t="shared" si="0"/>
        <v>-9.2506411044721348E-2</v>
      </c>
      <c r="E25" s="138"/>
      <c r="F25" s="138"/>
      <c r="G25" s="138"/>
      <c r="H25" s="138"/>
      <c r="I25" s="138"/>
      <c r="J25" s="138"/>
      <c r="K25" s="26"/>
      <c r="L25" s="785" t="s">
        <v>114</v>
      </c>
      <c r="M25" s="784">
        <v>3.2</v>
      </c>
      <c r="N25" s="784">
        <v>2.4</v>
      </c>
      <c r="O25" s="728"/>
    </row>
    <row r="26" spans="1:15" ht="9.75" customHeight="1">
      <c r="A26" s="670" t="s">
        <v>95</v>
      </c>
      <c r="B26" s="671">
        <v>53.209540000000004</v>
      </c>
      <c r="C26" s="671">
        <v>108.07562</v>
      </c>
      <c r="D26" s="672">
        <f t="shared" si="0"/>
        <v>-0.50766380058703331</v>
      </c>
      <c r="E26" s="138"/>
      <c r="F26" s="138"/>
      <c r="G26" s="138"/>
      <c r="H26" s="138"/>
      <c r="I26" s="138"/>
      <c r="J26" s="138"/>
      <c r="K26" s="26"/>
      <c r="L26" s="785" t="s">
        <v>118</v>
      </c>
      <c r="M26" s="784">
        <v>8.1507699999999996</v>
      </c>
      <c r="N26" s="784">
        <v>3.1417199999999998</v>
      </c>
      <c r="O26" s="728"/>
    </row>
    <row r="27" spans="1:15" ht="9.75" customHeight="1">
      <c r="A27" s="673" t="s">
        <v>97</v>
      </c>
      <c r="B27" s="674">
        <v>51.912120000000002</v>
      </c>
      <c r="C27" s="674">
        <v>88.377430000000004</v>
      </c>
      <c r="D27" s="675">
        <f t="shared" si="0"/>
        <v>-0.41260885273536463</v>
      </c>
      <c r="E27" s="138"/>
      <c r="F27" s="138"/>
      <c r="G27" s="138"/>
      <c r="H27" s="138"/>
      <c r="I27" s="138"/>
      <c r="J27" s="138"/>
      <c r="K27" s="26"/>
      <c r="L27" s="785" t="s">
        <v>462</v>
      </c>
      <c r="M27" s="784">
        <v>9.2861399999999996</v>
      </c>
      <c r="N27" s="784">
        <v>0</v>
      </c>
      <c r="O27" s="728"/>
    </row>
    <row r="28" spans="1:15" ht="9.75" customHeight="1">
      <c r="A28" s="670" t="s">
        <v>101</v>
      </c>
      <c r="B28" s="671">
        <v>28.084899999999998</v>
      </c>
      <c r="C28" s="671">
        <v>26.856000000000002</v>
      </c>
      <c r="D28" s="672">
        <f t="shared" si="0"/>
        <v>4.5758862079237295E-2</v>
      </c>
      <c r="E28" s="138"/>
      <c r="F28" s="138"/>
      <c r="G28" s="138"/>
      <c r="H28" s="138"/>
      <c r="I28" s="138"/>
      <c r="J28" s="138"/>
      <c r="K28" s="26"/>
      <c r="L28" s="785" t="s">
        <v>408</v>
      </c>
      <c r="M28" s="784">
        <v>9.6158000000000001</v>
      </c>
      <c r="N28" s="784">
        <v>5.1585000000000001</v>
      </c>
      <c r="O28" s="728"/>
    </row>
    <row r="29" spans="1:15" ht="9.75" customHeight="1">
      <c r="A29" s="676" t="s">
        <v>519</v>
      </c>
      <c r="B29" s="677">
        <v>28.0063</v>
      </c>
      <c r="C29" s="677"/>
      <c r="D29" s="678" t="str">
        <f t="shared" si="0"/>
        <v/>
      </c>
      <c r="E29" s="138"/>
      <c r="F29" s="138"/>
      <c r="G29" s="138"/>
      <c r="H29" s="138"/>
      <c r="I29" s="138"/>
      <c r="J29" s="138"/>
      <c r="K29" s="26"/>
      <c r="L29" s="785" t="s">
        <v>439</v>
      </c>
      <c r="M29" s="784">
        <v>9.8742999999999999</v>
      </c>
      <c r="N29" s="784">
        <v>10.220700000000001</v>
      </c>
      <c r="O29" s="728"/>
    </row>
    <row r="30" spans="1:15" ht="9.75" customHeight="1">
      <c r="A30" s="679" t="s">
        <v>102</v>
      </c>
      <c r="B30" s="680">
        <v>28.000039999999998</v>
      </c>
      <c r="C30" s="680">
        <v>0</v>
      </c>
      <c r="D30" s="681" t="str">
        <f t="shared" si="0"/>
        <v/>
      </c>
      <c r="E30" s="138"/>
      <c r="F30" s="138"/>
      <c r="G30" s="138"/>
      <c r="H30" s="138"/>
      <c r="I30" s="138"/>
      <c r="J30" s="138"/>
      <c r="K30" s="26"/>
      <c r="L30" s="785" t="s">
        <v>448</v>
      </c>
      <c r="M30" s="784">
        <v>11.10547</v>
      </c>
      <c r="N30" s="784">
        <v>4.8914400000000002</v>
      </c>
      <c r="O30" s="728"/>
    </row>
    <row r="31" spans="1:15" ht="9.75" customHeight="1">
      <c r="A31" s="682" t="s">
        <v>240</v>
      </c>
      <c r="B31" s="683">
        <v>27.913160000000001</v>
      </c>
      <c r="C31" s="683">
        <v>31.261310000000002</v>
      </c>
      <c r="D31" s="684">
        <f t="shared" si="0"/>
        <v>-0.10710203763054071</v>
      </c>
      <c r="E31" s="138"/>
      <c r="F31" s="138"/>
      <c r="G31" s="138"/>
      <c r="H31" s="138"/>
      <c r="I31" s="138"/>
      <c r="J31" s="138"/>
      <c r="K31" s="26"/>
      <c r="L31" s="785" t="s">
        <v>418</v>
      </c>
      <c r="M31" s="784">
        <v>11.201129999999999</v>
      </c>
      <c r="N31" s="784">
        <v>6.9821400000000002</v>
      </c>
      <c r="O31" s="728"/>
    </row>
    <row r="32" spans="1:15" ht="9.75" customHeight="1">
      <c r="A32" s="679" t="s">
        <v>108</v>
      </c>
      <c r="B32" s="680">
        <v>27.15512</v>
      </c>
      <c r="C32" s="680">
        <v>26.41188</v>
      </c>
      <c r="D32" s="681">
        <f t="shared" si="0"/>
        <v>2.8140367137818201E-2</v>
      </c>
      <c r="E32" s="138"/>
      <c r="F32" s="138"/>
      <c r="G32" s="138"/>
      <c r="H32" s="138"/>
      <c r="I32" s="138"/>
      <c r="J32" s="138"/>
      <c r="K32" s="26"/>
      <c r="L32" s="785" t="s">
        <v>447</v>
      </c>
      <c r="M32" s="784">
        <v>11.875</v>
      </c>
      <c r="N32" s="784">
        <v>8.875</v>
      </c>
      <c r="O32" s="728"/>
    </row>
    <row r="33" spans="1:17" ht="13.5" customHeight="1">
      <c r="A33" s="685" t="s">
        <v>111</v>
      </c>
      <c r="B33" s="683">
        <v>21.567419999999998</v>
      </c>
      <c r="C33" s="683">
        <v>22.56897</v>
      </c>
      <c r="D33" s="684">
        <f t="shared" si="0"/>
        <v>-4.4377302109932404E-2</v>
      </c>
      <c r="E33" s="138"/>
      <c r="F33" s="138"/>
      <c r="G33" s="138"/>
      <c r="H33" s="138"/>
      <c r="I33" s="138"/>
      <c r="J33" s="138"/>
      <c r="K33" s="26"/>
      <c r="L33" s="785" t="s">
        <v>119</v>
      </c>
      <c r="M33" s="784">
        <v>12.644590000000001</v>
      </c>
      <c r="N33" s="784">
        <v>0</v>
      </c>
      <c r="O33" s="728"/>
    </row>
    <row r="34" spans="1:17" s="574" customFormat="1" ht="13.5" customHeight="1">
      <c r="A34" s="679" t="s">
        <v>488</v>
      </c>
      <c r="B34" s="680">
        <v>20.379280000000001</v>
      </c>
      <c r="C34" s="680">
        <v>16.742919999999998</v>
      </c>
      <c r="D34" s="681"/>
      <c r="E34" s="138"/>
      <c r="F34" s="138"/>
      <c r="G34" s="138"/>
      <c r="H34" s="138"/>
      <c r="I34" s="138"/>
      <c r="J34" s="138"/>
      <c r="K34" s="26"/>
      <c r="L34" s="785" t="s">
        <v>104</v>
      </c>
      <c r="M34" s="784">
        <v>14.931290000000001</v>
      </c>
      <c r="N34" s="784">
        <v>6.5880700000000001</v>
      </c>
      <c r="O34" s="728"/>
      <c r="P34" s="278"/>
      <c r="Q34" s="278"/>
    </row>
    <row r="35" spans="1:17" s="574" customFormat="1" ht="13.5" customHeight="1">
      <c r="A35" s="685" t="s">
        <v>399</v>
      </c>
      <c r="B35" s="683">
        <v>20.099779999999999</v>
      </c>
      <c r="C35" s="683">
        <v>20.038219999999999</v>
      </c>
      <c r="D35" s="684"/>
      <c r="E35" s="138"/>
      <c r="F35" s="138"/>
      <c r="G35" s="138"/>
      <c r="H35" s="138"/>
      <c r="I35" s="138"/>
      <c r="J35" s="138"/>
      <c r="K35" s="26"/>
      <c r="L35" s="785" t="s">
        <v>238</v>
      </c>
      <c r="M35" s="784">
        <v>15.518419999999999</v>
      </c>
      <c r="N35" s="784">
        <v>15.024900000000001</v>
      </c>
      <c r="O35" s="728"/>
      <c r="P35" s="278"/>
      <c r="Q35" s="278"/>
    </row>
    <row r="36" spans="1:17" ht="10.199999999999999" customHeight="1">
      <c r="A36" s="686" t="s">
        <v>415</v>
      </c>
      <c r="B36" s="680">
        <v>18.254339999999999</v>
      </c>
      <c r="C36" s="680">
        <v>0</v>
      </c>
      <c r="D36" s="681" t="str">
        <f t="shared" si="0"/>
        <v/>
      </c>
      <c r="E36" s="138"/>
      <c r="F36" s="138"/>
      <c r="G36" s="138"/>
      <c r="H36" s="138"/>
      <c r="I36" s="138"/>
      <c r="J36" s="138"/>
      <c r="K36" s="26"/>
      <c r="L36" s="785" t="s">
        <v>103</v>
      </c>
      <c r="M36" s="784">
        <v>15.986270000000001</v>
      </c>
      <c r="N36" s="784">
        <v>15.61232</v>
      </c>
      <c r="O36" s="728"/>
    </row>
    <row r="37" spans="1:17" ht="13.5" customHeight="1">
      <c r="A37" s="685" t="s">
        <v>106</v>
      </c>
      <c r="B37" s="683">
        <v>16.507770000000001</v>
      </c>
      <c r="C37" s="683">
        <v>0</v>
      </c>
      <c r="D37" s="684" t="str">
        <f t="shared" si="0"/>
        <v/>
      </c>
      <c r="E37" s="138"/>
      <c r="F37" s="138"/>
      <c r="G37" s="138"/>
      <c r="H37" s="138"/>
      <c r="I37" s="138"/>
      <c r="J37" s="138"/>
      <c r="K37" s="26"/>
      <c r="L37" s="785" t="s">
        <v>489</v>
      </c>
      <c r="M37" s="786">
        <v>16.12743</v>
      </c>
      <c r="N37" s="786">
        <v>17.854979999999998</v>
      </c>
      <c r="O37" s="728"/>
    </row>
    <row r="38" spans="1:17" ht="11.25" customHeight="1">
      <c r="A38" s="679" t="s">
        <v>489</v>
      </c>
      <c r="B38" s="680">
        <v>16.12743</v>
      </c>
      <c r="C38" s="680">
        <v>17.854979999999998</v>
      </c>
      <c r="D38" s="681">
        <f t="shared" si="0"/>
        <v>-9.6754518907329889E-2</v>
      </c>
      <c r="E38" s="138"/>
      <c r="F38" s="138"/>
      <c r="G38" s="138"/>
      <c r="H38" s="138"/>
      <c r="I38" s="138"/>
      <c r="J38" s="138"/>
      <c r="K38" s="34"/>
      <c r="L38" s="785" t="s">
        <v>106</v>
      </c>
      <c r="M38" s="784">
        <v>16.507770000000001</v>
      </c>
      <c r="N38" s="784">
        <v>0</v>
      </c>
      <c r="O38" s="728"/>
    </row>
    <row r="39" spans="1:17" ht="11.25" customHeight="1">
      <c r="A39" s="685" t="s">
        <v>103</v>
      </c>
      <c r="B39" s="683">
        <v>15.986270000000001</v>
      </c>
      <c r="C39" s="683">
        <v>15.61232</v>
      </c>
      <c r="D39" s="684">
        <f t="shared" si="0"/>
        <v>2.3952237719954583E-2</v>
      </c>
      <c r="E39" s="138"/>
      <c r="F39" s="138"/>
      <c r="G39" s="138"/>
      <c r="H39" s="138"/>
      <c r="I39" s="138"/>
      <c r="J39" s="138"/>
      <c r="K39" s="34"/>
      <c r="L39" s="785" t="s">
        <v>415</v>
      </c>
      <c r="M39" s="784">
        <v>18.254339999999999</v>
      </c>
      <c r="N39" s="784">
        <v>0</v>
      </c>
      <c r="O39" s="728"/>
    </row>
    <row r="40" spans="1:17" ht="11.4" customHeight="1">
      <c r="A40" s="686" t="s">
        <v>238</v>
      </c>
      <c r="B40" s="680">
        <v>15.518419999999999</v>
      </c>
      <c r="C40" s="680">
        <v>15.024900000000001</v>
      </c>
      <c r="D40" s="681">
        <f t="shared" si="0"/>
        <v>3.28468076326629E-2</v>
      </c>
      <c r="E40" s="138"/>
      <c r="F40" s="138"/>
      <c r="G40" s="138"/>
      <c r="H40" s="138"/>
      <c r="I40" s="138"/>
      <c r="J40" s="138"/>
      <c r="K40" s="29"/>
      <c r="L40" s="785" t="s">
        <v>399</v>
      </c>
      <c r="M40" s="784">
        <v>20.099779999999999</v>
      </c>
      <c r="N40" s="784">
        <v>20.038219999999999</v>
      </c>
      <c r="O40" s="728"/>
    </row>
    <row r="41" spans="1:17" ht="11.25" customHeight="1">
      <c r="A41" s="685" t="s">
        <v>104</v>
      </c>
      <c r="B41" s="683">
        <v>14.931290000000001</v>
      </c>
      <c r="C41" s="683">
        <v>6.5880700000000001</v>
      </c>
      <c r="D41" s="684">
        <f t="shared" si="0"/>
        <v>1.2664133805499942</v>
      </c>
      <c r="E41" s="138"/>
      <c r="F41" s="138"/>
      <c r="G41" s="138"/>
      <c r="H41" s="138"/>
      <c r="I41" s="138"/>
      <c r="J41" s="138"/>
      <c r="K41" s="29"/>
      <c r="L41" s="785" t="s">
        <v>488</v>
      </c>
      <c r="M41" s="784">
        <v>20.379280000000001</v>
      </c>
      <c r="N41" s="784">
        <v>16.742919999999998</v>
      </c>
      <c r="O41" s="728"/>
    </row>
    <row r="42" spans="1:17" ht="11.25" customHeight="1">
      <c r="A42" s="687" t="s">
        <v>119</v>
      </c>
      <c r="B42" s="680">
        <v>12.644590000000001</v>
      </c>
      <c r="C42" s="680">
        <v>0</v>
      </c>
      <c r="D42" s="681" t="str">
        <f t="shared" si="0"/>
        <v/>
      </c>
      <c r="E42" s="138"/>
      <c r="F42" s="138"/>
      <c r="G42" s="138"/>
      <c r="H42" s="138"/>
      <c r="I42" s="138"/>
      <c r="J42" s="138"/>
      <c r="K42" s="29"/>
      <c r="L42" s="785" t="s">
        <v>111</v>
      </c>
      <c r="M42" s="784">
        <v>21.567419999999998</v>
      </c>
      <c r="N42" s="784">
        <v>22.56897</v>
      </c>
      <c r="O42" s="728"/>
    </row>
    <row r="43" spans="1:17" ht="9.75" customHeight="1">
      <c r="A43" s="682" t="s">
        <v>447</v>
      </c>
      <c r="B43" s="683">
        <v>11.875</v>
      </c>
      <c r="C43" s="683">
        <v>8.875</v>
      </c>
      <c r="D43" s="684">
        <f t="shared" si="0"/>
        <v>0.3380281690140845</v>
      </c>
      <c r="E43" s="138"/>
      <c r="F43" s="138"/>
      <c r="G43" s="138"/>
      <c r="H43" s="138"/>
      <c r="I43" s="138"/>
      <c r="J43" s="138"/>
      <c r="K43" s="34"/>
      <c r="L43" s="785" t="s">
        <v>108</v>
      </c>
      <c r="M43" s="784">
        <v>27.15512</v>
      </c>
      <c r="N43" s="784">
        <v>26.41188</v>
      </c>
      <c r="O43" s="728"/>
    </row>
    <row r="44" spans="1:17" ht="9.75" customHeight="1">
      <c r="A44" s="679" t="s">
        <v>418</v>
      </c>
      <c r="B44" s="680">
        <v>11.201129999999999</v>
      </c>
      <c r="C44" s="680">
        <v>6.9821400000000002</v>
      </c>
      <c r="D44" s="681">
        <f t="shared" si="0"/>
        <v>0.60425456951593626</v>
      </c>
      <c r="E44" s="138"/>
      <c r="F44" s="138"/>
      <c r="G44" s="138"/>
      <c r="H44" s="138"/>
      <c r="I44" s="138"/>
      <c r="J44" s="138"/>
      <c r="K44" s="34"/>
      <c r="L44" s="785" t="s">
        <v>240</v>
      </c>
      <c r="M44" s="784">
        <v>27.913160000000001</v>
      </c>
      <c r="N44" s="784">
        <v>31.261310000000002</v>
      </c>
      <c r="O44" s="728"/>
    </row>
    <row r="45" spans="1:17" ht="9.75" customHeight="1">
      <c r="A45" s="682" t="s">
        <v>448</v>
      </c>
      <c r="B45" s="683">
        <v>11.10547</v>
      </c>
      <c r="C45" s="683">
        <v>4.8914400000000002</v>
      </c>
      <c r="D45" s="684">
        <f t="shared" si="0"/>
        <v>1.2703886789984136</v>
      </c>
      <c r="E45" s="138"/>
      <c r="F45" s="138"/>
      <c r="G45" s="138"/>
      <c r="H45" s="138"/>
      <c r="I45" s="138"/>
      <c r="J45" s="138"/>
      <c r="K45" s="34"/>
      <c r="L45" s="785" t="s">
        <v>102</v>
      </c>
      <c r="M45" s="784">
        <v>28.000039999999998</v>
      </c>
      <c r="N45" s="784">
        <v>0</v>
      </c>
      <c r="O45" s="728"/>
    </row>
    <row r="46" spans="1:17" ht="9.75" customHeight="1">
      <c r="A46" s="679" t="s">
        <v>439</v>
      </c>
      <c r="B46" s="680">
        <v>9.8742999999999999</v>
      </c>
      <c r="C46" s="680">
        <v>10.220700000000001</v>
      </c>
      <c r="D46" s="681">
        <f t="shared" si="0"/>
        <v>-3.3892003483127486E-2</v>
      </c>
      <c r="E46" s="138"/>
      <c r="F46" s="138"/>
      <c r="G46" s="138"/>
      <c r="H46" s="138"/>
      <c r="I46" s="138"/>
      <c r="J46" s="138"/>
      <c r="L46" s="785" t="s">
        <v>519</v>
      </c>
      <c r="M46" s="784">
        <v>28.0063</v>
      </c>
      <c r="N46" s="784"/>
      <c r="O46" s="728"/>
    </row>
    <row r="47" spans="1:17" ht="9.75" customHeight="1">
      <c r="A47" s="682" t="s">
        <v>408</v>
      </c>
      <c r="B47" s="683">
        <v>9.6158000000000001</v>
      </c>
      <c r="C47" s="683">
        <v>5.1585000000000001</v>
      </c>
      <c r="D47" s="684">
        <f t="shared" si="0"/>
        <v>0.86406901230978006</v>
      </c>
      <c r="E47" s="138"/>
      <c r="F47" s="138"/>
      <c r="G47" s="138"/>
      <c r="H47" s="138"/>
      <c r="I47" s="138"/>
      <c r="J47" s="138"/>
      <c r="L47" s="785" t="s">
        <v>101</v>
      </c>
      <c r="M47" s="784">
        <v>28.084899999999998</v>
      </c>
      <c r="N47" s="784">
        <v>26.856000000000002</v>
      </c>
      <c r="O47" s="728"/>
    </row>
    <row r="48" spans="1:17" ht="13.95" customHeight="1">
      <c r="A48" s="686" t="s">
        <v>462</v>
      </c>
      <c r="B48" s="680">
        <v>9.2861399999999996</v>
      </c>
      <c r="C48" s="680">
        <v>0</v>
      </c>
      <c r="D48" s="681" t="str">
        <f t="shared" si="0"/>
        <v/>
      </c>
      <c r="E48" s="138"/>
      <c r="F48" s="138"/>
      <c r="G48" s="138"/>
      <c r="H48" s="138"/>
      <c r="I48" s="138"/>
      <c r="J48" s="138"/>
      <c r="L48" s="785" t="s">
        <v>97</v>
      </c>
      <c r="M48" s="784">
        <v>51.912120000000002</v>
      </c>
      <c r="N48" s="784">
        <v>88.377430000000004</v>
      </c>
      <c r="O48" s="728"/>
    </row>
    <row r="49" spans="1:15" ht="9.75" customHeight="1">
      <c r="A49" s="682" t="s">
        <v>118</v>
      </c>
      <c r="B49" s="683">
        <v>8.1507699999999996</v>
      </c>
      <c r="C49" s="683">
        <v>3.1417199999999998</v>
      </c>
      <c r="D49" s="684">
        <f t="shared" si="0"/>
        <v>1.5943655067924576</v>
      </c>
      <c r="E49" s="138"/>
      <c r="F49" s="138"/>
      <c r="G49" s="138"/>
      <c r="H49" s="138"/>
      <c r="I49" s="138"/>
      <c r="J49" s="138"/>
      <c r="L49" s="785" t="s">
        <v>95</v>
      </c>
      <c r="M49" s="784">
        <v>53.209540000000004</v>
      </c>
      <c r="N49" s="784">
        <v>108.07562</v>
      </c>
      <c r="O49" s="728"/>
    </row>
    <row r="50" spans="1:15" ht="14.4" customHeight="1">
      <c r="A50" s="686" t="s">
        <v>114</v>
      </c>
      <c r="B50" s="680">
        <v>3.2</v>
      </c>
      <c r="C50" s="680">
        <v>2.4</v>
      </c>
      <c r="D50" s="681">
        <f t="shared" si="0"/>
        <v>0.33333333333333348</v>
      </c>
      <c r="E50" s="138"/>
      <c r="F50" s="138"/>
      <c r="G50" s="138"/>
      <c r="H50" s="138"/>
      <c r="I50" s="138"/>
      <c r="J50" s="138"/>
      <c r="L50" s="785" t="s">
        <v>425</v>
      </c>
      <c r="M50" s="784">
        <v>67.226389999999995</v>
      </c>
      <c r="N50" s="784">
        <v>74.079190000000011</v>
      </c>
      <c r="O50" s="728"/>
    </row>
    <row r="51" spans="1:15" ht="11.25" customHeight="1">
      <c r="A51" s="685" t="s">
        <v>113</v>
      </c>
      <c r="B51" s="683">
        <v>2.6180699999999999</v>
      </c>
      <c r="C51" s="683">
        <v>2.42727</v>
      </c>
      <c r="D51" s="684">
        <f t="shared" si="0"/>
        <v>7.8606829895314423E-2</v>
      </c>
      <c r="E51" s="138"/>
      <c r="F51" s="138"/>
      <c r="G51" s="138"/>
      <c r="H51" s="138"/>
      <c r="I51" s="138"/>
      <c r="J51" s="138"/>
      <c r="L51" s="785" t="s">
        <v>236</v>
      </c>
      <c r="M51" s="784">
        <v>72.859000000000009</v>
      </c>
      <c r="N51" s="784">
        <v>94.074659999999994</v>
      </c>
      <c r="O51" s="728"/>
    </row>
    <row r="52" spans="1:15" ht="12" customHeight="1">
      <c r="A52" s="686" t="s">
        <v>112</v>
      </c>
      <c r="B52" s="680">
        <v>2.5543200000000001</v>
      </c>
      <c r="C52" s="680">
        <v>2.31291</v>
      </c>
      <c r="D52" s="681">
        <f t="shared" si="0"/>
        <v>0.10437500810667077</v>
      </c>
      <c r="E52" s="138"/>
      <c r="F52" s="138"/>
      <c r="G52" s="138"/>
      <c r="H52" s="138"/>
      <c r="I52" s="138"/>
      <c r="J52" s="138"/>
      <c r="L52" s="785" t="s">
        <v>105</v>
      </c>
      <c r="M52" s="784">
        <v>89.145039999999995</v>
      </c>
      <c r="N52" s="784">
        <v>0</v>
      </c>
      <c r="O52" s="728"/>
    </row>
    <row r="53" spans="1:15" ht="9.75" customHeight="1">
      <c r="A53" s="685" t="s">
        <v>115</v>
      </c>
      <c r="B53" s="683">
        <v>1.9338599999999999</v>
      </c>
      <c r="C53" s="683">
        <v>1.3103199999999999</v>
      </c>
      <c r="D53" s="684">
        <f t="shared" si="0"/>
        <v>0.47586849013981314</v>
      </c>
      <c r="E53" s="138"/>
      <c r="F53" s="138"/>
      <c r="G53" s="138"/>
      <c r="H53" s="138"/>
      <c r="I53" s="138"/>
      <c r="J53" s="138"/>
      <c r="L53" s="785" t="s">
        <v>99</v>
      </c>
      <c r="M53" s="784">
        <v>90.099869999999996</v>
      </c>
      <c r="N53" s="784">
        <v>92.051659999999998</v>
      </c>
      <c r="O53" s="728"/>
    </row>
    <row r="54" spans="1:15" ht="9.75" customHeight="1">
      <c r="A54" s="679" t="s">
        <v>409</v>
      </c>
      <c r="B54" s="680">
        <v>0.52800000000000002</v>
      </c>
      <c r="C54" s="680">
        <v>0</v>
      </c>
      <c r="D54" s="681" t="str">
        <f t="shared" si="0"/>
        <v/>
      </c>
      <c r="E54" s="138"/>
      <c r="F54" s="138"/>
      <c r="G54" s="138"/>
      <c r="H54" s="138"/>
      <c r="I54" s="138"/>
      <c r="J54" s="138"/>
      <c r="L54" s="785" t="s">
        <v>96</v>
      </c>
      <c r="M54" s="784">
        <v>91.749669999999995</v>
      </c>
      <c r="N54" s="784">
        <v>91.338499999999996</v>
      </c>
      <c r="O54" s="728"/>
    </row>
    <row r="55" spans="1:15" ht="9.75" customHeight="1">
      <c r="A55" s="682" t="s">
        <v>486</v>
      </c>
      <c r="B55" s="683">
        <v>0.30436000000000002</v>
      </c>
      <c r="C55" s="683"/>
      <c r="D55" s="684" t="str">
        <f t="shared" si="0"/>
        <v/>
      </c>
      <c r="E55" s="138"/>
      <c r="F55" s="138"/>
      <c r="G55" s="138"/>
      <c r="H55" s="138"/>
      <c r="I55" s="138"/>
      <c r="J55" s="138"/>
      <c r="L55" s="785" t="s">
        <v>98</v>
      </c>
      <c r="M55" s="784">
        <v>119.07773</v>
      </c>
      <c r="N55" s="784">
        <v>128.52634</v>
      </c>
      <c r="O55" s="728"/>
    </row>
    <row r="56" spans="1:15" ht="9.75" customHeight="1">
      <c r="A56" s="679" t="s">
        <v>234</v>
      </c>
      <c r="B56" s="680">
        <v>0</v>
      </c>
      <c r="C56" s="680">
        <v>0</v>
      </c>
      <c r="D56" s="681" t="str">
        <f t="shared" si="0"/>
        <v/>
      </c>
      <c r="E56" s="138"/>
      <c r="F56" s="138"/>
      <c r="G56" s="138"/>
      <c r="H56" s="138"/>
      <c r="I56" s="138"/>
      <c r="J56" s="138"/>
      <c r="L56" s="785" t="s">
        <v>92</v>
      </c>
      <c r="M56" s="784">
        <v>125.73308</v>
      </c>
      <c r="N56" s="784">
        <v>139.61899</v>
      </c>
      <c r="O56" s="728"/>
    </row>
    <row r="57" spans="1:15" ht="9.75" customHeight="1">
      <c r="A57" s="682" t="s">
        <v>116</v>
      </c>
      <c r="B57" s="683">
        <v>0</v>
      </c>
      <c r="C57" s="683">
        <v>0</v>
      </c>
      <c r="D57" s="684" t="str">
        <f t="shared" si="0"/>
        <v/>
      </c>
      <c r="E57" s="138"/>
      <c r="F57" s="138"/>
      <c r="G57" s="138"/>
      <c r="H57" s="138"/>
      <c r="I57" s="138"/>
      <c r="J57" s="138"/>
      <c r="L57" s="785" t="s">
        <v>91</v>
      </c>
      <c r="M57" s="784">
        <v>145.75068999999999</v>
      </c>
      <c r="N57" s="784">
        <v>167.37198999999998</v>
      </c>
      <c r="O57" s="728"/>
    </row>
    <row r="58" spans="1:15" ht="9.75" customHeight="1">
      <c r="A58" s="679" t="s">
        <v>110</v>
      </c>
      <c r="B58" s="680">
        <v>0</v>
      </c>
      <c r="C58" s="680">
        <v>0</v>
      </c>
      <c r="D58" s="681" t="str">
        <f t="shared" si="0"/>
        <v/>
      </c>
      <c r="E58" s="138"/>
      <c r="F58" s="138"/>
      <c r="G58" s="138"/>
      <c r="H58" s="138"/>
      <c r="I58" s="138"/>
      <c r="J58" s="138"/>
      <c r="L58" s="785" t="s">
        <v>94</v>
      </c>
      <c r="M58" s="784">
        <v>157.25013999999999</v>
      </c>
      <c r="N58" s="784">
        <v>203.70605999999998</v>
      </c>
      <c r="O58" s="728"/>
    </row>
    <row r="59" spans="1:15" ht="9.75" customHeight="1">
      <c r="A59" s="682" t="s">
        <v>107</v>
      </c>
      <c r="B59" s="683">
        <v>0</v>
      </c>
      <c r="C59" s="683">
        <v>0</v>
      </c>
      <c r="D59" s="684" t="str">
        <f t="shared" si="0"/>
        <v/>
      </c>
      <c r="E59" s="138"/>
      <c r="F59" s="138"/>
      <c r="G59" s="138"/>
      <c r="H59" s="138"/>
      <c r="I59" s="138"/>
      <c r="J59" s="138"/>
      <c r="L59" s="785" t="s">
        <v>93</v>
      </c>
      <c r="M59" s="784">
        <v>166.60892999999999</v>
      </c>
      <c r="N59" s="784">
        <v>144.20676</v>
      </c>
      <c r="O59" s="728"/>
    </row>
    <row r="60" spans="1:15" ht="9.75" customHeight="1">
      <c r="A60" s="679" t="s">
        <v>241</v>
      </c>
      <c r="B60" s="680">
        <v>0</v>
      </c>
      <c r="C60" s="680">
        <v>0</v>
      </c>
      <c r="D60" s="681" t="str">
        <f t="shared" si="0"/>
        <v/>
      </c>
      <c r="E60" s="138"/>
      <c r="F60" s="138"/>
      <c r="G60" s="138"/>
      <c r="H60" s="138"/>
      <c r="I60" s="138"/>
      <c r="J60" s="138"/>
      <c r="L60" s="785" t="s">
        <v>239</v>
      </c>
      <c r="M60" s="784">
        <v>205.41876000000005</v>
      </c>
      <c r="N60" s="784">
        <v>179.07745999999997</v>
      </c>
      <c r="O60" s="728"/>
    </row>
    <row r="61" spans="1:15" ht="9.75" customHeight="1">
      <c r="A61" s="688" t="s">
        <v>242</v>
      </c>
      <c r="B61" s="689">
        <v>0</v>
      </c>
      <c r="C61" s="689">
        <v>0</v>
      </c>
      <c r="D61" s="684" t="str">
        <f t="shared" si="0"/>
        <v/>
      </c>
      <c r="E61" s="138"/>
      <c r="F61" s="138"/>
      <c r="G61" s="138"/>
      <c r="H61" s="138"/>
      <c r="I61" s="138"/>
      <c r="J61" s="138"/>
      <c r="L61" s="785" t="s">
        <v>90</v>
      </c>
      <c r="M61" s="784">
        <v>256.80173000000002</v>
      </c>
      <c r="N61" s="784">
        <v>259.27860999999996</v>
      </c>
      <c r="O61" s="728"/>
    </row>
    <row r="62" spans="1:15" ht="9.75" customHeight="1">
      <c r="A62" s="690" t="s">
        <v>117</v>
      </c>
      <c r="B62" s="691">
        <v>0</v>
      </c>
      <c r="C62" s="691">
        <v>0</v>
      </c>
      <c r="D62" s="692" t="str">
        <f t="shared" si="0"/>
        <v/>
      </c>
      <c r="E62" s="138"/>
      <c r="F62" s="138"/>
      <c r="G62" s="138"/>
      <c r="H62" s="138"/>
      <c r="I62" s="138"/>
      <c r="J62" s="138"/>
      <c r="L62" s="785" t="s">
        <v>100</v>
      </c>
      <c r="M62" s="784">
        <v>290.87457999999998</v>
      </c>
      <c r="N62" s="784">
        <v>0</v>
      </c>
      <c r="O62" s="728"/>
    </row>
    <row r="63" spans="1:15" ht="9.75" customHeight="1">
      <c r="A63" s="688" t="s">
        <v>109</v>
      </c>
      <c r="B63" s="689">
        <v>0</v>
      </c>
      <c r="C63" s="689">
        <v>0</v>
      </c>
      <c r="D63" s="675" t="str">
        <f t="shared" si="0"/>
        <v/>
      </c>
      <c r="E63" s="138"/>
      <c r="F63" s="138"/>
      <c r="G63" s="138"/>
      <c r="H63" s="138"/>
      <c r="I63" s="138"/>
      <c r="J63" s="138"/>
      <c r="L63" s="785" t="s">
        <v>235</v>
      </c>
      <c r="M63" s="784">
        <v>315.66933</v>
      </c>
      <c r="N63" s="784">
        <v>30.739879999999999</v>
      </c>
      <c r="O63" s="728"/>
    </row>
    <row r="64" spans="1:15" ht="9.75" customHeight="1">
      <c r="A64" s="690" t="s">
        <v>426</v>
      </c>
      <c r="B64" s="691">
        <v>0</v>
      </c>
      <c r="C64" s="691">
        <v>5.82</v>
      </c>
      <c r="D64" s="692">
        <f t="shared" si="0"/>
        <v>-1</v>
      </c>
      <c r="E64" s="138"/>
      <c r="F64" s="138"/>
      <c r="G64" s="138"/>
      <c r="H64" s="138"/>
      <c r="I64" s="138"/>
      <c r="J64" s="138"/>
      <c r="L64" s="785" t="s">
        <v>237</v>
      </c>
      <c r="M64" s="784">
        <v>540.08069</v>
      </c>
      <c r="N64" s="784">
        <v>546.11649</v>
      </c>
      <c r="O64" s="728"/>
    </row>
    <row r="65" spans="1:17" s="574" customFormat="1" ht="9.75" customHeight="1">
      <c r="A65" s="688" t="s">
        <v>483</v>
      </c>
      <c r="B65" s="689">
        <v>0</v>
      </c>
      <c r="C65" s="689">
        <v>0</v>
      </c>
      <c r="D65" s="675" t="str">
        <f t="shared" si="0"/>
        <v/>
      </c>
      <c r="E65" s="138"/>
      <c r="F65" s="138"/>
      <c r="G65" s="138"/>
      <c r="H65" s="138"/>
      <c r="I65" s="138"/>
      <c r="J65" s="138"/>
      <c r="L65" s="785" t="s">
        <v>407</v>
      </c>
      <c r="M65" s="784">
        <v>785.20920999999987</v>
      </c>
      <c r="N65" s="784">
        <v>791.83739000000003</v>
      </c>
      <c r="O65" s="728"/>
      <c r="P65" s="278"/>
      <c r="Q65" s="278"/>
    </row>
    <row r="66" spans="1:17" s="574" customFormat="1" ht="9.75" customHeight="1">
      <c r="A66" s="690" t="s">
        <v>484</v>
      </c>
      <c r="B66" s="691">
        <v>0</v>
      </c>
      <c r="C66" s="691">
        <v>0</v>
      </c>
      <c r="D66" s="692" t="str">
        <f t="shared" si="0"/>
        <v/>
      </c>
      <c r="E66" s="138"/>
      <c r="F66" s="138"/>
      <c r="G66" s="138"/>
      <c r="H66" s="138"/>
      <c r="I66" s="138"/>
      <c r="J66" s="138"/>
      <c r="L66" s="785" t="s">
        <v>89</v>
      </c>
      <c r="M66" s="784">
        <v>853.06079999999986</v>
      </c>
      <c r="N66" s="784">
        <v>869.16816000000006</v>
      </c>
      <c r="O66" s="728"/>
      <c r="P66" s="278"/>
      <c r="Q66" s="278"/>
    </row>
    <row r="67" spans="1:17" s="574" customFormat="1" ht="9.75" customHeight="1">
      <c r="A67" s="688" t="s">
        <v>485</v>
      </c>
      <c r="B67" s="689">
        <v>0</v>
      </c>
      <c r="C67" s="689"/>
      <c r="D67" s="675" t="str">
        <f t="shared" si="0"/>
        <v/>
      </c>
      <c r="E67" s="138"/>
      <c r="F67" s="138"/>
      <c r="G67" s="138"/>
      <c r="H67" s="138"/>
      <c r="I67" s="138"/>
      <c r="J67" s="138"/>
      <c r="L67" s="785" t="s">
        <v>87</v>
      </c>
      <c r="M67" s="787">
        <v>972.13833000000011</v>
      </c>
      <c r="N67" s="787">
        <v>929.21021999999994</v>
      </c>
      <c r="O67" s="728"/>
      <c r="P67" s="278"/>
      <c r="Q67" s="278"/>
    </row>
    <row r="68" spans="1:17" s="574" customFormat="1" ht="9.75" customHeight="1">
      <c r="A68" s="690" t="s">
        <v>487</v>
      </c>
      <c r="B68" s="691">
        <v>0</v>
      </c>
      <c r="C68" s="691">
        <v>0.82318000000000002</v>
      </c>
      <c r="D68" s="692">
        <f t="shared" si="0"/>
        <v>-1</v>
      </c>
      <c r="E68" s="138"/>
      <c r="F68" s="138"/>
      <c r="G68" s="138"/>
      <c r="H68" s="138"/>
      <c r="I68" s="138"/>
      <c r="J68" s="138"/>
      <c r="L68" s="785" t="s">
        <v>88</v>
      </c>
      <c r="M68" s="788">
        <v>1060.53989</v>
      </c>
      <c r="N68" s="788">
        <v>872.75891000000001</v>
      </c>
      <c r="O68" s="728"/>
      <c r="P68" s="278"/>
      <c r="Q68" s="278"/>
    </row>
    <row r="69" spans="1:17" ht="9.75" customHeight="1">
      <c r="A69" s="693" t="s">
        <v>42</v>
      </c>
      <c r="B69" s="694">
        <f>SUM(B7:B68)</f>
        <v>6903.8388500000037</v>
      </c>
      <c r="C69" s="694">
        <f>SUM(C7:C68)</f>
        <v>6062.937069999999</v>
      </c>
      <c r="D69" s="695">
        <f>IF(C69=0,"",B69/C69-1)</f>
        <v>0.13869544913485377</v>
      </c>
      <c r="E69" s="138"/>
      <c r="F69" s="138"/>
      <c r="G69" s="138"/>
      <c r="H69" s="138"/>
      <c r="I69" s="138"/>
      <c r="J69" s="138"/>
      <c r="O69" s="728"/>
    </row>
    <row r="70" spans="1:17" ht="31.2" customHeight="1">
      <c r="A70" s="856" t="str">
        <f>"Cuadro N° 8: Participación de las empresas generadoras del COES en la máxima potencia coincidente (MW) en "&amp;'1. Resumen'!Q4</f>
        <v>Cuadro N° 8: Participación de las empresas generadoras del COES en la máxima potencia coincidente (MW) en junio</v>
      </c>
      <c r="B70" s="856"/>
      <c r="C70" s="856"/>
      <c r="D70" s="856"/>
      <c r="E70" s="132"/>
      <c r="F70" s="856" t="str">
        <f>"Gráfico N° 12: Comparación de la máxima potencia coincidente  (MW) de las empresas generadoras del COES en "&amp;'1. Resumen'!Q4</f>
        <v>Gráfico N° 12: Comparación de la máxima potencia coincidente  (MW) de las empresas generadoras del COES en junio</v>
      </c>
      <c r="G70" s="856"/>
      <c r="H70" s="856"/>
      <c r="I70" s="856"/>
      <c r="J70" s="856"/>
    </row>
    <row r="71" spans="1:17">
      <c r="A71" s="869"/>
      <c r="B71" s="869"/>
      <c r="C71" s="869"/>
      <c r="D71" s="869"/>
      <c r="E71" s="869"/>
      <c r="F71" s="869"/>
      <c r="G71" s="869"/>
      <c r="H71" s="869"/>
      <c r="I71" s="869"/>
      <c r="J71" s="869"/>
    </row>
    <row r="72" spans="1:17">
      <c r="A72" s="868"/>
      <c r="B72" s="868"/>
      <c r="C72" s="868"/>
      <c r="D72" s="868"/>
      <c r="E72" s="868"/>
      <c r="F72" s="868"/>
      <c r="G72" s="868"/>
      <c r="H72" s="868"/>
      <c r="I72" s="868"/>
      <c r="J72" s="868"/>
    </row>
  </sheetData>
  <mergeCells count="9">
    <mergeCell ref="A72:J72"/>
    <mergeCell ref="A71:J71"/>
    <mergeCell ref="A70:D70"/>
    <mergeCell ref="F70:J70"/>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4" orientation="portrait" r:id="rId1"/>
  <headerFooter>
    <oddHeader>&amp;R&amp;7Informe de la Operación Mensual - Junio 2021
INFSGI-MES-06-2021
12/07/2021
Versión: 01</oddHeader>
    <oddFooter>&amp;L&amp;7COES, 2021&amp;C9&amp;R&amp;7Dirección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topLeftCell="A5" zoomScaleNormal="100" zoomScaleSheetLayoutView="100" workbookViewId="0">
      <selection activeCell="Q12" sqref="Q12:Q37"/>
    </sheetView>
  </sheetViews>
  <sheetFormatPr baseColWidth="10" defaultColWidth="9.28515625" defaultRowHeight="10.199999999999999"/>
  <cols>
    <col min="1" max="1" width="7.7109375" style="46" customWidth="1"/>
    <col min="2" max="2" width="9.85546875" style="46" customWidth="1"/>
    <col min="3" max="3" width="31.42578125" style="46" customWidth="1"/>
    <col min="4" max="5" width="12.7109375" style="46" customWidth="1"/>
    <col min="6" max="6" width="12.140625" style="46" customWidth="1"/>
    <col min="7" max="8" width="9.28515625" style="46"/>
    <col min="9" max="9" width="10.42578125" style="46" customWidth="1"/>
    <col min="10" max="11" width="9.28515625" style="548" customWidth="1"/>
    <col min="12" max="12" width="9.28515625" style="548"/>
    <col min="13" max="18" width="9.28515625" style="277"/>
    <col min="19" max="21" width="9.28515625" style="548"/>
    <col min="22" max="31" width="9.28515625" style="298"/>
    <col min="32" max="16384" width="9.28515625" style="46"/>
  </cols>
  <sheetData>
    <row r="1" spans="1:38" ht="11.25" customHeight="1"/>
    <row r="2" spans="1:38" ht="17.25" customHeight="1">
      <c r="A2" s="860" t="s">
        <v>250</v>
      </c>
      <c r="B2" s="860"/>
      <c r="C2" s="860"/>
      <c r="D2" s="860"/>
      <c r="E2" s="860"/>
      <c r="F2" s="860"/>
      <c r="G2" s="860"/>
      <c r="H2" s="860"/>
    </row>
    <row r="3" spans="1:38" ht="11.25" customHeight="1">
      <c r="A3" s="77"/>
      <c r="B3" s="77"/>
      <c r="C3" s="77"/>
      <c r="D3" s="77"/>
      <c r="E3" s="77"/>
      <c r="F3" s="82"/>
      <c r="G3" s="82"/>
      <c r="H3" s="82"/>
      <c r="I3" s="36"/>
      <c r="J3" s="300"/>
    </row>
    <row r="4" spans="1:38" ht="15.75" customHeight="1">
      <c r="A4" s="878" t="s">
        <v>434</v>
      </c>
      <c r="B4" s="878"/>
      <c r="C4" s="878"/>
      <c r="D4" s="878"/>
      <c r="E4" s="878"/>
      <c r="F4" s="878"/>
      <c r="G4" s="878"/>
      <c r="H4" s="878"/>
      <c r="I4" s="36"/>
      <c r="J4" s="300"/>
    </row>
    <row r="5" spans="1:38" ht="11.25" customHeight="1">
      <c r="A5" s="77"/>
      <c r="B5" s="164"/>
      <c r="C5" s="79"/>
      <c r="D5" s="79"/>
      <c r="E5" s="80"/>
      <c r="F5" s="76"/>
      <c r="G5" s="76"/>
      <c r="H5" s="81"/>
      <c r="I5" s="165"/>
      <c r="J5" s="757"/>
    </row>
    <row r="6" spans="1:38" ht="42.75" customHeight="1">
      <c r="A6" s="77"/>
      <c r="C6" s="380" t="s">
        <v>122</v>
      </c>
      <c r="D6" s="381" t="s">
        <v>672</v>
      </c>
      <c r="E6" s="381" t="s">
        <v>673</v>
      </c>
      <c r="F6" s="382" t="s">
        <v>123</v>
      </c>
      <c r="G6" s="169"/>
      <c r="H6" s="170"/>
    </row>
    <row r="7" spans="1:38" ht="11.25" customHeight="1">
      <c r="A7" s="77"/>
      <c r="C7" s="421" t="s">
        <v>124</v>
      </c>
      <c r="D7" s="422">
        <v>23.1410007476806</v>
      </c>
      <c r="E7" s="581">
        <v>25.743999479999999</v>
      </c>
      <c r="F7" s="423">
        <f>IF(E7=0,"",(D7-E7)/E7)</f>
        <v>-0.10111089127163855</v>
      </c>
      <c r="G7" s="137"/>
      <c r="H7" s="265"/>
    </row>
    <row r="8" spans="1:38" ht="11.25" customHeight="1">
      <c r="A8" s="77"/>
      <c r="C8" s="424" t="s">
        <v>125</v>
      </c>
      <c r="D8" s="425">
        <v>131.18699645996</v>
      </c>
      <c r="E8" s="426">
        <v>129.48599239999999</v>
      </c>
      <c r="F8" s="427">
        <f t="shared" ref="F8:F20" si="0">IF(E8=0,"",(D8-E8)/E8)</f>
        <v>1.3136587428741932E-2</v>
      </c>
      <c r="G8" s="137"/>
      <c r="H8" s="265"/>
    </row>
    <row r="9" spans="1:38" ht="11.25" customHeight="1">
      <c r="A9" s="77"/>
      <c r="C9" s="428" t="s">
        <v>126</v>
      </c>
      <c r="D9" s="429">
        <v>82.654998779296804</v>
      </c>
      <c r="E9" s="430">
        <v>82.680999760000006</v>
      </c>
      <c r="F9" s="431">
        <f t="shared" si="0"/>
        <v>-3.1447346764886289E-4</v>
      </c>
      <c r="G9" s="137"/>
      <c r="H9" s="265"/>
      <c r="M9" s="711" t="s">
        <v>256</v>
      </c>
      <c r="N9" s="278"/>
      <c r="O9" s="278"/>
      <c r="P9" s="278"/>
      <c r="Q9" s="278"/>
      <c r="R9" s="278"/>
      <c r="S9" s="514"/>
      <c r="T9" s="514"/>
      <c r="U9" s="514"/>
      <c r="V9" s="299"/>
      <c r="W9" s="299"/>
      <c r="X9" s="299"/>
      <c r="Y9" s="299"/>
      <c r="Z9" s="299"/>
      <c r="AA9" s="299"/>
      <c r="AB9" s="299"/>
      <c r="AC9" s="299"/>
      <c r="AD9" s="299"/>
      <c r="AE9" s="299"/>
      <c r="AF9" s="216"/>
      <c r="AG9" s="216"/>
      <c r="AH9" s="216"/>
      <c r="AI9" s="216"/>
      <c r="AJ9" s="216"/>
      <c r="AK9" s="216"/>
      <c r="AL9" s="216"/>
    </row>
    <row r="10" spans="1:38" ht="11.25" customHeight="1">
      <c r="A10" s="77"/>
      <c r="C10" s="424" t="s">
        <v>127</v>
      </c>
      <c r="D10" s="425">
        <v>70.005996704101506</v>
      </c>
      <c r="E10" s="426">
        <v>70.716003420000007</v>
      </c>
      <c r="F10" s="427">
        <f t="shared" si="0"/>
        <v>-1.0040255126998538E-2</v>
      </c>
      <c r="G10" s="137"/>
      <c r="H10" s="265"/>
      <c r="M10" s="711" t="s">
        <v>257</v>
      </c>
      <c r="N10" s="278"/>
      <c r="O10" s="278"/>
      <c r="P10" s="278"/>
      <c r="Q10" s="278"/>
      <c r="R10" s="278"/>
      <c r="S10" s="514"/>
      <c r="T10" s="514"/>
      <c r="AD10" s="299"/>
      <c r="AE10" s="299"/>
      <c r="AF10" s="216"/>
      <c r="AG10" s="216"/>
      <c r="AH10" s="216"/>
      <c r="AI10" s="216"/>
      <c r="AJ10" s="216"/>
      <c r="AK10" s="216"/>
      <c r="AL10" s="216"/>
    </row>
    <row r="11" spans="1:38" ht="11.25" customHeight="1">
      <c r="A11" s="77"/>
      <c r="C11" s="428" t="s">
        <v>128</v>
      </c>
      <c r="D11" s="429">
        <v>32.75</v>
      </c>
      <c r="E11" s="430">
        <v>27.541000369999999</v>
      </c>
      <c r="F11" s="431">
        <f>IF(E11=0,"",(D11-E11)/E11)</f>
        <v>0.18913618096727114</v>
      </c>
      <c r="G11" s="137"/>
      <c r="H11" s="265"/>
      <c r="M11" s="278"/>
      <c r="N11" s="713">
        <v>2018</v>
      </c>
      <c r="O11" s="713">
        <v>2019</v>
      </c>
      <c r="P11" s="713">
        <v>2020</v>
      </c>
      <c r="Q11" s="713">
        <v>2021</v>
      </c>
      <c r="R11" s="278"/>
      <c r="S11" s="514"/>
      <c r="T11" s="514"/>
      <c r="AD11" s="299"/>
      <c r="AE11" s="299"/>
      <c r="AF11" s="216"/>
      <c r="AG11" s="216"/>
      <c r="AH11" s="216"/>
      <c r="AI11" s="216"/>
      <c r="AJ11" s="216"/>
      <c r="AK11" s="216"/>
      <c r="AL11" s="216"/>
    </row>
    <row r="12" spans="1:38" ht="11.25" customHeight="1">
      <c r="A12" s="77"/>
      <c r="C12" s="424" t="s">
        <v>129</v>
      </c>
      <c r="D12" s="425">
        <v>25.799999237060501</v>
      </c>
      <c r="E12" s="426">
        <v>4.5</v>
      </c>
      <c r="F12" s="427">
        <f t="shared" si="0"/>
        <v>4.7333331637912224</v>
      </c>
      <c r="G12" s="137"/>
      <c r="H12" s="265"/>
      <c r="M12" s="714">
        <v>1</v>
      </c>
      <c r="N12" s="715">
        <v>104.46</v>
      </c>
      <c r="O12" s="715">
        <v>117.2900009</v>
      </c>
      <c r="P12" s="715">
        <v>117.290000915527</v>
      </c>
      <c r="Q12" s="624">
        <v>129.00799559999999</v>
      </c>
      <c r="R12" s="278"/>
      <c r="S12" s="514"/>
      <c r="T12" s="514"/>
      <c r="AD12" s="299"/>
      <c r="AE12" s="299"/>
      <c r="AF12" s="216"/>
      <c r="AG12" s="216"/>
      <c r="AH12" s="216"/>
      <c r="AI12" s="216"/>
      <c r="AJ12" s="216"/>
      <c r="AK12" s="216"/>
      <c r="AL12" s="216"/>
    </row>
    <row r="13" spans="1:38" ht="11.25" customHeight="1">
      <c r="A13" s="77"/>
      <c r="C13" s="428" t="s">
        <v>130</v>
      </c>
      <c r="D13" s="429">
        <v>98.089996337890597</v>
      </c>
      <c r="E13" s="430">
        <v>104.6800003</v>
      </c>
      <c r="F13" s="431">
        <f t="shared" si="0"/>
        <v>-6.2953801521047625E-2</v>
      </c>
      <c r="G13" s="137"/>
      <c r="H13" s="265"/>
      <c r="M13" s="714">
        <v>2</v>
      </c>
      <c r="N13" s="715">
        <v>103.4720001</v>
      </c>
      <c r="O13" s="715">
        <v>116.0110016</v>
      </c>
      <c r="P13" s="715">
        <v>146.93600459999999</v>
      </c>
      <c r="Q13" s="624">
        <v>140.9219971</v>
      </c>
      <c r="R13" s="278"/>
      <c r="S13" s="514"/>
      <c r="T13" s="514"/>
      <c r="AD13" s="299"/>
      <c r="AE13" s="299"/>
      <c r="AF13" s="216"/>
      <c r="AG13" s="216"/>
      <c r="AH13" s="216"/>
      <c r="AI13" s="216"/>
      <c r="AJ13" s="216"/>
      <c r="AK13" s="216"/>
      <c r="AL13" s="216"/>
    </row>
    <row r="14" spans="1:38" ht="11.25" customHeight="1">
      <c r="A14" s="77"/>
      <c r="C14" s="424" t="s">
        <v>131</v>
      </c>
      <c r="D14" s="425">
        <v>249.29100036621</v>
      </c>
      <c r="E14" s="426">
        <v>256.50100709999998</v>
      </c>
      <c r="F14" s="427">
        <f t="shared" si="0"/>
        <v>-2.8109077680849318E-2</v>
      </c>
      <c r="G14" s="137"/>
      <c r="H14" s="265"/>
      <c r="M14" s="714">
        <v>3</v>
      </c>
      <c r="N14" s="715">
        <v>106.08699799999999</v>
      </c>
      <c r="O14" s="715">
        <v>117.6</v>
      </c>
      <c r="P14" s="715">
        <v>149.93200680000001</v>
      </c>
      <c r="Q14" s="624">
        <v>146.8099976</v>
      </c>
      <c r="R14" s="278"/>
      <c r="S14" s="514"/>
      <c r="T14" s="514"/>
      <c r="AD14" s="299"/>
      <c r="AE14" s="299"/>
      <c r="AF14" s="216"/>
      <c r="AG14" s="216"/>
      <c r="AH14" s="216"/>
      <c r="AI14" s="216"/>
      <c r="AJ14" s="216"/>
      <c r="AK14" s="216"/>
      <c r="AL14" s="216"/>
    </row>
    <row r="15" spans="1:38" ht="11.25" customHeight="1">
      <c r="A15" s="77"/>
      <c r="C15" s="428" t="s">
        <v>132</v>
      </c>
      <c r="D15" s="429">
        <v>44.7299995422363</v>
      </c>
      <c r="E15" s="430">
        <v>65.449996949999999</v>
      </c>
      <c r="F15" s="431">
        <f t="shared" si="0"/>
        <v>-0.31657751525324862</v>
      </c>
      <c r="G15" s="137"/>
      <c r="H15" s="265"/>
      <c r="M15" s="714">
        <v>4</v>
      </c>
      <c r="N15" s="715">
        <v>112.7200012</v>
      </c>
      <c r="O15" s="715">
        <v>128.32000729999999</v>
      </c>
      <c r="P15" s="715">
        <v>152.6190033</v>
      </c>
      <c r="Q15" s="624">
        <v>159.0500031</v>
      </c>
      <c r="R15" s="278"/>
      <c r="S15" s="514"/>
      <c r="T15" s="514"/>
      <c r="AD15" s="299"/>
      <c r="AE15" s="299"/>
      <c r="AF15" s="216"/>
      <c r="AG15" s="216"/>
      <c r="AH15" s="216"/>
      <c r="AI15" s="216"/>
      <c r="AJ15" s="216"/>
      <c r="AK15" s="216"/>
      <c r="AL15" s="216"/>
    </row>
    <row r="16" spans="1:38" ht="11.25" customHeight="1">
      <c r="A16" s="77"/>
      <c r="C16" s="424" t="s">
        <v>133</v>
      </c>
      <c r="D16" s="425">
        <v>274.18798828125</v>
      </c>
      <c r="E16" s="426">
        <v>276.45400999999998</v>
      </c>
      <c r="F16" s="427">
        <f t="shared" si="0"/>
        <v>-8.1967402778855784E-3</v>
      </c>
      <c r="G16" s="137"/>
      <c r="H16" s="265"/>
      <c r="M16" s="714">
        <v>5</v>
      </c>
      <c r="N16" s="715">
        <v>122.3190002</v>
      </c>
      <c r="O16" s="715">
        <v>139.2400055</v>
      </c>
      <c r="P16" s="715">
        <v>162.19599909999999</v>
      </c>
      <c r="Q16" s="624">
        <v>174.75</v>
      </c>
      <c r="R16" s="278"/>
      <c r="S16" s="514"/>
      <c r="T16" s="514"/>
      <c r="AD16" s="299"/>
      <c r="AE16" s="299"/>
      <c r="AF16" s="216"/>
      <c r="AG16" s="216"/>
      <c r="AH16" s="216"/>
      <c r="AI16" s="216"/>
      <c r="AJ16" s="216"/>
      <c r="AK16" s="216"/>
      <c r="AL16" s="216"/>
    </row>
    <row r="17" spans="1:38" ht="11.25" customHeight="1">
      <c r="A17" s="77"/>
      <c r="C17" s="428" t="s">
        <v>134</v>
      </c>
      <c r="D17" s="429">
        <v>172.33999633789</v>
      </c>
      <c r="E17" s="430">
        <v>190.57000729999999</v>
      </c>
      <c r="F17" s="431">
        <f t="shared" si="0"/>
        <v>-9.5660441117640591E-2</v>
      </c>
      <c r="G17" s="137"/>
      <c r="H17" s="265"/>
      <c r="M17" s="714">
        <v>6</v>
      </c>
      <c r="N17" s="715">
        <v>126.1559982</v>
      </c>
      <c r="O17" s="715">
        <v>150.94</v>
      </c>
      <c r="P17" s="715">
        <v>168.51100158691401</v>
      </c>
      <c r="Q17" s="624">
        <v>179.64900209999999</v>
      </c>
      <c r="R17" s="278"/>
      <c r="S17" s="514"/>
      <c r="T17" s="514"/>
      <c r="AD17" s="299"/>
      <c r="AE17" s="299"/>
      <c r="AF17" s="216"/>
      <c r="AG17" s="216"/>
      <c r="AH17" s="216"/>
      <c r="AI17" s="216"/>
      <c r="AJ17" s="216"/>
      <c r="AK17" s="216"/>
      <c r="AL17" s="216"/>
    </row>
    <row r="18" spans="1:38" ht="11.25" customHeight="1">
      <c r="A18" s="77"/>
      <c r="C18" s="424" t="s">
        <v>135</v>
      </c>
      <c r="D18" s="425">
        <v>26.117000579833899</v>
      </c>
      <c r="E18" s="426">
        <v>21.402000430000001</v>
      </c>
      <c r="F18" s="427">
        <f t="shared" si="0"/>
        <v>0.22030651598458537</v>
      </c>
      <c r="G18" s="137"/>
      <c r="H18" s="265"/>
      <c r="M18" s="714">
        <v>7</v>
      </c>
      <c r="N18" s="715">
        <v>142.9900055</v>
      </c>
      <c r="O18" s="715">
        <v>162.4909973</v>
      </c>
      <c r="P18" s="715">
        <v>175.46800229999999</v>
      </c>
      <c r="Q18" s="624">
        <v>184.3</v>
      </c>
      <c r="R18" s="278"/>
      <c r="S18" s="514"/>
      <c r="T18" s="514"/>
      <c r="AD18" s="299"/>
      <c r="AE18" s="299"/>
      <c r="AF18" s="216"/>
      <c r="AG18" s="216"/>
      <c r="AH18" s="216"/>
      <c r="AI18" s="216"/>
      <c r="AJ18" s="216"/>
      <c r="AK18" s="216"/>
      <c r="AL18" s="216"/>
    </row>
    <row r="19" spans="1:38" ht="12.75" customHeight="1">
      <c r="A19" s="77"/>
      <c r="C19" s="428" t="s">
        <v>136</v>
      </c>
      <c r="D19" s="429">
        <v>49.126209259033203</v>
      </c>
      <c r="E19" s="430">
        <v>60.294288639999998</v>
      </c>
      <c r="F19" s="431">
        <f t="shared" si="0"/>
        <v>-0.18522615711826723</v>
      </c>
      <c r="G19" s="137"/>
      <c r="H19" s="265"/>
      <c r="M19" s="714">
        <v>8</v>
      </c>
      <c r="N19" s="715">
        <v>134.13600159999999</v>
      </c>
      <c r="O19" s="715">
        <v>169.03700259999999</v>
      </c>
      <c r="P19" s="715">
        <v>188.82800292968699</v>
      </c>
      <c r="Q19" s="624">
        <v>186.76999999999998</v>
      </c>
      <c r="R19" s="278"/>
      <c r="S19" s="514"/>
      <c r="T19" s="514"/>
      <c r="AD19" s="299"/>
      <c r="AE19" s="299"/>
      <c r="AF19" s="216"/>
      <c r="AG19" s="216"/>
      <c r="AH19" s="216"/>
      <c r="AI19" s="216"/>
      <c r="AJ19" s="216"/>
      <c r="AK19" s="216"/>
      <c r="AL19" s="216"/>
    </row>
    <row r="20" spans="1:38" ht="13.5" customHeight="1">
      <c r="A20" s="77"/>
      <c r="C20" s="424" t="s">
        <v>137</v>
      </c>
      <c r="D20" s="425">
        <v>23.315750122070298</v>
      </c>
      <c r="E20" s="426">
        <v>23.14889908</v>
      </c>
      <c r="F20" s="427">
        <f t="shared" si="0"/>
        <v>7.2077311967916995E-3</v>
      </c>
      <c r="G20" s="137"/>
      <c r="H20" s="265"/>
      <c r="M20" s="714">
        <v>9</v>
      </c>
      <c r="N20" s="715">
        <v>153.34500120000001</v>
      </c>
      <c r="O20" s="715">
        <v>182.64300539999999</v>
      </c>
      <c r="P20" s="715">
        <v>196.47700499999999</v>
      </c>
      <c r="Q20" s="624">
        <v>193.21000671386699</v>
      </c>
      <c r="R20" s="278"/>
      <c r="S20" s="514"/>
      <c r="T20" s="514"/>
      <c r="AD20" s="299"/>
      <c r="AE20" s="299"/>
      <c r="AF20" s="216"/>
      <c r="AG20" s="216"/>
      <c r="AH20" s="216"/>
      <c r="AI20" s="216"/>
      <c r="AJ20" s="216"/>
      <c r="AK20" s="216"/>
      <c r="AL20" s="216"/>
    </row>
    <row r="21" spans="1:38" ht="11.25" customHeight="1">
      <c r="A21" s="77"/>
      <c r="C21" s="428" t="s">
        <v>138</v>
      </c>
      <c r="D21" s="429">
        <v>6.7859997749328604</v>
      </c>
      <c r="E21" s="430">
        <v>5.5409998890000001</v>
      </c>
      <c r="F21" s="431">
        <f t="shared" ref="F21:F27" si="1">IF(E21=0,"",(D21-E21)/E21)</f>
        <v>0.22468866826805675</v>
      </c>
      <c r="M21" s="714">
        <v>10</v>
      </c>
      <c r="N21" s="715">
        <v>153.0590057</v>
      </c>
      <c r="O21" s="715">
        <v>190.99600219999999</v>
      </c>
      <c r="P21" s="715">
        <v>199.98199460000001</v>
      </c>
      <c r="Q21" s="624">
        <v>196.71000670000001</v>
      </c>
      <c r="R21" s="278"/>
      <c r="S21" s="514"/>
      <c r="T21" s="514"/>
      <c r="AD21" s="299"/>
      <c r="AE21" s="299"/>
      <c r="AF21" s="216"/>
      <c r="AG21" s="216"/>
      <c r="AH21" s="216"/>
      <c r="AI21" s="216"/>
      <c r="AJ21" s="216"/>
      <c r="AK21" s="216"/>
      <c r="AL21" s="216"/>
    </row>
    <row r="22" spans="1:38" ht="11.25" customHeight="1">
      <c r="A22" s="77"/>
      <c r="C22" s="424" t="s">
        <v>139</v>
      </c>
      <c r="D22" s="425">
        <v>6.6500000953674299</v>
      </c>
      <c r="E22" s="426">
        <v>6.7179999349999999</v>
      </c>
      <c r="F22" s="427">
        <f t="shared" si="1"/>
        <v>-1.012203636357583E-2</v>
      </c>
      <c r="G22" s="137"/>
      <c r="H22" s="265"/>
      <c r="M22" s="714">
        <v>11</v>
      </c>
      <c r="N22" s="715">
        <v>162.93200680000001</v>
      </c>
      <c r="O22" s="715">
        <v>200.89500427246</v>
      </c>
      <c r="P22" s="715">
        <v>200.89500430000001</v>
      </c>
      <c r="Q22" s="697">
        <v>203.61799619999999</v>
      </c>
      <c r="AF22" s="266"/>
      <c r="AG22" s="266"/>
      <c r="AH22" s="266"/>
      <c r="AI22" s="266"/>
      <c r="AJ22" s="266"/>
      <c r="AK22" s="266"/>
      <c r="AL22" s="266"/>
    </row>
    <row r="23" spans="1:38" ht="11.25" customHeight="1">
      <c r="A23" s="77"/>
      <c r="C23" s="428" t="s">
        <v>414</v>
      </c>
      <c r="D23" s="429">
        <v>2.8740000724792401</v>
      </c>
      <c r="E23" s="430">
        <v>5.2420001029999996</v>
      </c>
      <c r="F23" s="431">
        <f t="shared" si="1"/>
        <v>-0.45173597558030415</v>
      </c>
      <c r="G23" s="137"/>
      <c r="H23" s="265"/>
      <c r="M23" s="714">
        <v>12</v>
      </c>
      <c r="N23" s="715">
        <v>172.76199339999999</v>
      </c>
      <c r="O23" s="715">
        <v>209.09500120000001</v>
      </c>
      <c r="P23" s="715">
        <v>210.61200000000002</v>
      </c>
      <c r="Q23" s="697">
        <v>209.9909973</v>
      </c>
      <c r="AF23" s="266"/>
      <c r="AG23" s="266"/>
      <c r="AH23" s="266"/>
      <c r="AI23" s="266"/>
      <c r="AJ23" s="266"/>
      <c r="AK23" s="266"/>
      <c r="AL23" s="266"/>
    </row>
    <row r="24" spans="1:38" ht="11.25" customHeight="1">
      <c r="A24" s="77"/>
      <c r="C24" s="424" t="s">
        <v>140</v>
      </c>
      <c r="D24" s="426">
        <v>215.33500671386699</v>
      </c>
      <c r="E24" s="426">
        <v>218.28599550000001</v>
      </c>
      <c r="F24" s="427">
        <f t="shared" si="1"/>
        <v>-1.3518910268950461E-2</v>
      </c>
      <c r="G24" s="137"/>
      <c r="H24" s="265"/>
      <c r="M24" s="714">
        <v>13</v>
      </c>
      <c r="N24" s="715">
        <v>182.13900760000001</v>
      </c>
      <c r="O24" s="715">
        <v>215.7310028</v>
      </c>
      <c r="P24" s="715">
        <v>221.91900634765599</v>
      </c>
      <c r="Q24" s="697">
        <v>219.56300350000001</v>
      </c>
      <c r="AF24" s="266"/>
      <c r="AG24" s="266"/>
      <c r="AH24" s="266"/>
      <c r="AI24" s="266"/>
      <c r="AJ24" s="266"/>
      <c r="AK24" s="266"/>
      <c r="AL24" s="266"/>
    </row>
    <row r="25" spans="1:38" ht="11.25" customHeight="1">
      <c r="A25" s="77"/>
      <c r="C25" s="428" t="s">
        <v>141</v>
      </c>
      <c r="D25" s="430">
        <v>46.0789985656738</v>
      </c>
      <c r="E25" s="430">
        <v>42.945999149999999</v>
      </c>
      <c r="F25" s="431">
        <f t="shared" si="1"/>
        <v>7.2952067193290601E-2</v>
      </c>
      <c r="G25" s="137"/>
      <c r="H25" s="265"/>
      <c r="M25" s="714">
        <v>14</v>
      </c>
      <c r="N25" s="715">
        <v>191.4750061</v>
      </c>
      <c r="O25" s="715">
        <v>219.1710052</v>
      </c>
      <c r="P25" s="715">
        <v>223.19599909999999</v>
      </c>
      <c r="Q25" s="697">
        <v>225.1629944</v>
      </c>
      <c r="AF25" s="266"/>
      <c r="AG25" s="266"/>
      <c r="AH25" s="266"/>
      <c r="AI25" s="266"/>
      <c r="AJ25" s="266"/>
      <c r="AK25" s="266"/>
      <c r="AL25" s="266"/>
    </row>
    <row r="26" spans="1:38" ht="11.25" customHeight="1">
      <c r="A26" s="77"/>
      <c r="C26" s="424" t="s">
        <v>142</v>
      </c>
      <c r="D26" s="426">
        <v>67.224000000000004</v>
      </c>
      <c r="E26" s="426">
        <v>67.331999999999994</v>
      </c>
      <c r="F26" s="427">
        <f t="shared" si="1"/>
        <v>-1.6039921582604096E-3</v>
      </c>
      <c r="G26" s="137"/>
      <c r="H26" s="137"/>
      <c r="M26" s="714">
        <v>15</v>
      </c>
      <c r="N26" s="715">
        <v>198.43899540000001</v>
      </c>
      <c r="O26" s="715">
        <v>220.17399599999999</v>
      </c>
      <c r="P26" s="715">
        <v>225.0500031</v>
      </c>
      <c r="Q26" s="697">
        <v>224.9100037</v>
      </c>
      <c r="AF26" s="266"/>
      <c r="AG26" s="266"/>
      <c r="AH26" s="266"/>
      <c r="AI26" s="266"/>
      <c r="AJ26" s="266"/>
      <c r="AK26" s="266"/>
      <c r="AL26" s="266"/>
    </row>
    <row r="27" spans="1:38" ht="11.25" customHeight="1">
      <c r="A27" s="77"/>
      <c r="C27" s="428" t="s">
        <v>143</v>
      </c>
      <c r="D27" s="429">
        <v>367.10400390625</v>
      </c>
      <c r="E27" s="430">
        <v>163.27600100000001</v>
      </c>
      <c r="F27" s="431">
        <f t="shared" si="1"/>
        <v>1.2483647422639288</v>
      </c>
      <c r="G27" s="137"/>
      <c r="H27" s="137"/>
      <c r="M27" s="714">
        <v>16</v>
      </c>
      <c r="N27" s="715">
        <v>201.52999879999999</v>
      </c>
      <c r="O27" s="715">
        <v>220.3150024</v>
      </c>
      <c r="P27" s="715">
        <v>224.84800720000001</v>
      </c>
      <c r="Q27" s="697">
        <v>224.5</v>
      </c>
      <c r="AF27" s="266"/>
      <c r="AG27" s="266"/>
      <c r="AH27" s="266"/>
      <c r="AI27" s="266"/>
      <c r="AJ27" s="266"/>
      <c r="AK27" s="266"/>
      <c r="AL27" s="266"/>
    </row>
    <row r="28" spans="1:38" ht="26.25" customHeight="1">
      <c r="A28" s="77"/>
      <c r="C28" s="879" t="str">
        <f>"Cuadro N°9: Volumen útil de los principales embalses y lagunas del SEIN al término del periodo mensual ("&amp;'1. Resumen'!Q7&amp;" de "&amp;'1. Resumen'!Q4&amp;") "</f>
        <v xml:space="preserve">Cuadro N°9: Volumen útil de los principales embalses y lagunas del SEIN al término del periodo mensual (30 de junio) </v>
      </c>
      <c r="D28" s="879"/>
      <c r="E28" s="879"/>
      <c r="F28" s="879"/>
      <c r="G28" s="137"/>
      <c r="H28" s="137"/>
      <c r="M28" s="714">
        <v>17</v>
      </c>
      <c r="N28" s="715">
        <v>206.03700259999999</v>
      </c>
      <c r="O28" s="715">
        <v>220.56</v>
      </c>
      <c r="P28" s="715">
        <v>225.27900695800699</v>
      </c>
      <c r="Q28" s="697">
        <v>225.58500670000001</v>
      </c>
      <c r="AF28" s="266"/>
      <c r="AG28" s="266"/>
      <c r="AH28" s="266"/>
      <c r="AI28" s="266"/>
      <c r="AJ28" s="266"/>
      <c r="AK28" s="266"/>
      <c r="AL28" s="266"/>
    </row>
    <row r="29" spans="1:38" ht="12" customHeight="1">
      <c r="A29" s="75"/>
      <c r="G29" s="137"/>
      <c r="H29" s="137"/>
      <c r="I29" s="167"/>
      <c r="J29" s="758"/>
      <c r="M29" s="714">
        <v>18</v>
      </c>
      <c r="N29" s="715">
        <v>213.67399599999999</v>
      </c>
      <c r="O29" s="715">
        <v>224.15199279999999</v>
      </c>
      <c r="P29" s="715">
        <v>226.44200129999999</v>
      </c>
      <c r="Q29" s="725">
        <v>225.2599945</v>
      </c>
      <c r="AF29" s="266"/>
      <c r="AG29" s="266"/>
      <c r="AH29" s="266"/>
      <c r="AI29" s="266"/>
      <c r="AJ29" s="266"/>
      <c r="AK29" s="266"/>
      <c r="AL29" s="266"/>
    </row>
    <row r="30" spans="1:38" ht="11.25" customHeight="1">
      <c r="A30" s="75"/>
      <c r="B30" s="173"/>
      <c r="C30" s="173"/>
      <c r="D30" s="173"/>
      <c r="E30" s="173"/>
      <c r="F30" s="171"/>
      <c r="G30" s="137"/>
      <c r="H30" s="137"/>
      <c r="M30" s="714">
        <v>19</v>
      </c>
      <c r="N30" s="715">
        <v>216.75700380000001</v>
      </c>
      <c r="O30" s="715">
        <v>224.378006</v>
      </c>
      <c r="P30" s="715">
        <v>227.14199830000001</v>
      </c>
      <c r="Q30" s="725">
        <v>225.3280029</v>
      </c>
      <c r="AF30" s="266"/>
      <c r="AG30" s="266"/>
      <c r="AH30" s="266"/>
      <c r="AI30" s="266"/>
      <c r="AJ30" s="266"/>
      <c r="AK30" s="266"/>
      <c r="AL30" s="266"/>
    </row>
    <row r="31" spans="1:38" ht="11.25" customHeight="1">
      <c r="A31" s="75"/>
      <c r="B31" s="173"/>
      <c r="C31" s="173"/>
      <c r="D31" s="173"/>
      <c r="E31" s="173"/>
      <c r="F31" s="171"/>
      <c r="G31" s="171"/>
      <c r="H31" s="171"/>
      <c r="I31" s="167"/>
      <c r="J31" s="758"/>
      <c r="M31" s="714">
        <v>20</v>
      </c>
      <c r="N31" s="715">
        <v>217.29400630000001</v>
      </c>
      <c r="O31" s="715">
        <v>224.60401920000001</v>
      </c>
      <c r="P31" s="715">
        <v>227.625</v>
      </c>
      <c r="Q31" s="725">
        <v>225.2279968</v>
      </c>
      <c r="AF31" s="266"/>
      <c r="AG31" s="266"/>
      <c r="AH31" s="266"/>
      <c r="AI31" s="266"/>
      <c r="AJ31" s="266"/>
      <c r="AK31" s="266"/>
      <c r="AL31" s="266"/>
    </row>
    <row r="32" spans="1:38" ht="13.5" customHeight="1">
      <c r="A32" s="878" t="s">
        <v>433</v>
      </c>
      <c r="B32" s="878"/>
      <c r="C32" s="878"/>
      <c r="D32" s="878"/>
      <c r="E32" s="878"/>
      <c r="F32" s="878"/>
      <c r="G32" s="878"/>
      <c r="H32" s="878"/>
      <c r="I32" s="56"/>
      <c r="J32" s="758"/>
      <c r="M32" s="714">
        <v>21</v>
      </c>
      <c r="N32" s="715">
        <v>218.3190002</v>
      </c>
      <c r="O32" s="715">
        <v>223.4909973</v>
      </c>
      <c r="P32" s="715">
        <v>227.75800000000001</v>
      </c>
      <c r="Q32" s="725">
        <v>225.25399780000001</v>
      </c>
      <c r="AF32" s="266"/>
      <c r="AG32" s="266"/>
      <c r="AH32" s="266"/>
      <c r="AI32" s="266"/>
      <c r="AJ32" s="266"/>
      <c r="AK32" s="266"/>
      <c r="AL32" s="266"/>
    </row>
    <row r="33" spans="1:38" ht="11.25" customHeight="1">
      <c r="A33" s="75"/>
      <c r="B33" s="82"/>
      <c r="C33" s="82"/>
      <c r="D33" s="82"/>
      <c r="E33" s="82"/>
      <c r="F33" s="82"/>
      <c r="G33" s="82"/>
      <c r="H33" s="82"/>
      <c r="I33" s="56"/>
      <c r="J33" s="758"/>
      <c r="M33" s="714">
        <v>22</v>
      </c>
      <c r="N33" s="715">
        <v>218.79899599999999</v>
      </c>
      <c r="O33" s="715">
        <v>222.62600710000001</v>
      </c>
      <c r="P33" s="715">
        <v>226.41700739999999</v>
      </c>
      <c r="Q33" s="725">
        <v>223.9129944</v>
      </c>
      <c r="AF33" s="266"/>
      <c r="AG33" s="266"/>
      <c r="AH33" s="266"/>
      <c r="AI33" s="266"/>
      <c r="AJ33" s="266"/>
      <c r="AK33" s="266"/>
      <c r="AL33" s="266"/>
    </row>
    <row r="34" spans="1:38" ht="11.25" customHeight="1">
      <c r="A34" s="75"/>
      <c r="B34" s="82"/>
      <c r="C34" s="82"/>
      <c r="D34" s="82"/>
      <c r="E34" s="82"/>
      <c r="F34" s="82"/>
      <c r="G34" s="82"/>
      <c r="H34" s="82"/>
      <c r="I34" s="56"/>
      <c r="J34" s="758"/>
      <c r="M34" s="714">
        <v>23</v>
      </c>
      <c r="N34" s="715">
        <v>217.8880005</v>
      </c>
      <c r="O34" s="715">
        <v>221.62399289999999</v>
      </c>
      <c r="P34" s="715">
        <v>224.4589996</v>
      </c>
      <c r="Q34" s="725">
        <v>221.64599609999999</v>
      </c>
      <c r="AF34" s="266"/>
      <c r="AG34" s="266"/>
      <c r="AH34" s="266"/>
      <c r="AI34" s="266"/>
      <c r="AJ34" s="266"/>
      <c r="AK34" s="266"/>
      <c r="AL34" s="266"/>
    </row>
    <row r="35" spans="1:38" ht="11.25" customHeight="1">
      <c r="A35" s="75"/>
      <c r="B35" s="82"/>
      <c r="C35" s="82"/>
      <c r="D35" s="82"/>
      <c r="E35" s="82"/>
      <c r="F35" s="82"/>
      <c r="G35" s="82"/>
      <c r="H35" s="82"/>
      <c r="I35" s="168"/>
      <c r="J35" s="758"/>
      <c r="M35" s="714">
        <v>24</v>
      </c>
      <c r="N35" s="715">
        <v>216.04899599999999</v>
      </c>
      <c r="O35" s="715">
        <v>218.3840027</v>
      </c>
      <c r="P35" s="715">
        <v>220.634994506835</v>
      </c>
      <c r="Q35" s="725">
        <v>218.4100037</v>
      </c>
      <c r="AF35" s="266"/>
      <c r="AG35" s="266"/>
      <c r="AH35" s="266"/>
      <c r="AI35" s="266"/>
      <c r="AJ35" s="266"/>
      <c r="AK35" s="266"/>
      <c r="AL35" s="266"/>
    </row>
    <row r="36" spans="1:38" ht="11.25" customHeight="1">
      <c r="A36" s="75"/>
      <c r="B36" s="82"/>
      <c r="C36" s="82"/>
      <c r="D36" s="82"/>
      <c r="E36" s="82"/>
      <c r="F36" s="82"/>
      <c r="G36" s="82"/>
      <c r="H36" s="82"/>
      <c r="I36" s="56"/>
      <c r="J36" s="758"/>
      <c r="M36" s="714">
        <v>25</v>
      </c>
      <c r="N36" s="715">
        <v>212.24600219999999</v>
      </c>
      <c r="O36" s="715">
        <v>215.08099369999999</v>
      </c>
      <c r="P36" s="715">
        <v>218.28599550000001</v>
      </c>
      <c r="Q36" s="725">
        <v>215.33500670000001</v>
      </c>
      <c r="AF36" s="266"/>
      <c r="AG36" s="266"/>
      <c r="AH36" s="266"/>
      <c r="AI36" s="266"/>
      <c r="AJ36" s="266"/>
      <c r="AK36" s="266"/>
      <c r="AL36" s="266"/>
    </row>
    <row r="37" spans="1:38" ht="11.25" customHeight="1">
      <c r="A37" s="75"/>
      <c r="B37" s="82"/>
      <c r="C37" s="82"/>
      <c r="D37" s="82"/>
      <c r="E37" s="82"/>
      <c r="F37" s="82"/>
      <c r="G37" s="82"/>
      <c r="H37" s="82"/>
      <c r="I37" s="56"/>
      <c r="J37" s="759"/>
      <c r="M37" s="714">
        <v>26</v>
      </c>
      <c r="N37" s="715">
        <v>210.22099299999999</v>
      </c>
      <c r="O37" s="715">
        <v>210.41900630000001</v>
      </c>
      <c r="P37" s="715">
        <v>214.90499879999999</v>
      </c>
      <c r="Q37" s="725">
        <v>212.2720032</v>
      </c>
      <c r="AF37" s="266"/>
      <c r="AG37" s="266"/>
      <c r="AH37" s="266"/>
      <c r="AI37" s="266"/>
      <c r="AJ37" s="266"/>
      <c r="AK37" s="266"/>
      <c r="AL37" s="266"/>
    </row>
    <row r="38" spans="1:38" ht="11.25" customHeight="1">
      <c r="A38" s="75"/>
      <c r="B38" s="82"/>
      <c r="C38" s="82"/>
      <c r="D38" s="82"/>
      <c r="E38" s="82"/>
      <c r="F38" s="82"/>
      <c r="G38" s="82"/>
      <c r="H38" s="82"/>
      <c r="I38" s="56"/>
      <c r="J38" s="759"/>
      <c r="M38" s="714">
        <v>27</v>
      </c>
      <c r="N38" s="715">
        <v>209.85200499999999</v>
      </c>
      <c r="O38" s="715">
        <v>204.23</v>
      </c>
      <c r="P38" s="715">
        <v>210.91799926757801</v>
      </c>
      <c r="Q38" s="725"/>
      <c r="AF38" s="266"/>
      <c r="AG38" s="266"/>
      <c r="AH38" s="266"/>
      <c r="AI38" s="266"/>
      <c r="AJ38" s="266"/>
      <c r="AK38" s="266"/>
      <c r="AL38" s="266"/>
    </row>
    <row r="39" spans="1:38" ht="11.25" customHeight="1">
      <c r="A39" s="75"/>
      <c r="B39" s="82"/>
      <c r="C39" s="82"/>
      <c r="D39" s="82"/>
      <c r="E39" s="82"/>
      <c r="F39" s="82"/>
      <c r="G39" s="82"/>
      <c r="H39" s="82"/>
      <c r="I39" s="56"/>
      <c r="J39" s="760"/>
      <c r="M39" s="714">
        <v>28</v>
      </c>
      <c r="N39" s="715">
        <v>203.92900090000001</v>
      </c>
      <c r="O39" s="722">
        <v>201.1309967</v>
      </c>
      <c r="P39" s="722">
        <v>207.96099849999999</v>
      </c>
      <c r="Q39" s="725"/>
      <c r="AF39" s="266"/>
      <c r="AG39" s="266"/>
      <c r="AH39" s="266"/>
      <c r="AI39" s="266"/>
      <c r="AJ39" s="266"/>
      <c r="AK39" s="266"/>
      <c r="AL39" s="266"/>
    </row>
    <row r="40" spans="1:38" ht="11.25" customHeight="1">
      <c r="A40" s="75"/>
      <c r="B40" s="82"/>
      <c r="C40" s="82"/>
      <c r="D40" s="82"/>
      <c r="E40" s="82"/>
      <c r="F40" s="82"/>
      <c r="G40" s="82"/>
      <c r="H40" s="82"/>
      <c r="I40" s="56"/>
      <c r="J40" s="760"/>
      <c r="M40" s="714">
        <v>29</v>
      </c>
      <c r="N40" s="715">
        <v>200.56300350000001</v>
      </c>
      <c r="O40" s="715">
        <v>196.16000366210901</v>
      </c>
      <c r="P40" s="715">
        <v>205.66700739999999</v>
      </c>
      <c r="Q40" s="725"/>
      <c r="AF40" s="266"/>
      <c r="AG40" s="266"/>
      <c r="AH40" s="266"/>
      <c r="AI40" s="266"/>
      <c r="AJ40" s="266"/>
      <c r="AK40" s="266"/>
      <c r="AL40" s="266"/>
    </row>
    <row r="41" spans="1:38" ht="11.25" customHeight="1">
      <c r="A41" s="75"/>
      <c r="B41" s="82"/>
      <c r="C41" s="82"/>
      <c r="D41" s="82"/>
      <c r="E41" s="82"/>
      <c r="F41" s="82"/>
      <c r="G41" s="82"/>
      <c r="H41" s="82"/>
      <c r="I41" s="56"/>
      <c r="J41" s="760"/>
      <c r="M41" s="714">
        <v>30</v>
      </c>
      <c r="N41" s="715">
        <v>194.94900509999999</v>
      </c>
      <c r="O41" s="715">
        <v>193.86</v>
      </c>
      <c r="P41" s="715">
        <v>197.3999939</v>
      </c>
      <c r="Q41" s="725"/>
      <c r="AF41" s="266"/>
      <c r="AG41" s="266"/>
      <c r="AH41" s="266"/>
      <c r="AI41" s="266"/>
      <c r="AJ41" s="266"/>
      <c r="AK41" s="266"/>
      <c r="AL41" s="266"/>
    </row>
    <row r="42" spans="1:38" ht="11.25" customHeight="1">
      <c r="A42" s="75"/>
      <c r="B42" s="82"/>
      <c r="C42" s="82"/>
      <c r="D42" s="82"/>
      <c r="E42" s="82"/>
      <c r="F42" s="82"/>
      <c r="G42" s="82"/>
      <c r="H42" s="82"/>
      <c r="I42" s="168"/>
      <c r="J42" s="759"/>
      <c r="M42" s="714">
        <v>31</v>
      </c>
      <c r="N42" s="715">
        <v>188.386</v>
      </c>
      <c r="O42" s="715">
        <v>186.24800110000001</v>
      </c>
      <c r="P42" s="715">
        <v>194.98199460000001</v>
      </c>
      <c r="Q42" s="725"/>
      <c r="AF42" s="266"/>
      <c r="AG42" s="266"/>
      <c r="AH42" s="266"/>
      <c r="AI42" s="266"/>
      <c r="AJ42" s="266"/>
      <c r="AK42" s="266"/>
      <c r="AL42" s="266"/>
    </row>
    <row r="43" spans="1:38" ht="11.25" customHeight="1">
      <c r="A43" s="75"/>
      <c r="B43" s="82"/>
      <c r="C43" s="82"/>
      <c r="D43" s="82"/>
      <c r="E43" s="82"/>
      <c r="F43" s="82"/>
      <c r="G43" s="82"/>
      <c r="H43" s="82"/>
      <c r="I43" s="56"/>
      <c r="J43" s="759"/>
      <c r="M43" s="714">
        <v>32</v>
      </c>
      <c r="N43" s="715">
        <v>184.72900390000001</v>
      </c>
      <c r="O43" s="715">
        <v>182.40899659999999</v>
      </c>
      <c r="P43" s="715">
        <v>190.13999938964801</v>
      </c>
      <c r="AF43" s="266"/>
      <c r="AG43" s="266"/>
      <c r="AH43" s="266"/>
      <c r="AI43" s="266"/>
      <c r="AJ43" s="266"/>
      <c r="AK43" s="266"/>
      <c r="AL43" s="266"/>
    </row>
    <row r="44" spans="1:38" ht="11.25" customHeight="1">
      <c r="A44" s="75"/>
      <c r="B44" s="82"/>
      <c r="C44" s="82"/>
      <c r="D44" s="82"/>
      <c r="E44" s="82"/>
      <c r="F44" s="82"/>
      <c r="G44" s="82"/>
      <c r="H44" s="82"/>
      <c r="I44" s="56"/>
      <c r="J44" s="759"/>
      <c r="M44" s="714">
        <v>33</v>
      </c>
      <c r="N44" s="715">
        <v>178.8809967</v>
      </c>
      <c r="O44" s="715">
        <v>178.6940002</v>
      </c>
      <c r="P44" s="715">
        <v>186.17300420000001</v>
      </c>
      <c r="AF44" s="266"/>
      <c r="AG44" s="266"/>
      <c r="AH44" s="266"/>
      <c r="AI44" s="266"/>
      <c r="AJ44" s="266"/>
      <c r="AK44" s="266"/>
      <c r="AL44" s="266"/>
    </row>
    <row r="45" spans="1:38" ht="11.25" customHeight="1">
      <c r="A45" s="75"/>
      <c r="B45" s="82"/>
      <c r="C45" s="82"/>
      <c r="D45" s="82"/>
      <c r="E45" s="82"/>
      <c r="F45" s="82"/>
      <c r="G45" s="82"/>
      <c r="H45" s="82"/>
      <c r="I45" s="59"/>
      <c r="J45" s="59"/>
      <c r="M45" s="714">
        <v>34</v>
      </c>
      <c r="N45" s="715">
        <v>176.98599239999999</v>
      </c>
      <c r="O45" s="715">
        <v>173.61300660000001</v>
      </c>
      <c r="P45" s="715">
        <v>183.14799500000001</v>
      </c>
      <c r="AF45" s="266"/>
      <c r="AG45" s="266"/>
      <c r="AH45" s="266"/>
      <c r="AI45" s="266"/>
      <c r="AJ45" s="266"/>
      <c r="AK45" s="266"/>
      <c r="AL45" s="266"/>
    </row>
    <row r="46" spans="1:38" ht="11.25" customHeight="1">
      <c r="A46" s="75"/>
      <c r="B46" s="82"/>
      <c r="C46" s="82"/>
      <c r="D46" s="82"/>
      <c r="E46" s="82"/>
      <c r="F46" s="82"/>
      <c r="G46" s="82"/>
      <c r="H46" s="82"/>
      <c r="I46" s="59"/>
      <c r="J46" s="59"/>
      <c r="M46" s="714">
        <v>35</v>
      </c>
      <c r="N46" s="723">
        <v>173.36999510000001</v>
      </c>
      <c r="O46" s="715">
        <v>170.0189972</v>
      </c>
      <c r="P46" s="715">
        <v>175.24000549316401</v>
      </c>
      <c r="AF46" s="266"/>
      <c r="AG46" s="266"/>
      <c r="AH46" s="266"/>
      <c r="AI46" s="266"/>
      <c r="AJ46" s="266"/>
      <c r="AK46" s="266"/>
      <c r="AL46" s="266"/>
    </row>
    <row r="47" spans="1:38" ht="11.25" customHeight="1">
      <c r="A47" s="75"/>
      <c r="B47" s="82"/>
      <c r="C47" s="82"/>
      <c r="D47" s="82"/>
      <c r="E47" s="82"/>
      <c r="F47" s="82"/>
      <c r="G47" s="82"/>
      <c r="H47" s="82"/>
      <c r="I47" s="59"/>
      <c r="J47" s="59"/>
      <c r="M47" s="714">
        <v>36</v>
      </c>
      <c r="N47" s="723">
        <v>167.63</v>
      </c>
      <c r="O47" s="715">
        <v>166.0690002</v>
      </c>
      <c r="P47" s="715">
        <v>171.61000061035099</v>
      </c>
      <c r="AF47" s="266"/>
      <c r="AG47" s="266"/>
      <c r="AH47" s="266"/>
      <c r="AI47" s="266"/>
      <c r="AJ47" s="266"/>
      <c r="AK47" s="266"/>
      <c r="AL47" s="266"/>
    </row>
    <row r="48" spans="1:38" ht="11.25" customHeight="1">
      <c r="A48" s="75"/>
      <c r="B48" s="82"/>
      <c r="C48" s="82"/>
      <c r="D48" s="82"/>
      <c r="E48" s="82"/>
      <c r="F48" s="82"/>
      <c r="G48" s="82"/>
      <c r="H48" s="82"/>
      <c r="I48" s="59"/>
      <c r="J48" s="59"/>
      <c r="M48" s="714">
        <v>37</v>
      </c>
      <c r="N48" s="715">
        <v>162.30700680000001</v>
      </c>
      <c r="O48" s="715">
        <v>159.17399599999999</v>
      </c>
      <c r="P48" s="715">
        <v>167.78999328613199</v>
      </c>
      <c r="AF48" s="266"/>
      <c r="AG48" s="266"/>
      <c r="AH48" s="266"/>
      <c r="AI48" s="266"/>
      <c r="AJ48" s="266"/>
      <c r="AK48" s="266"/>
      <c r="AL48" s="266"/>
    </row>
    <row r="49" spans="1:38" ht="11.25" customHeight="1">
      <c r="A49" s="75"/>
      <c r="B49" s="82"/>
      <c r="C49" s="82"/>
      <c r="D49" s="82"/>
      <c r="E49" s="82"/>
      <c r="F49" s="82"/>
      <c r="G49" s="82"/>
      <c r="H49" s="82"/>
      <c r="I49" s="59"/>
      <c r="J49" s="59"/>
      <c r="M49" s="714">
        <v>38</v>
      </c>
      <c r="N49" s="715">
        <v>159.02699279999999</v>
      </c>
      <c r="O49" s="715">
        <v>157.84</v>
      </c>
      <c r="P49" s="715">
        <v>170.03999328613199</v>
      </c>
      <c r="AF49" s="266"/>
      <c r="AG49" s="266"/>
      <c r="AH49" s="266"/>
      <c r="AI49" s="266"/>
      <c r="AJ49" s="266"/>
      <c r="AK49" s="266"/>
      <c r="AL49" s="266"/>
    </row>
    <row r="50" spans="1:38" ht="13.2">
      <c r="A50" s="75"/>
      <c r="B50" s="82"/>
      <c r="C50" s="82"/>
      <c r="D50" s="82"/>
      <c r="E50" s="82"/>
      <c r="F50" s="82"/>
      <c r="G50" s="82"/>
      <c r="H50" s="82"/>
      <c r="I50" s="59"/>
      <c r="J50" s="59"/>
      <c r="M50" s="714">
        <v>39</v>
      </c>
      <c r="N50" s="715">
        <v>153.61700440000001</v>
      </c>
      <c r="O50" s="715">
        <v>156.28199768066401</v>
      </c>
      <c r="P50" s="715">
        <v>159.69</v>
      </c>
      <c r="AF50" s="266"/>
      <c r="AG50" s="266"/>
      <c r="AH50" s="266"/>
      <c r="AI50" s="266"/>
      <c r="AJ50" s="266"/>
      <c r="AK50" s="266"/>
      <c r="AL50" s="266"/>
    </row>
    <row r="51" spans="1:38" ht="10.5" customHeight="1">
      <c r="A51" s="75"/>
      <c r="B51" s="82"/>
      <c r="C51" s="82"/>
      <c r="D51" s="82"/>
      <c r="E51" s="82"/>
      <c r="F51" s="82"/>
      <c r="G51" s="82"/>
      <c r="H51" s="82"/>
      <c r="I51" s="59"/>
      <c r="J51" s="59"/>
      <c r="M51" s="714">
        <v>40</v>
      </c>
      <c r="N51" s="715">
        <v>151.72999569999999</v>
      </c>
      <c r="O51" s="715">
        <v>148.3529968</v>
      </c>
      <c r="P51" s="715">
        <v>150.2969971</v>
      </c>
      <c r="AF51" s="266"/>
      <c r="AG51" s="266"/>
      <c r="AH51" s="266"/>
      <c r="AI51" s="266"/>
      <c r="AJ51" s="266"/>
      <c r="AK51" s="266"/>
      <c r="AL51" s="266"/>
    </row>
    <row r="52" spans="1:38" ht="13.2">
      <c r="A52" s="75"/>
      <c r="B52" s="82"/>
      <c r="C52" s="82"/>
      <c r="D52" s="82"/>
      <c r="E52" s="82"/>
      <c r="F52" s="82"/>
      <c r="G52" s="82"/>
      <c r="H52" s="82"/>
      <c r="I52" s="59"/>
      <c r="J52" s="59"/>
      <c r="M52" s="714">
        <v>41</v>
      </c>
      <c r="N52" s="715">
        <v>147.996002197265</v>
      </c>
      <c r="O52" s="715">
        <v>151.04400630000001</v>
      </c>
      <c r="P52" s="715">
        <v>146.7689972</v>
      </c>
      <c r="AF52" s="266"/>
      <c r="AG52" s="266"/>
      <c r="AH52" s="266"/>
      <c r="AI52" s="266"/>
      <c r="AJ52" s="266"/>
      <c r="AK52" s="266"/>
      <c r="AL52" s="266"/>
    </row>
    <row r="53" spans="1:38" ht="13.2">
      <c r="A53" s="75"/>
      <c r="B53" s="82"/>
      <c r="C53" s="82"/>
      <c r="D53" s="82"/>
      <c r="E53" s="82"/>
      <c r="F53" s="82"/>
      <c r="G53" s="82"/>
      <c r="H53" s="82"/>
      <c r="I53" s="59"/>
      <c r="J53" s="59"/>
      <c r="M53" s="714">
        <v>42</v>
      </c>
      <c r="N53" s="715">
        <v>144.53999328613199</v>
      </c>
      <c r="O53" s="715">
        <v>146.53</v>
      </c>
      <c r="P53" s="715">
        <v>142.69900512695301</v>
      </c>
      <c r="AF53" s="266"/>
      <c r="AG53" s="266"/>
      <c r="AH53" s="266"/>
      <c r="AI53" s="266"/>
      <c r="AJ53" s="266"/>
      <c r="AK53" s="266"/>
      <c r="AL53" s="266"/>
    </row>
    <row r="54" spans="1:38" ht="13.2">
      <c r="A54" s="75"/>
      <c r="B54" s="82"/>
      <c r="C54" s="82"/>
      <c r="D54" s="82"/>
      <c r="E54" s="82"/>
      <c r="F54" s="82"/>
      <c r="G54" s="82"/>
      <c r="H54" s="82"/>
      <c r="I54" s="59"/>
      <c r="J54" s="59"/>
      <c r="M54" s="714">
        <v>43</v>
      </c>
      <c r="N54" s="715">
        <v>143.72300720214801</v>
      </c>
      <c r="O54" s="715">
        <v>137.7400055</v>
      </c>
      <c r="P54" s="715">
        <v>135.75</v>
      </c>
      <c r="AF54" s="266"/>
      <c r="AG54" s="266"/>
      <c r="AH54" s="266"/>
      <c r="AI54" s="266"/>
      <c r="AJ54" s="266"/>
      <c r="AK54" s="266"/>
      <c r="AL54" s="266"/>
    </row>
    <row r="55" spans="1:38" ht="13.2">
      <c r="A55" s="75"/>
      <c r="B55" s="82"/>
      <c r="C55" s="82"/>
      <c r="D55" s="82"/>
      <c r="E55" s="82"/>
      <c r="F55" s="82"/>
      <c r="G55" s="82"/>
      <c r="H55" s="82"/>
      <c r="I55" s="59"/>
      <c r="J55" s="59"/>
      <c r="M55" s="714">
        <v>44</v>
      </c>
      <c r="N55" s="715">
        <v>142.33900449999999</v>
      </c>
      <c r="O55" s="715">
        <v>133.1380005</v>
      </c>
      <c r="P55" s="715">
        <v>130.27000430000001</v>
      </c>
      <c r="AF55" s="266"/>
      <c r="AG55" s="266"/>
      <c r="AH55" s="266"/>
      <c r="AI55" s="266"/>
      <c r="AJ55" s="266"/>
      <c r="AK55" s="266"/>
      <c r="AL55" s="266"/>
    </row>
    <row r="56" spans="1:38" ht="13.2">
      <c r="A56" s="75"/>
      <c r="B56" s="82"/>
      <c r="C56" s="82"/>
      <c r="D56" s="82"/>
      <c r="E56" s="82"/>
      <c r="F56" s="82"/>
      <c r="G56" s="82"/>
      <c r="H56" s="82"/>
      <c r="I56" s="59"/>
      <c r="J56" s="59"/>
      <c r="M56" s="714">
        <v>45</v>
      </c>
      <c r="N56" s="715">
        <v>143.13200380000001</v>
      </c>
      <c r="O56" s="715">
        <v>125.7330017</v>
      </c>
      <c r="P56" s="715">
        <v>124.5780029</v>
      </c>
      <c r="AF56" s="266"/>
      <c r="AG56" s="266"/>
      <c r="AH56" s="266"/>
      <c r="AI56" s="266"/>
      <c r="AJ56" s="266"/>
      <c r="AK56" s="266"/>
      <c r="AL56" s="266"/>
    </row>
    <row r="57" spans="1:38" ht="13.2">
      <c r="A57" s="75"/>
      <c r="B57" s="82"/>
      <c r="C57" s="82"/>
      <c r="D57" s="82"/>
      <c r="E57" s="82"/>
      <c r="F57" s="82"/>
      <c r="G57" s="82"/>
      <c r="H57" s="82"/>
      <c r="M57" s="714">
        <v>46</v>
      </c>
      <c r="N57" s="715">
        <v>141.37</v>
      </c>
      <c r="O57" s="715">
        <v>125.2030029</v>
      </c>
      <c r="P57" s="715">
        <v>120.7269974</v>
      </c>
      <c r="AF57" s="266"/>
      <c r="AG57" s="266"/>
      <c r="AH57" s="266"/>
      <c r="AI57" s="266"/>
      <c r="AJ57" s="266"/>
      <c r="AK57" s="266"/>
      <c r="AL57" s="266"/>
    </row>
    <row r="58" spans="1:38" ht="13.2">
      <c r="A58" s="75"/>
      <c r="B58" s="82"/>
      <c r="C58" s="82"/>
      <c r="D58" s="82"/>
      <c r="E58" s="82"/>
      <c r="F58" s="82"/>
      <c r="G58" s="82"/>
      <c r="H58" s="82"/>
      <c r="M58" s="714">
        <v>47</v>
      </c>
      <c r="N58" s="715">
        <v>140.33900449999999</v>
      </c>
      <c r="O58" s="715">
        <v>120.5130005</v>
      </c>
      <c r="P58" s="715">
        <v>113.7900009</v>
      </c>
      <c r="AF58" s="266"/>
      <c r="AG58" s="266"/>
      <c r="AH58" s="266"/>
      <c r="AI58" s="266"/>
      <c r="AJ58" s="266"/>
      <c r="AK58" s="266"/>
      <c r="AL58" s="266"/>
    </row>
    <row r="59" spans="1:38" ht="13.2">
      <c r="A59" s="263" t="s">
        <v>505</v>
      </c>
      <c r="B59" s="82"/>
      <c r="C59" s="82"/>
      <c r="D59" s="82"/>
      <c r="E59" s="82"/>
      <c r="F59" s="82"/>
      <c r="G59" s="82"/>
      <c r="H59" s="82"/>
      <c r="M59" s="714">
        <v>48</v>
      </c>
      <c r="N59" s="715">
        <v>137.8150024</v>
      </c>
      <c r="O59" s="715">
        <v>119.3089981</v>
      </c>
      <c r="P59" s="715">
        <v>104.1470032</v>
      </c>
      <c r="AF59" s="266"/>
      <c r="AG59" s="266"/>
      <c r="AH59" s="266"/>
      <c r="AI59" s="266"/>
      <c r="AJ59" s="266"/>
      <c r="AK59" s="266"/>
      <c r="AL59" s="266"/>
    </row>
    <row r="60" spans="1:38" ht="13.2">
      <c r="A60" s="54"/>
      <c r="B60" s="82"/>
      <c r="C60" s="82"/>
      <c r="D60" s="82"/>
      <c r="E60" s="82"/>
      <c r="F60" s="82"/>
      <c r="G60" s="82"/>
      <c r="H60" s="82"/>
      <c r="M60" s="714">
        <v>49</v>
      </c>
      <c r="N60" s="715">
        <v>129.0279999</v>
      </c>
      <c r="O60" s="715">
        <v>119.33200069999999</v>
      </c>
      <c r="P60" s="715">
        <v>104.8560028</v>
      </c>
      <c r="AF60" s="266"/>
      <c r="AG60" s="266"/>
      <c r="AH60" s="266"/>
      <c r="AI60" s="266"/>
      <c r="AJ60" s="266"/>
      <c r="AK60" s="266"/>
      <c r="AL60" s="266"/>
    </row>
    <row r="61" spans="1:38" ht="10.8">
      <c r="M61" s="714">
        <v>50</v>
      </c>
      <c r="N61" s="715">
        <v>129.30000000000001</v>
      </c>
      <c r="O61" s="715">
        <v>135.91499329999999</v>
      </c>
      <c r="P61" s="715">
        <v>105.70500180000001</v>
      </c>
      <c r="AD61" s="299"/>
      <c r="AE61" s="299"/>
      <c r="AF61" s="216"/>
      <c r="AG61" s="216"/>
      <c r="AH61" s="216"/>
      <c r="AI61" s="216"/>
      <c r="AJ61" s="216"/>
      <c r="AK61" s="216"/>
      <c r="AL61" s="216"/>
    </row>
    <row r="62" spans="1:38" ht="10.8">
      <c r="M62" s="714">
        <v>51</v>
      </c>
      <c r="N62" s="715">
        <v>129</v>
      </c>
      <c r="O62" s="715">
        <v>131.21000670000001</v>
      </c>
      <c r="P62" s="715">
        <v>110.41200259999999</v>
      </c>
      <c r="AD62" s="299"/>
      <c r="AE62" s="299"/>
      <c r="AF62" s="216"/>
      <c r="AG62" s="216"/>
      <c r="AH62" s="216"/>
      <c r="AI62" s="216"/>
      <c r="AJ62" s="216"/>
      <c r="AK62" s="216"/>
      <c r="AL62" s="216"/>
    </row>
    <row r="63" spans="1:38" ht="10.8">
      <c r="M63" s="714">
        <v>52</v>
      </c>
      <c r="N63" s="715">
        <v>130.4810028</v>
      </c>
      <c r="O63" s="715">
        <v>139.86399840000001</v>
      </c>
      <c r="P63" s="715">
        <v>119.1200027</v>
      </c>
      <c r="AD63" s="299"/>
      <c r="AE63" s="299"/>
      <c r="AF63" s="216"/>
      <c r="AG63" s="216"/>
      <c r="AH63" s="216"/>
      <c r="AI63" s="216"/>
      <c r="AJ63" s="216"/>
      <c r="AK63" s="216"/>
      <c r="AL63" s="216"/>
    </row>
    <row r="64" spans="1:38" ht="10.8">
      <c r="M64" s="714">
        <v>53</v>
      </c>
      <c r="N64" s="715"/>
      <c r="O64" s="715">
        <v>146.8090057</v>
      </c>
      <c r="P64" s="726"/>
      <c r="AD64" s="299"/>
      <c r="AE64" s="299"/>
      <c r="AF64" s="216"/>
      <c r="AG64" s="216"/>
      <c r="AH64" s="216"/>
      <c r="AI64" s="216"/>
      <c r="AJ64" s="216"/>
      <c r="AK64" s="216"/>
      <c r="AL64" s="216"/>
    </row>
    <row r="65" spans="13:38">
      <c r="M65" s="278"/>
      <c r="N65" s="278"/>
      <c r="O65" s="278"/>
      <c r="P65" s="278"/>
      <c r="Q65" s="278"/>
      <c r="R65" s="278"/>
      <c r="S65" s="514"/>
      <c r="T65" s="514"/>
      <c r="AD65" s="299"/>
      <c r="AE65" s="29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N23" sqref="N23"/>
    </sheetView>
  </sheetViews>
  <sheetFormatPr baseColWidth="10" defaultColWidth="9.28515625" defaultRowHeight="10.199999999999999"/>
  <cols>
    <col min="10" max="11" width="9.28515625" customWidth="1"/>
    <col min="13" max="13" width="9.28515625" style="514"/>
    <col min="14" max="26" width="9.28515625" style="278"/>
    <col min="27" max="28" width="9.28515625" style="514"/>
    <col min="29" max="31" width="9.28515625" style="330"/>
  </cols>
  <sheetData>
    <row r="1" spans="1:23" ht="11.25" customHeight="1"/>
    <row r="2" spans="1:23" ht="11.25" customHeight="1">
      <c r="A2" s="289"/>
      <c r="B2" s="296"/>
      <c r="C2" s="296"/>
      <c r="D2" s="296"/>
      <c r="E2" s="296"/>
      <c r="F2" s="296"/>
      <c r="G2" s="297"/>
      <c r="H2" s="297"/>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711" t="s">
        <v>258</v>
      </c>
      <c r="T4" s="712" t="s">
        <v>259</v>
      </c>
    </row>
    <row r="5" spans="1:23" ht="11.25" customHeight="1">
      <c r="A5" s="880"/>
      <c r="B5" s="880"/>
      <c r="C5" s="880"/>
      <c r="D5" s="880"/>
      <c r="E5" s="880"/>
      <c r="F5" s="880"/>
      <c r="G5" s="880"/>
      <c r="H5" s="880"/>
      <c r="I5" s="880"/>
      <c r="J5" s="12"/>
      <c r="K5" s="12"/>
      <c r="L5" s="8"/>
      <c r="O5" s="713">
        <v>2018</v>
      </c>
      <c r="P5" s="713">
        <v>2019</v>
      </c>
      <c r="Q5" s="713">
        <v>2020</v>
      </c>
      <c r="R5" s="713">
        <v>2021</v>
      </c>
      <c r="T5" s="713">
        <v>2018</v>
      </c>
      <c r="U5" s="713">
        <v>2019</v>
      </c>
      <c r="V5" s="713">
        <v>2020</v>
      </c>
      <c r="W5" s="713">
        <v>2021</v>
      </c>
    </row>
    <row r="6" spans="1:23" ht="11.25" customHeight="1">
      <c r="A6" s="17"/>
      <c r="B6" s="159"/>
      <c r="C6" s="68"/>
      <c r="D6" s="69"/>
      <c r="E6" s="69"/>
      <c r="F6" s="70"/>
      <c r="G6" s="66"/>
      <c r="H6" s="66"/>
      <c r="I6" s="71"/>
      <c r="J6" s="12"/>
      <c r="K6" s="12"/>
      <c r="L6" s="5"/>
      <c r="N6" s="714">
        <v>1</v>
      </c>
      <c r="O6" s="715">
        <v>34.76</v>
      </c>
      <c r="P6" s="715">
        <v>71.125</v>
      </c>
      <c r="Q6" s="716">
        <v>133.42999267578099</v>
      </c>
      <c r="R6" s="717">
        <v>78.003997799999993</v>
      </c>
      <c r="S6" s="714">
        <v>1</v>
      </c>
      <c r="T6" s="715">
        <v>210.20000000000002</v>
      </c>
      <c r="U6" s="715">
        <v>190.20000426299998</v>
      </c>
      <c r="V6" s="716">
        <v>186.65300035476668</v>
      </c>
      <c r="W6" s="717">
        <v>222.16899967999998</v>
      </c>
    </row>
    <row r="7" spans="1:23" ht="11.25" customHeight="1">
      <c r="A7" s="17"/>
      <c r="B7" s="881"/>
      <c r="C7" s="881"/>
      <c r="D7" s="160"/>
      <c r="E7" s="160"/>
      <c r="F7" s="70"/>
      <c r="G7" s="66"/>
      <c r="H7" s="66"/>
      <c r="I7" s="71"/>
      <c r="J7" s="3"/>
      <c r="K7" s="3"/>
      <c r="L7" s="15"/>
      <c r="N7" s="714">
        <v>2</v>
      </c>
      <c r="O7" s="715">
        <v>47.749000549999998</v>
      </c>
      <c r="P7" s="715">
        <v>79.228996280000004</v>
      </c>
      <c r="Q7" s="716">
        <v>141.27299500000001</v>
      </c>
      <c r="R7" s="717">
        <v>98.037002560000005</v>
      </c>
      <c r="S7" s="714">
        <v>2</v>
      </c>
      <c r="T7" s="715">
        <v>216.70300435500002</v>
      </c>
      <c r="U7" s="715">
        <v>185.80498987600001</v>
      </c>
      <c r="V7" s="716">
        <v>194.494995117</v>
      </c>
      <c r="W7" s="717">
        <v>243.88599584999997</v>
      </c>
    </row>
    <row r="8" spans="1:23" ht="11.25" customHeight="1">
      <c r="A8" s="17"/>
      <c r="B8" s="161"/>
      <c r="C8" s="39"/>
      <c r="D8" s="162"/>
      <c r="E8" s="162"/>
      <c r="F8" s="70"/>
      <c r="G8" s="66"/>
      <c r="H8" s="66"/>
      <c r="I8" s="71"/>
      <c r="J8" s="4"/>
      <c r="K8" s="4"/>
      <c r="L8" s="12"/>
      <c r="N8" s="714">
        <v>3</v>
      </c>
      <c r="O8" s="715">
        <v>67.130996699999997</v>
      </c>
      <c r="P8" s="715">
        <v>106.65</v>
      </c>
      <c r="Q8" s="716">
        <v>151.56199649999999</v>
      </c>
      <c r="R8" s="717">
        <v>137.10699460000001</v>
      </c>
      <c r="S8" s="714">
        <v>3</v>
      </c>
      <c r="T8" s="715">
        <v>232.83600043999999</v>
      </c>
      <c r="U8" s="715">
        <v>190.06000000000003</v>
      </c>
      <c r="V8" s="716">
        <v>212.15300178999999</v>
      </c>
      <c r="W8" s="717">
        <v>260.96799851000003</v>
      </c>
    </row>
    <row r="9" spans="1:23" ht="11.25" customHeight="1">
      <c r="A9" s="17"/>
      <c r="B9" s="161"/>
      <c r="C9" s="39"/>
      <c r="D9" s="162"/>
      <c r="E9" s="162"/>
      <c r="F9" s="70"/>
      <c r="G9" s="66"/>
      <c r="H9" s="66"/>
      <c r="I9" s="71"/>
      <c r="J9" s="3"/>
      <c r="K9" s="6"/>
      <c r="L9" s="15"/>
      <c r="N9" s="714">
        <v>4</v>
      </c>
      <c r="O9" s="715">
        <v>93.789001459999994</v>
      </c>
      <c r="P9" s="715">
        <v>140.34500120000001</v>
      </c>
      <c r="Q9" s="716">
        <v>167.9100037</v>
      </c>
      <c r="R9" s="717">
        <v>187.18600459999999</v>
      </c>
      <c r="S9" s="714">
        <v>4</v>
      </c>
      <c r="T9" s="715">
        <v>271.78000545999998</v>
      </c>
      <c r="U9" s="715">
        <v>198.06799936900001</v>
      </c>
      <c r="V9" s="716">
        <v>213.71899984999999</v>
      </c>
      <c r="W9" s="717">
        <v>282.90399740999999</v>
      </c>
    </row>
    <row r="10" spans="1:23" ht="11.25" customHeight="1">
      <c r="A10" s="17"/>
      <c r="B10" s="161"/>
      <c r="C10" s="39"/>
      <c r="D10" s="162"/>
      <c r="E10" s="162"/>
      <c r="F10" s="70"/>
      <c r="G10" s="66"/>
      <c r="H10" s="66"/>
      <c r="I10" s="71"/>
      <c r="J10" s="3"/>
      <c r="K10" s="3"/>
      <c r="L10" s="15"/>
      <c r="N10" s="714">
        <v>5</v>
      </c>
      <c r="O10" s="715">
        <v>111.01599880000001</v>
      </c>
      <c r="P10" s="715">
        <v>186.18299870000001</v>
      </c>
      <c r="Q10" s="716">
        <v>209.06850435244098</v>
      </c>
      <c r="R10" s="717">
        <v>240.25399780000001</v>
      </c>
      <c r="S10" s="714">
        <v>5</v>
      </c>
      <c r="T10" s="715">
        <v>269.07999802</v>
      </c>
      <c r="U10" s="715">
        <v>217.55805158600003</v>
      </c>
      <c r="V10" s="716">
        <v>219.56099320000001</v>
      </c>
      <c r="W10" s="717">
        <v>283.46798616000001</v>
      </c>
    </row>
    <row r="11" spans="1:23" ht="11.25" customHeight="1">
      <c r="A11" s="17"/>
      <c r="B11" s="162"/>
      <c r="C11" s="39"/>
      <c r="D11" s="162"/>
      <c r="E11" s="162"/>
      <c r="F11" s="70"/>
      <c r="G11" s="66"/>
      <c r="H11" s="66"/>
      <c r="I11" s="71"/>
      <c r="J11" s="3"/>
      <c r="K11" s="3"/>
      <c r="L11" s="15"/>
      <c r="N11" s="714">
        <v>6</v>
      </c>
      <c r="O11" s="715">
        <v>126.6029968</v>
      </c>
      <c r="P11" s="715">
        <v>222.22</v>
      </c>
      <c r="Q11" s="716">
        <v>250.22700500488199</v>
      </c>
      <c r="R11" s="717">
        <v>285.57900999999998</v>
      </c>
      <c r="S11" s="714">
        <v>6</v>
      </c>
      <c r="T11" s="715">
        <v>273.52000047000001</v>
      </c>
      <c r="U11" s="715">
        <v>279.10000000000002</v>
      </c>
      <c r="V11" s="716">
        <v>285.12099838256813</v>
      </c>
      <c r="W11" s="717">
        <v>323.49900059000004</v>
      </c>
    </row>
    <row r="12" spans="1:23" ht="11.25" customHeight="1">
      <c r="A12" s="17"/>
      <c r="B12" s="162"/>
      <c r="C12" s="39"/>
      <c r="D12" s="162"/>
      <c r="E12" s="162"/>
      <c r="F12" s="70"/>
      <c r="G12" s="66"/>
      <c r="H12" s="66"/>
      <c r="I12" s="71"/>
      <c r="J12" s="3"/>
      <c r="K12" s="3"/>
      <c r="L12" s="15"/>
      <c r="N12" s="714">
        <v>7</v>
      </c>
      <c r="O12" s="715">
        <v>135.7250061</v>
      </c>
      <c r="P12" s="715">
        <v>277.02099609999999</v>
      </c>
      <c r="Q12" s="716">
        <v>274.18798829999997</v>
      </c>
      <c r="R12" s="717">
        <v>286.72699999999998</v>
      </c>
      <c r="S12" s="714">
        <v>7</v>
      </c>
      <c r="T12" s="715">
        <v>302.63299941999998</v>
      </c>
      <c r="U12" s="715">
        <v>338.21854399</v>
      </c>
      <c r="V12" s="716">
        <v>329.34199910000001</v>
      </c>
      <c r="W12" s="717">
        <v>323.53270380002277</v>
      </c>
    </row>
    <row r="13" spans="1:23" ht="11.25" customHeight="1">
      <c r="A13" s="17"/>
      <c r="B13" s="162"/>
      <c r="C13" s="39"/>
      <c r="D13" s="162"/>
      <c r="E13" s="162"/>
      <c r="F13" s="70"/>
      <c r="G13" s="66"/>
      <c r="H13" s="66"/>
      <c r="I13" s="71"/>
      <c r="J13" s="4"/>
      <c r="K13" s="4"/>
      <c r="L13" s="12"/>
      <c r="N13" s="714">
        <v>8</v>
      </c>
      <c r="O13" s="715">
        <v>159.2149963</v>
      </c>
      <c r="P13" s="715">
        <v>293.06698610000001</v>
      </c>
      <c r="Q13" s="716">
        <v>291.3330078125</v>
      </c>
      <c r="R13" s="717">
        <v>276.42099999999999</v>
      </c>
      <c r="S13" s="714">
        <v>8</v>
      </c>
      <c r="T13" s="715">
        <v>328.23703</v>
      </c>
      <c r="U13" s="715">
        <v>388.64800643000001</v>
      </c>
      <c r="V13" s="716">
        <v>352.60932731628355</v>
      </c>
      <c r="W13" s="717">
        <v>320.11500000000001</v>
      </c>
    </row>
    <row r="14" spans="1:23" ht="11.25" customHeight="1">
      <c r="A14" s="17"/>
      <c r="B14" s="162"/>
      <c r="C14" s="39"/>
      <c r="D14" s="162"/>
      <c r="E14" s="162"/>
      <c r="F14" s="70"/>
      <c r="G14" s="66"/>
      <c r="H14" s="66"/>
      <c r="I14" s="71"/>
      <c r="J14" s="3"/>
      <c r="K14" s="6"/>
      <c r="L14" s="15"/>
      <c r="N14" s="714">
        <v>9</v>
      </c>
      <c r="O14" s="715">
        <v>186.18299870000001</v>
      </c>
      <c r="P14" s="715">
        <v>294.29501340000002</v>
      </c>
      <c r="Q14" s="716">
        <v>281.57400510000002</v>
      </c>
      <c r="R14" s="717">
        <v>271.92898559570301</v>
      </c>
      <c r="S14" s="714">
        <v>9</v>
      </c>
      <c r="T14" s="715">
        <v>343.54049999999995</v>
      </c>
      <c r="U14" s="715">
        <v>377.13099283000003</v>
      </c>
      <c r="V14" s="716">
        <v>377.95000650999998</v>
      </c>
      <c r="W14" s="717">
        <v>323.68899917602516</v>
      </c>
    </row>
    <row r="15" spans="1:23" ht="11.25" customHeight="1">
      <c r="A15" s="17"/>
      <c r="B15" s="162"/>
      <c r="C15" s="39"/>
      <c r="D15" s="162"/>
      <c r="E15" s="162"/>
      <c r="F15" s="70"/>
      <c r="G15" s="66"/>
      <c r="H15" s="66"/>
      <c r="I15" s="71"/>
      <c r="J15" s="3"/>
      <c r="K15" s="6"/>
      <c r="L15" s="15"/>
      <c r="N15" s="714">
        <v>10</v>
      </c>
      <c r="O15" s="715">
        <v>203.96099849999999</v>
      </c>
      <c r="P15" s="715">
        <v>291.91101070000002</v>
      </c>
      <c r="Q15" s="716">
        <v>277.58898929999998</v>
      </c>
      <c r="R15" s="717">
        <v>283.85998540000003</v>
      </c>
      <c r="S15" s="714">
        <v>10</v>
      </c>
      <c r="T15" s="715">
        <v>371.29100467000001</v>
      </c>
      <c r="U15" s="715">
        <v>385.62499995999997</v>
      </c>
      <c r="V15" s="716">
        <v>383.25900259000002</v>
      </c>
      <c r="W15" s="717">
        <v>329.89599799999996</v>
      </c>
    </row>
    <row r="16" spans="1:23" ht="11.25" customHeight="1">
      <c r="A16" s="17"/>
      <c r="B16" s="162"/>
      <c r="C16" s="39"/>
      <c r="D16" s="162"/>
      <c r="E16" s="162"/>
      <c r="F16" s="70"/>
      <c r="G16" s="66"/>
      <c r="H16" s="66"/>
      <c r="I16" s="71"/>
      <c r="J16" s="3"/>
      <c r="K16" s="6"/>
      <c r="L16" s="15"/>
      <c r="N16" s="714">
        <v>11</v>
      </c>
      <c r="O16" s="715">
        <v>230.18899540000001</v>
      </c>
      <c r="P16" s="715">
        <v>301.204986572265</v>
      </c>
      <c r="Q16" s="716">
        <v>288.4509888</v>
      </c>
      <c r="R16" s="718">
        <v>297.12600709999998</v>
      </c>
      <c r="S16" s="714">
        <v>11</v>
      </c>
      <c r="T16" s="715">
        <v>390.38299555999998</v>
      </c>
      <c r="U16" s="715">
        <v>389.38100242614604</v>
      </c>
      <c r="V16" s="716">
        <v>394.92200288000009</v>
      </c>
      <c r="W16" s="717">
        <v>345.04400820999996</v>
      </c>
    </row>
    <row r="17" spans="1:23" ht="11.25" customHeight="1">
      <c r="A17" s="17"/>
      <c r="B17" s="162"/>
      <c r="C17" s="39"/>
      <c r="D17" s="162"/>
      <c r="E17" s="162"/>
      <c r="F17" s="70"/>
      <c r="G17" s="66"/>
      <c r="H17" s="66"/>
      <c r="I17" s="71"/>
      <c r="J17" s="3"/>
      <c r="K17" s="6"/>
      <c r="L17" s="15"/>
      <c r="N17" s="714">
        <v>12</v>
      </c>
      <c r="O17" s="715">
        <v>282.71701050000001</v>
      </c>
      <c r="P17" s="715">
        <v>310.0090027</v>
      </c>
      <c r="Q17" s="716">
        <v>295.38400268554602</v>
      </c>
      <c r="R17" s="718">
        <v>303.54400629999998</v>
      </c>
      <c r="S17" s="714">
        <v>12</v>
      </c>
      <c r="T17" s="715">
        <v>412.41217171999995</v>
      </c>
      <c r="U17" s="715">
        <v>386.27799791999996</v>
      </c>
      <c r="V17" s="716">
        <v>390.290998458861</v>
      </c>
      <c r="W17" s="717">
        <v>376.08100894</v>
      </c>
    </row>
    <row r="18" spans="1:23" ht="11.25" customHeight="1">
      <c r="A18" s="17"/>
      <c r="B18" s="162"/>
      <c r="C18" s="39"/>
      <c r="D18" s="162"/>
      <c r="E18" s="162"/>
      <c r="F18" s="70"/>
      <c r="G18" s="66"/>
      <c r="H18" s="66"/>
      <c r="I18" s="71"/>
      <c r="J18" s="3"/>
      <c r="K18" s="6"/>
      <c r="L18" s="15"/>
      <c r="N18" s="714">
        <v>13</v>
      </c>
      <c r="O18" s="715">
        <v>329.68899540000001</v>
      </c>
      <c r="P18" s="715">
        <v>333.91799930000002</v>
      </c>
      <c r="Q18" s="716">
        <v>303.54400634765602</v>
      </c>
      <c r="R18" s="718">
        <v>310.60000609999997</v>
      </c>
      <c r="S18" s="714">
        <v>13</v>
      </c>
      <c r="T18" s="715">
        <v>410.83199501000001</v>
      </c>
      <c r="U18" s="715">
        <v>388.98099517000003</v>
      </c>
      <c r="V18" s="716">
        <v>402.17499160766499</v>
      </c>
      <c r="W18" s="717">
        <v>390.74499132000005</v>
      </c>
    </row>
    <row r="19" spans="1:23" ht="11.25" customHeight="1">
      <c r="A19" s="17"/>
      <c r="B19" s="162"/>
      <c r="C19" s="39"/>
      <c r="D19" s="162"/>
      <c r="E19" s="162"/>
      <c r="F19" s="70"/>
      <c r="G19" s="66"/>
      <c r="H19" s="66"/>
      <c r="I19" s="71"/>
      <c r="J19" s="3"/>
      <c r="K19" s="6"/>
      <c r="L19" s="15"/>
      <c r="N19" s="714">
        <v>14</v>
      </c>
      <c r="O19" s="715">
        <v>329.68899540000001</v>
      </c>
      <c r="P19" s="715">
        <v>335.73699950000002</v>
      </c>
      <c r="Q19" s="716">
        <v>296.54501340000002</v>
      </c>
      <c r="R19" s="277">
        <v>310.60000609999997</v>
      </c>
      <c r="S19" s="714">
        <v>14</v>
      </c>
      <c r="T19" s="715">
        <v>403.70400233999999</v>
      </c>
      <c r="U19" s="715">
        <v>393.36499596000004</v>
      </c>
      <c r="V19" s="716">
        <v>398.93495940999998</v>
      </c>
      <c r="W19" s="278">
        <v>396.33900255999993</v>
      </c>
    </row>
    <row r="20" spans="1:23" ht="11.25" customHeight="1">
      <c r="A20" s="17"/>
      <c r="B20" s="162"/>
      <c r="C20" s="39"/>
      <c r="D20" s="162"/>
      <c r="E20" s="162"/>
      <c r="F20" s="70"/>
      <c r="G20" s="66"/>
      <c r="H20" s="66"/>
      <c r="I20" s="71"/>
      <c r="J20" s="3"/>
      <c r="K20" s="6"/>
      <c r="L20" s="15"/>
      <c r="N20" s="714">
        <v>15</v>
      </c>
      <c r="O20" s="715">
        <v>326.67999270000001</v>
      </c>
      <c r="P20" s="715">
        <v>335.73699950000002</v>
      </c>
      <c r="Q20" s="716">
        <v>289.60299680000003</v>
      </c>
      <c r="R20" s="277">
        <v>308.24200439999998</v>
      </c>
      <c r="S20" s="714">
        <v>15</v>
      </c>
      <c r="T20" s="715">
        <v>399.27400204999998</v>
      </c>
      <c r="U20" s="715">
        <v>385.77799804</v>
      </c>
      <c r="V20" s="716">
        <v>388.01895332999999</v>
      </c>
      <c r="W20" s="278">
        <v>407.79200167999994</v>
      </c>
    </row>
    <row r="21" spans="1:23" ht="11.25" customHeight="1">
      <c r="A21" s="17"/>
      <c r="B21" s="162"/>
      <c r="C21" s="39"/>
      <c r="D21" s="162"/>
      <c r="E21" s="162"/>
      <c r="F21" s="70"/>
      <c r="G21" s="66"/>
      <c r="H21" s="66"/>
      <c r="I21" s="71"/>
      <c r="J21" s="3"/>
      <c r="K21" s="7"/>
      <c r="L21" s="16"/>
      <c r="N21" s="714">
        <v>16</v>
      </c>
      <c r="O21" s="715">
        <v>314.7409973</v>
      </c>
      <c r="P21" s="715">
        <v>335.73699950000002</v>
      </c>
      <c r="Q21" s="716">
        <v>285.006012</v>
      </c>
      <c r="R21" s="277">
        <v>302.9590149</v>
      </c>
      <c r="S21" s="714">
        <v>16</v>
      </c>
      <c r="T21" s="715">
        <v>394.58499913000003</v>
      </c>
      <c r="U21" s="715">
        <v>385.72399323999997</v>
      </c>
      <c r="V21" s="716">
        <v>383.39695458999995</v>
      </c>
      <c r="W21" s="278">
        <v>404.66700356000001</v>
      </c>
    </row>
    <row r="22" spans="1:23" ht="11.25" customHeight="1">
      <c r="A22" s="77"/>
      <c r="B22" s="162"/>
      <c r="C22" s="39"/>
      <c r="D22" s="162"/>
      <c r="E22" s="162"/>
      <c r="F22" s="70"/>
      <c r="G22" s="66"/>
      <c r="H22" s="66"/>
      <c r="I22" s="71"/>
      <c r="J22" s="3"/>
      <c r="K22" s="6"/>
      <c r="L22" s="15"/>
      <c r="N22" s="714">
        <v>17</v>
      </c>
      <c r="O22" s="715">
        <v>305.89001459999997</v>
      </c>
      <c r="P22" s="715">
        <v>335.73699950000002</v>
      </c>
      <c r="Q22" s="716">
        <v>285.00601196289</v>
      </c>
      <c r="R22" s="277">
        <v>304.71600339999998</v>
      </c>
      <c r="S22" s="714">
        <v>17</v>
      </c>
      <c r="T22" s="715">
        <v>392.29800030000007</v>
      </c>
      <c r="U22" s="715">
        <v>388.74200823000001</v>
      </c>
      <c r="V22" s="716">
        <v>381.56399345397853</v>
      </c>
      <c r="W22" s="278">
        <v>401.20799636000004</v>
      </c>
    </row>
    <row r="23" spans="1:23" ht="11.25" customHeight="1">
      <c r="A23" s="77"/>
      <c r="B23" s="162"/>
      <c r="C23" s="39"/>
      <c r="D23" s="162"/>
      <c r="E23" s="162"/>
      <c r="F23" s="70"/>
      <c r="G23" s="66"/>
      <c r="H23" s="66"/>
      <c r="I23" s="71"/>
      <c r="J23" s="3"/>
      <c r="K23" s="6"/>
      <c r="L23" s="15"/>
      <c r="N23" s="714">
        <v>18</v>
      </c>
      <c r="O23" s="715">
        <v>314.7409973</v>
      </c>
      <c r="P23" s="715">
        <v>335.73699950000002</v>
      </c>
      <c r="Q23" s="716">
        <v>285.006012</v>
      </c>
      <c r="R23" s="277">
        <v>301.20498659999998</v>
      </c>
      <c r="S23" s="714">
        <v>18</v>
      </c>
      <c r="T23" s="715">
        <v>390.15600400999995</v>
      </c>
      <c r="U23" s="715">
        <v>386.49800113000003</v>
      </c>
      <c r="V23" s="716">
        <v>379.87400246999994</v>
      </c>
      <c r="W23" s="278">
        <v>398.68500135999994</v>
      </c>
    </row>
    <row r="24" spans="1:23" ht="11.25" customHeight="1">
      <c r="A24" s="77"/>
      <c r="B24" s="162"/>
      <c r="C24" s="39"/>
      <c r="D24" s="162"/>
      <c r="E24" s="162"/>
      <c r="F24" s="70"/>
      <c r="G24" s="66"/>
      <c r="H24" s="66"/>
      <c r="I24" s="71"/>
      <c r="J24" s="6"/>
      <c r="K24" s="6"/>
      <c r="L24" s="15"/>
      <c r="N24" s="714">
        <v>19</v>
      </c>
      <c r="O24" s="715">
        <v>314.7409973</v>
      </c>
      <c r="P24" s="715">
        <v>314.7409973</v>
      </c>
      <c r="Q24" s="716">
        <v>314.7409973</v>
      </c>
      <c r="R24" s="277">
        <v>301.78900149999998</v>
      </c>
      <c r="S24" s="714">
        <v>19</v>
      </c>
      <c r="T24" s="715">
        <v>386.47099490999994</v>
      </c>
      <c r="U24" s="715">
        <v>384.38200000000001</v>
      </c>
      <c r="V24" s="716">
        <v>375.69400404000004</v>
      </c>
      <c r="W24" s="278">
        <v>396.22801973000003</v>
      </c>
    </row>
    <row r="25" spans="1:23" ht="11.25" customHeight="1">
      <c r="A25" s="264" t="s">
        <v>506</v>
      </c>
      <c r="B25" s="162"/>
      <c r="C25" s="39"/>
      <c r="D25" s="162"/>
      <c r="E25" s="162"/>
      <c r="F25" s="70"/>
      <c r="G25" s="66"/>
      <c r="H25" s="66"/>
      <c r="I25" s="71"/>
      <c r="J25" s="3"/>
      <c r="K25" s="7"/>
      <c r="L25" s="16"/>
      <c r="N25" s="719">
        <v>20</v>
      </c>
      <c r="O25" s="715">
        <v>314.7409973</v>
      </c>
      <c r="P25" s="715">
        <v>315.3340149</v>
      </c>
      <c r="Q25" s="716">
        <v>314.14801030000001</v>
      </c>
      <c r="R25" s="277">
        <v>305.30300899999997</v>
      </c>
      <c r="S25" s="714">
        <v>20</v>
      </c>
      <c r="T25" s="715">
        <v>382.00799562999993</v>
      </c>
      <c r="U25" s="715">
        <v>381.56399727000002</v>
      </c>
      <c r="V25" s="716">
        <v>370.56599616999995</v>
      </c>
      <c r="W25" s="720">
        <v>391.74099727000004</v>
      </c>
    </row>
    <row r="26" spans="1:23" ht="11.25" customHeight="1">
      <c r="A26" s="54"/>
      <c r="B26" s="162"/>
      <c r="C26" s="39"/>
      <c r="D26" s="162"/>
      <c r="E26" s="162"/>
      <c r="F26" s="70"/>
      <c r="G26" s="66"/>
      <c r="H26" s="66"/>
      <c r="I26" s="71"/>
      <c r="J26" s="4"/>
      <c r="K26" s="6"/>
      <c r="L26" s="15"/>
      <c r="N26" s="714">
        <v>21</v>
      </c>
      <c r="O26" s="715">
        <v>314.7409973</v>
      </c>
      <c r="P26" s="715">
        <v>311.78100590000003</v>
      </c>
      <c r="Q26" s="716">
        <v>312.37200927734301</v>
      </c>
      <c r="R26" s="721">
        <v>308.24200439999998</v>
      </c>
      <c r="S26" s="714">
        <v>21</v>
      </c>
      <c r="T26" s="715">
        <v>378.52099610999994</v>
      </c>
      <c r="U26" s="715">
        <v>376.47088237999998</v>
      </c>
      <c r="V26" s="716">
        <v>365.52200794219863</v>
      </c>
      <c r="W26" s="278">
        <v>387.63294980000006</v>
      </c>
    </row>
    <row r="27" spans="1:23" ht="11.25" customHeight="1">
      <c r="A27" s="77"/>
      <c r="B27" s="162"/>
      <c r="C27" s="39"/>
      <c r="D27" s="162"/>
      <c r="E27" s="162"/>
      <c r="F27" s="73"/>
      <c r="G27" s="73"/>
      <c r="H27" s="73"/>
      <c r="I27" s="73"/>
      <c r="J27" s="4"/>
      <c r="K27" s="6"/>
      <c r="L27" s="15"/>
      <c r="N27" s="714">
        <v>22</v>
      </c>
      <c r="O27" s="715">
        <v>311.78100590000003</v>
      </c>
      <c r="P27" s="715">
        <v>310.60000609999997</v>
      </c>
      <c r="Q27" s="716">
        <v>310.60000609999997</v>
      </c>
      <c r="R27" s="721">
        <v>307.6530151</v>
      </c>
      <c r="S27" s="714">
        <v>22</v>
      </c>
      <c r="T27" s="715">
        <v>375.20999716</v>
      </c>
      <c r="U27" s="715">
        <v>370.73099807</v>
      </c>
      <c r="V27" s="716">
        <v>359.19900507300002</v>
      </c>
      <c r="W27" s="278">
        <v>383.63200570999999</v>
      </c>
    </row>
    <row r="28" spans="1:23" ht="11.25" customHeight="1">
      <c r="A28" s="77"/>
      <c r="B28" s="162"/>
      <c r="C28" s="39"/>
      <c r="D28" s="162"/>
      <c r="E28" s="162"/>
      <c r="F28" s="73"/>
      <c r="G28" s="73"/>
      <c r="H28" s="73"/>
      <c r="I28" s="73"/>
      <c r="J28" s="4"/>
      <c r="K28" s="6"/>
      <c r="L28" s="15"/>
      <c r="N28" s="714">
        <v>23</v>
      </c>
      <c r="O28" s="715">
        <v>308.82998659999998</v>
      </c>
      <c r="P28" s="715">
        <v>307.06500240000003</v>
      </c>
      <c r="Q28" s="716">
        <v>307.06500240000003</v>
      </c>
      <c r="R28" s="721">
        <v>302.9590149</v>
      </c>
      <c r="S28" s="714">
        <v>23</v>
      </c>
      <c r="T28" s="715">
        <v>374.07600211999994</v>
      </c>
      <c r="U28" s="715">
        <v>363.24299430999997</v>
      </c>
      <c r="V28" s="716">
        <v>354.24799921000005</v>
      </c>
      <c r="W28" s="278">
        <v>379.05501368</v>
      </c>
    </row>
    <row r="29" spans="1:23" ht="11.25" customHeight="1">
      <c r="A29" s="77"/>
      <c r="B29" s="162"/>
      <c r="C29" s="39"/>
      <c r="D29" s="162"/>
      <c r="E29" s="162"/>
      <c r="F29" s="73"/>
      <c r="G29" s="73"/>
      <c r="H29" s="73"/>
      <c r="I29" s="73"/>
      <c r="J29" s="4"/>
      <c r="K29" s="6"/>
      <c r="L29" s="15"/>
      <c r="N29" s="714">
        <v>24</v>
      </c>
      <c r="O29" s="715">
        <v>300.0379944</v>
      </c>
      <c r="P29" s="715">
        <v>302.9590149</v>
      </c>
      <c r="Q29" s="716">
        <v>300.621002197265</v>
      </c>
      <c r="R29" s="721">
        <v>291.91101070000002</v>
      </c>
      <c r="S29" s="714">
        <v>24</v>
      </c>
      <c r="T29" s="715">
        <v>370.89200402</v>
      </c>
      <c r="U29" s="715">
        <v>357.21200376000002</v>
      </c>
      <c r="V29" s="716">
        <v>348.87000203132561</v>
      </c>
      <c r="W29" s="278">
        <v>374.35099984999999</v>
      </c>
    </row>
    <row r="30" spans="1:23" ht="11.25" customHeight="1">
      <c r="A30" s="74"/>
      <c r="B30" s="73"/>
      <c r="C30" s="73"/>
      <c r="D30" s="73"/>
      <c r="E30" s="73"/>
      <c r="F30" s="73"/>
      <c r="G30" s="73"/>
      <c r="H30" s="73"/>
      <c r="I30" s="73"/>
      <c r="J30" s="3"/>
      <c r="K30" s="6"/>
      <c r="L30" s="15"/>
      <c r="N30" s="714">
        <v>25</v>
      </c>
      <c r="O30" s="715">
        <v>294.22500609999997</v>
      </c>
      <c r="P30" s="715">
        <v>300.0379944</v>
      </c>
      <c r="Q30" s="716">
        <v>286.72698969999999</v>
      </c>
      <c r="R30" s="721">
        <v>282.14498900000001</v>
      </c>
      <c r="S30" s="714">
        <v>25</v>
      </c>
      <c r="T30" s="715">
        <v>366.71700096999996</v>
      </c>
      <c r="U30" s="715">
        <v>352.1909981</v>
      </c>
      <c r="V30" s="716">
        <v>343.83099551700002</v>
      </c>
      <c r="W30" s="278">
        <v>369.41900067</v>
      </c>
    </row>
    <row r="31" spans="1:23" ht="11.25" customHeight="1">
      <c r="A31" s="74"/>
      <c r="B31" s="73"/>
      <c r="C31" s="73"/>
      <c r="D31" s="73"/>
      <c r="E31" s="73"/>
      <c r="F31" s="73"/>
      <c r="G31" s="73"/>
      <c r="H31" s="73"/>
      <c r="I31" s="73"/>
      <c r="J31" s="3"/>
      <c r="K31" s="6"/>
      <c r="L31" s="15"/>
      <c r="N31" s="714">
        <v>26</v>
      </c>
      <c r="O31" s="715">
        <v>282.71701050000001</v>
      </c>
      <c r="P31" s="715">
        <v>296.06698610000001</v>
      </c>
      <c r="Q31" s="716">
        <v>266.86801150000002</v>
      </c>
      <c r="R31" s="721">
        <v>270.23800660000001</v>
      </c>
      <c r="S31" s="714">
        <v>26</v>
      </c>
      <c r="T31" s="715">
        <v>361.43599508999995</v>
      </c>
      <c r="U31" s="715">
        <v>346.62612917400003</v>
      </c>
      <c r="V31" s="716">
        <v>338.47100355099997</v>
      </c>
      <c r="W31" s="278">
        <v>363.95100021999997</v>
      </c>
    </row>
    <row r="32" spans="1:23" ht="11.25" customHeight="1">
      <c r="A32" s="74"/>
      <c r="B32" s="73"/>
      <c r="C32" s="73"/>
      <c r="D32" s="73"/>
      <c r="E32" s="73"/>
      <c r="F32" s="73"/>
      <c r="G32" s="73"/>
      <c r="H32" s="73"/>
      <c r="I32" s="73"/>
      <c r="J32" s="3"/>
      <c r="K32" s="6"/>
      <c r="L32" s="15"/>
      <c r="N32" s="714">
        <v>27</v>
      </c>
      <c r="O32" s="715">
        <v>271.36</v>
      </c>
      <c r="P32" s="715">
        <v>275.89</v>
      </c>
      <c r="Q32" s="716">
        <v>255.73500061035099</v>
      </c>
      <c r="R32" s="721"/>
      <c r="S32" s="714">
        <v>27</v>
      </c>
      <c r="T32" s="715">
        <v>355.34</v>
      </c>
      <c r="U32" s="715">
        <v>341.25900444999996</v>
      </c>
      <c r="V32" s="716">
        <v>333.23996639251612</v>
      </c>
    </row>
    <row r="33" spans="1:22" ht="11.25" customHeight="1">
      <c r="A33" s="74"/>
      <c r="B33" s="73"/>
      <c r="C33" s="73"/>
      <c r="D33" s="73"/>
      <c r="E33" s="73"/>
      <c r="F33" s="73"/>
      <c r="G33" s="73"/>
      <c r="H33" s="73"/>
      <c r="I33" s="73"/>
      <c r="J33" s="3"/>
      <c r="K33" s="6"/>
      <c r="L33" s="15"/>
      <c r="N33" s="714">
        <v>28</v>
      </c>
      <c r="O33" s="715">
        <v>260.16900629999998</v>
      </c>
      <c r="P33" s="722">
        <v>248.58200070000001</v>
      </c>
      <c r="Q33" s="716">
        <v>244.7590027</v>
      </c>
      <c r="R33" s="721"/>
      <c r="S33" s="714">
        <v>28</v>
      </c>
      <c r="T33" s="715">
        <v>349.01599981000004</v>
      </c>
      <c r="U33" s="715">
        <v>337.18899436699996</v>
      </c>
      <c r="V33" s="716">
        <v>327.71050074999999</v>
      </c>
    </row>
    <row r="34" spans="1:22" ht="11.25" customHeight="1">
      <c r="A34" s="74"/>
      <c r="B34" s="73"/>
      <c r="C34" s="73"/>
      <c r="D34" s="73"/>
      <c r="E34" s="73"/>
      <c r="F34" s="73"/>
      <c r="G34" s="73"/>
      <c r="H34" s="73"/>
      <c r="I34" s="73"/>
      <c r="J34" s="3"/>
      <c r="K34" s="6"/>
      <c r="L34" s="15"/>
      <c r="N34" s="714">
        <v>29</v>
      </c>
      <c r="O34" s="715">
        <v>251.88</v>
      </c>
      <c r="P34" s="715">
        <v>238.787994384765</v>
      </c>
      <c r="Q34" s="716">
        <v>231.25799559999999</v>
      </c>
      <c r="R34" s="721"/>
      <c r="S34" s="714">
        <v>29</v>
      </c>
      <c r="T34" s="715">
        <v>343.97999999999996</v>
      </c>
      <c r="U34" s="715">
        <v>333.50600986443789</v>
      </c>
      <c r="V34" s="716">
        <v>322.11699965099996</v>
      </c>
    </row>
    <row r="35" spans="1:22" ht="11.25" customHeight="1">
      <c r="A35" s="74"/>
      <c r="B35" s="73"/>
      <c r="C35" s="73"/>
      <c r="D35" s="73"/>
      <c r="E35" s="73"/>
      <c r="F35" s="73"/>
      <c r="G35" s="73"/>
      <c r="H35" s="73"/>
      <c r="I35" s="73"/>
      <c r="J35" s="6"/>
      <c r="K35" s="6"/>
      <c r="L35" s="15"/>
      <c r="N35" s="714">
        <v>30</v>
      </c>
      <c r="O35" s="715">
        <v>232.8650055</v>
      </c>
      <c r="P35" s="715">
        <v>229.12</v>
      </c>
      <c r="Q35" s="716">
        <v>219.58000179999999</v>
      </c>
      <c r="R35" s="721"/>
      <c r="S35" s="714">
        <v>30</v>
      </c>
      <c r="T35" s="715">
        <v>342.06599807739167</v>
      </c>
      <c r="U35" s="715">
        <v>324.04999999999995</v>
      </c>
      <c r="V35" s="716">
        <v>316.39600081599997</v>
      </c>
    </row>
    <row r="36" spans="1:22" ht="11.25" customHeight="1">
      <c r="A36" s="74"/>
      <c r="B36" s="73"/>
      <c r="C36" s="73"/>
      <c r="D36" s="73"/>
      <c r="E36" s="73"/>
      <c r="F36" s="73"/>
      <c r="G36" s="73"/>
      <c r="H36" s="73"/>
      <c r="I36" s="73"/>
      <c r="J36" s="3"/>
      <c r="K36" s="6"/>
      <c r="L36" s="15"/>
      <c r="N36" s="714">
        <v>31</v>
      </c>
      <c r="O36" s="715">
        <v>211.726</v>
      </c>
      <c r="P36" s="715">
        <v>219.05400090000001</v>
      </c>
      <c r="Q36" s="716">
        <v>209.128006</v>
      </c>
      <c r="R36" s="721"/>
      <c r="S36" s="714">
        <v>31</v>
      </c>
      <c r="T36" s="715">
        <v>335.23199999999997</v>
      </c>
      <c r="U36" s="715">
        <v>318.10600236499999</v>
      </c>
      <c r="V36" s="716">
        <v>310.66199637099999</v>
      </c>
    </row>
    <row r="37" spans="1:22" ht="11.25" customHeight="1">
      <c r="A37" s="74"/>
      <c r="B37" s="73"/>
      <c r="C37" s="73"/>
      <c r="D37" s="73"/>
      <c r="E37" s="73"/>
      <c r="F37" s="73"/>
      <c r="G37" s="73"/>
      <c r="H37" s="73"/>
      <c r="I37" s="73"/>
      <c r="J37" s="3"/>
      <c r="K37" s="10"/>
      <c r="L37" s="15"/>
      <c r="N37" s="714">
        <v>32</v>
      </c>
      <c r="O37" s="715">
        <v>181.19200129999999</v>
      </c>
      <c r="P37" s="715">
        <v>209.128006</v>
      </c>
      <c r="Q37" s="716">
        <v>201.39199830000001</v>
      </c>
      <c r="R37" s="277"/>
      <c r="S37" s="714">
        <v>32</v>
      </c>
      <c r="T37" s="715">
        <v>329.56800555999996</v>
      </c>
      <c r="U37" s="715">
        <v>312.078003352</v>
      </c>
      <c r="V37" s="716">
        <v>304.63100243800005</v>
      </c>
    </row>
    <row r="38" spans="1:22" ht="11.25" customHeight="1">
      <c r="A38" s="74"/>
      <c r="B38" s="73"/>
      <c r="C38" s="73"/>
      <c r="D38" s="73"/>
      <c r="E38" s="73"/>
      <c r="F38" s="73"/>
      <c r="G38" s="73"/>
      <c r="H38" s="73"/>
      <c r="I38" s="73"/>
      <c r="J38" s="3"/>
      <c r="K38" s="10"/>
      <c r="L38" s="38"/>
      <c r="N38" s="714">
        <v>33</v>
      </c>
      <c r="O38" s="715">
        <v>152.0650024</v>
      </c>
      <c r="P38" s="715">
        <v>199.85499569999999</v>
      </c>
      <c r="Q38" s="716">
        <v>189.6999969</v>
      </c>
      <c r="R38" s="277"/>
      <c r="S38" s="714">
        <v>33</v>
      </c>
      <c r="T38" s="715">
        <v>323.79099748000004</v>
      </c>
      <c r="U38" s="715">
        <v>312.078003352</v>
      </c>
      <c r="V38" s="716">
        <v>299.14499665</v>
      </c>
    </row>
    <row r="39" spans="1:22" ht="11.25" customHeight="1">
      <c r="A39" s="74"/>
      <c r="B39" s="73"/>
      <c r="C39" s="73"/>
      <c r="D39" s="73"/>
      <c r="E39" s="73"/>
      <c r="F39" s="73"/>
      <c r="G39" s="73"/>
      <c r="H39" s="73"/>
      <c r="I39" s="73"/>
      <c r="J39" s="3"/>
      <c r="K39" s="7"/>
      <c r="L39" s="15"/>
      <c r="N39" s="714">
        <v>34</v>
      </c>
      <c r="O39" s="715">
        <v>156.8220062</v>
      </c>
      <c r="P39" s="715">
        <v>188.69299319999999</v>
      </c>
      <c r="Q39" s="716">
        <v>178.71099849999999</v>
      </c>
      <c r="R39" s="277"/>
      <c r="S39" s="714">
        <v>34</v>
      </c>
      <c r="T39" s="715">
        <v>317.64699750999995</v>
      </c>
      <c r="U39" s="715">
        <v>299.58200316099999</v>
      </c>
      <c r="V39" s="716">
        <v>293.22399712800001</v>
      </c>
    </row>
    <row r="40" spans="1:22" ht="11.25" customHeight="1">
      <c r="A40" s="74"/>
      <c r="B40" s="73"/>
      <c r="C40" s="73"/>
      <c r="D40" s="73"/>
      <c r="E40" s="73"/>
      <c r="F40" s="73"/>
      <c r="G40" s="73"/>
      <c r="H40" s="73"/>
      <c r="I40" s="73"/>
      <c r="J40" s="3"/>
      <c r="K40" s="7"/>
      <c r="L40" s="15"/>
      <c r="N40" s="714">
        <v>35</v>
      </c>
      <c r="O40" s="715">
        <v>156.82</v>
      </c>
      <c r="P40" s="723">
        <v>177.72099299999999</v>
      </c>
      <c r="Q40" s="716">
        <v>167.91000366210901</v>
      </c>
      <c r="R40" s="277"/>
      <c r="S40" s="714">
        <v>35</v>
      </c>
      <c r="T40" s="715">
        <v>311.42</v>
      </c>
      <c r="U40" s="715">
        <v>292.71899843200003</v>
      </c>
      <c r="V40" s="716">
        <v>287.11000061035065</v>
      </c>
    </row>
    <row r="41" spans="1:22" ht="11.25" customHeight="1">
      <c r="A41" s="74"/>
      <c r="B41" s="73"/>
      <c r="C41" s="73"/>
      <c r="D41" s="73"/>
      <c r="E41" s="73"/>
      <c r="F41" s="73"/>
      <c r="G41" s="73"/>
      <c r="H41" s="73"/>
      <c r="I41" s="73"/>
      <c r="J41" s="3"/>
      <c r="K41" s="7"/>
      <c r="L41" s="15"/>
      <c r="N41" s="714">
        <v>36</v>
      </c>
      <c r="O41" s="715">
        <v>159.21</v>
      </c>
      <c r="P41" s="723">
        <v>164.99800110000001</v>
      </c>
      <c r="Q41" s="716">
        <v>158.25599670410099</v>
      </c>
      <c r="R41" s="277"/>
      <c r="S41" s="714">
        <v>36</v>
      </c>
      <c r="T41" s="715">
        <v>305.20999999999998</v>
      </c>
      <c r="U41" s="715">
        <v>286.64699412499999</v>
      </c>
      <c r="V41" s="716">
        <v>280.34500217437699</v>
      </c>
    </row>
    <row r="42" spans="1:22" ht="11.25" customHeight="1">
      <c r="A42" s="74"/>
      <c r="B42" s="73"/>
      <c r="C42" s="73"/>
      <c r="D42" s="73"/>
      <c r="E42" s="73"/>
      <c r="F42" s="73"/>
      <c r="G42" s="73"/>
      <c r="H42" s="73"/>
      <c r="I42" s="73"/>
      <c r="J42" s="6"/>
      <c r="K42" s="10"/>
      <c r="L42" s="15"/>
      <c r="N42" s="714">
        <v>37</v>
      </c>
      <c r="O42" s="715">
        <v>159.2149963</v>
      </c>
      <c r="P42" s="723">
        <v>154.53400055</v>
      </c>
      <c r="Q42" s="716">
        <v>147.34800720214801</v>
      </c>
      <c r="R42" s="277"/>
      <c r="S42" s="714">
        <v>37</v>
      </c>
      <c r="T42" s="715">
        <v>299.17000225600003</v>
      </c>
      <c r="U42" s="715">
        <v>280.605003845</v>
      </c>
      <c r="V42" s="716">
        <v>273.90200042724575</v>
      </c>
    </row>
    <row r="43" spans="1:22" ht="11.25" customHeight="1">
      <c r="A43" s="74"/>
      <c r="B43" s="73"/>
      <c r="C43" s="73"/>
      <c r="D43" s="73"/>
      <c r="E43" s="73"/>
      <c r="F43" s="73"/>
      <c r="G43" s="73"/>
      <c r="H43" s="73"/>
      <c r="I43" s="73"/>
      <c r="J43" s="3"/>
      <c r="K43" s="10"/>
      <c r="L43" s="15"/>
      <c r="N43" s="714">
        <v>38</v>
      </c>
      <c r="O43" s="715">
        <v>149.70199579999999</v>
      </c>
      <c r="P43" s="723">
        <v>144.07</v>
      </c>
      <c r="Q43" s="716">
        <v>136.64599609375</v>
      </c>
      <c r="R43" s="277"/>
      <c r="S43" s="714">
        <v>38</v>
      </c>
      <c r="T43" s="715">
        <v>292.45899891799996</v>
      </c>
      <c r="U43" s="715">
        <v>274.21999999999997</v>
      </c>
      <c r="V43" s="716">
        <v>267.16300058364783</v>
      </c>
    </row>
    <row r="44" spans="1:22" ht="11.25" customHeight="1">
      <c r="A44" s="74"/>
      <c r="B44" s="73"/>
      <c r="C44" s="73"/>
      <c r="D44" s="73"/>
      <c r="E44" s="73"/>
      <c r="F44" s="73"/>
      <c r="G44" s="73"/>
      <c r="H44" s="73"/>
      <c r="I44" s="73"/>
      <c r="J44" s="3"/>
      <c r="K44" s="10"/>
      <c r="L44" s="15"/>
      <c r="N44" s="714">
        <v>39</v>
      </c>
      <c r="O44" s="715">
        <v>117.6380005</v>
      </c>
      <c r="P44" s="723">
        <v>135.725006103515</v>
      </c>
      <c r="Q44" s="716">
        <v>131.14500430000001</v>
      </c>
      <c r="R44" s="277"/>
      <c r="S44" s="714">
        <v>39</v>
      </c>
      <c r="T44" s="715">
        <v>286.11999916000002</v>
      </c>
      <c r="U44" s="715">
        <v>267.58499765396107</v>
      </c>
      <c r="V44" s="716">
        <v>262.426999588</v>
      </c>
    </row>
    <row r="45" spans="1:22" ht="11.25" customHeight="1">
      <c r="A45" s="74"/>
      <c r="B45" s="73"/>
      <c r="C45" s="73"/>
      <c r="D45" s="73"/>
      <c r="E45" s="73"/>
      <c r="F45" s="73"/>
      <c r="G45" s="73"/>
      <c r="H45" s="73"/>
      <c r="I45" s="73"/>
      <c r="J45" s="11"/>
      <c r="K45" s="11"/>
      <c r="L45" s="11"/>
      <c r="N45" s="714">
        <v>40</v>
      </c>
      <c r="O45" s="715">
        <v>91.680000309999997</v>
      </c>
      <c r="P45" s="715">
        <v>127.0559998</v>
      </c>
      <c r="Q45" s="716">
        <v>120.7580032</v>
      </c>
      <c r="R45" s="277"/>
      <c r="S45" s="714">
        <v>40</v>
      </c>
      <c r="T45" s="715">
        <v>278.57999837699998</v>
      </c>
      <c r="U45" s="715">
        <v>260.96199703900004</v>
      </c>
      <c r="V45" s="716">
        <v>258.968997</v>
      </c>
    </row>
    <row r="46" spans="1:22" ht="11.25" customHeight="1">
      <c r="A46" s="74"/>
      <c r="B46" s="73"/>
      <c r="C46" s="73"/>
      <c r="D46" s="73"/>
      <c r="E46" s="73"/>
      <c r="F46" s="73"/>
      <c r="G46" s="73"/>
      <c r="H46" s="73"/>
      <c r="I46" s="73"/>
      <c r="J46" s="11"/>
      <c r="K46" s="11"/>
      <c r="L46" s="11"/>
      <c r="N46" s="714">
        <v>41</v>
      </c>
      <c r="O46" s="715">
        <v>71.125</v>
      </c>
      <c r="P46" s="715">
        <v>110.13999939999999</v>
      </c>
      <c r="Q46" s="716">
        <v>102.3249969</v>
      </c>
      <c r="R46" s="277"/>
      <c r="S46" s="714">
        <v>41</v>
      </c>
      <c r="T46" s="715">
        <v>271.23250496387476</v>
      </c>
      <c r="U46" s="715">
        <v>253.29600046600001</v>
      </c>
      <c r="V46" s="716">
        <v>255.76199719799999</v>
      </c>
    </row>
    <row r="47" spans="1:22" ht="11.25" customHeight="1">
      <c r="A47" s="74"/>
      <c r="B47" s="73"/>
      <c r="C47" s="73"/>
      <c r="D47" s="73"/>
      <c r="E47" s="73"/>
      <c r="F47" s="73"/>
      <c r="G47" s="73"/>
      <c r="H47" s="73"/>
      <c r="I47" s="73"/>
      <c r="J47" s="11"/>
      <c r="K47" s="11"/>
      <c r="L47" s="11"/>
      <c r="N47" s="714">
        <v>42</v>
      </c>
      <c r="O47" s="715">
        <v>59.261001586913999</v>
      </c>
      <c r="P47" s="715">
        <v>100.61</v>
      </c>
      <c r="Q47" s="716">
        <v>92.944999694824205</v>
      </c>
      <c r="R47" s="277"/>
      <c r="S47" s="714">
        <v>42</v>
      </c>
      <c r="T47" s="715">
        <v>256.27199935913058</v>
      </c>
      <c r="U47" s="715">
        <v>246.06</v>
      </c>
      <c r="V47" s="716">
        <v>251.31199836730943</v>
      </c>
    </row>
    <row r="48" spans="1:22" ht="11.25" customHeight="1">
      <c r="A48" s="74"/>
      <c r="B48" s="73"/>
      <c r="C48" s="73"/>
      <c r="D48" s="73"/>
      <c r="E48" s="73"/>
      <c r="F48" s="73"/>
      <c r="G48" s="73"/>
      <c r="H48" s="73"/>
      <c r="I48" s="73"/>
      <c r="J48" s="11"/>
      <c r="K48" s="11"/>
      <c r="L48" s="11"/>
      <c r="N48" s="714">
        <v>43</v>
      </c>
      <c r="O48" s="715">
        <v>47.749000549316399</v>
      </c>
      <c r="P48" s="715">
        <v>95.484001160000005</v>
      </c>
      <c r="Q48" s="716">
        <v>84.166999820000001</v>
      </c>
      <c r="R48" s="277"/>
      <c r="S48" s="714">
        <v>43</v>
      </c>
      <c r="T48" s="715">
        <v>249.67099761962871</v>
      </c>
      <c r="U48" s="715">
        <v>241.02699661899999</v>
      </c>
      <c r="V48" s="716">
        <v>245.88199755799999</v>
      </c>
    </row>
    <row r="49" spans="1:22" ht="11.25" customHeight="1">
      <c r="A49" s="74"/>
      <c r="B49" s="73"/>
      <c r="C49" s="73"/>
      <c r="D49" s="73"/>
      <c r="E49" s="73"/>
      <c r="F49" s="73"/>
      <c r="G49" s="73"/>
      <c r="H49" s="73"/>
      <c r="I49" s="73"/>
      <c r="J49" s="11"/>
      <c r="K49" s="11"/>
      <c r="L49" s="11"/>
      <c r="N49" s="714">
        <v>44</v>
      </c>
      <c r="O49" s="715">
        <v>38.424999239999998</v>
      </c>
      <c r="P49" s="715">
        <v>89.581001279999995</v>
      </c>
      <c r="Q49" s="716">
        <v>82.51499939</v>
      </c>
      <c r="R49" s="277"/>
      <c r="S49" s="714">
        <v>44</v>
      </c>
      <c r="T49" s="715">
        <v>249.67099761962871</v>
      </c>
      <c r="U49" s="715">
        <v>234.19399833099999</v>
      </c>
      <c r="V49" s="716">
        <v>239.051002463</v>
      </c>
    </row>
    <row r="50" spans="1:22" ht="13.2">
      <c r="A50" s="74"/>
      <c r="B50" s="73"/>
      <c r="C50" s="73"/>
      <c r="D50" s="73"/>
      <c r="E50" s="73"/>
      <c r="F50" s="73"/>
      <c r="G50" s="73"/>
      <c r="H50" s="73"/>
      <c r="I50" s="73"/>
      <c r="J50" s="11"/>
      <c r="K50" s="11"/>
      <c r="L50" s="11"/>
      <c r="N50" s="714">
        <v>45</v>
      </c>
      <c r="O50" s="715">
        <v>31.142000199999998</v>
      </c>
      <c r="P50" s="715">
        <v>79.638999940000005</v>
      </c>
      <c r="Q50" s="716">
        <v>72.33000183</v>
      </c>
      <c r="R50" s="277"/>
      <c r="S50" s="714">
        <v>45</v>
      </c>
      <c r="T50" s="715">
        <v>243.378839739</v>
      </c>
      <c r="U50" s="715">
        <v>228.64612817499997</v>
      </c>
      <c r="V50" s="716">
        <v>232.679000852</v>
      </c>
    </row>
    <row r="51" spans="1:22" ht="13.2">
      <c r="A51" s="74"/>
      <c r="B51" s="73"/>
      <c r="C51" s="73"/>
      <c r="D51" s="73"/>
      <c r="E51" s="73"/>
      <c r="F51" s="73"/>
      <c r="G51" s="73"/>
      <c r="H51" s="73"/>
      <c r="I51" s="73"/>
      <c r="J51" s="11"/>
      <c r="K51" s="11"/>
      <c r="L51" s="11"/>
      <c r="N51" s="714">
        <v>46</v>
      </c>
      <c r="O51" s="715">
        <v>22.26</v>
      </c>
      <c r="P51" s="715">
        <v>80.049003600000006</v>
      </c>
      <c r="Q51" s="716">
        <v>57.318000789999999</v>
      </c>
      <c r="R51" s="277"/>
      <c r="S51" s="714">
        <v>46</v>
      </c>
      <c r="T51" s="715">
        <v>236.34</v>
      </c>
      <c r="U51" s="715">
        <v>222.81199835999999</v>
      </c>
      <c r="V51" s="716">
        <v>225.80399990800001</v>
      </c>
    </row>
    <row r="52" spans="1:22" ht="13.2">
      <c r="A52" s="74"/>
      <c r="B52" s="73"/>
      <c r="C52" s="73"/>
      <c r="D52" s="73"/>
      <c r="E52" s="73"/>
      <c r="F52" s="73"/>
      <c r="G52" s="73"/>
      <c r="H52" s="73"/>
      <c r="I52" s="73"/>
      <c r="J52" s="11"/>
      <c r="K52" s="11"/>
      <c r="L52" s="11"/>
      <c r="N52" s="714">
        <v>47</v>
      </c>
      <c r="O52" s="715">
        <v>17.044000629999999</v>
      </c>
      <c r="P52" s="715">
        <v>85.825996399999994</v>
      </c>
      <c r="Q52" s="716">
        <v>44.738998410000001</v>
      </c>
      <c r="R52" s="277"/>
      <c r="S52" s="714">
        <v>47</v>
      </c>
      <c r="T52" s="715">
        <v>227.62000255999999</v>
      </c>
      <c r="U52" s="715">
        <v>216.31200409100001</v>
      </c>
      <c r="V52" s="716">
        <v>219.24500608799997</v>
      </c>
    </row>
    <row r="53" spans="1:22" ht="13.2">
      <c r="A53" s="74"/>
      <c r="B53" s="73"/>
      <c r="C53" s="73"/>
      <c r="D53" s="73"/>
      <c r="E53" s="73"/>
      <c r="F53" s="73"/>
      <c r="G53" s="73"/>
      <c r="H53" s="73"/>
      <c r="I53" s="73"/>
      <c r="J53" s="11"/>
      <c r="K53" s="11"/>
      <c r="L53" s="11"/>
      <c r="N53" s="714">
        <v>48</v>
      </c>
      <c r="O53" s="715">
        <v>36.5890007</v>
      </c>
      <c r="P53" s="715">
        <v>77.596000669999995</v>
      </c>
      <c r="Q53" s="716">
        <v>34.763999939999998</v>
      </c>
      <c r="R53" s="277"/>
      <c r="S53" s="714">
        <v>48</v>
      </c>
      <c r="T53" s="715">
        <v>220.01436420799999</v>
      </c>
      <c r="U53" s="715">
        <v>210.250997547</v>
      </c>
      <c r="V53" s="716">
        <v>212.09200192</v>
      </c>
    </row>
    <row r="54" spans="1:22" ht="13.2">
      <c r="A54" s="74"/>
      <c r="B54" s="73"/>
      <c r="C54" s="73"/>
      <c r="D54" s="73"/>
      <c r="E54" s="73"/>
      <c r="F54" s="73"/>
      <c r="G54" s="73"/>
      <c r="H54" s="73"/>
      <c r="I54" s="73"/>
      <c r="J54" s="11"/>
      <c r="K54" s="11"/>
      <c r="L54" s="11"/>
      <c r="N54" s="714">
        <v>49</v>
      </c>
      <c r="O54" s="724">
        <v>36.590000000000003</v>
      </c>
      <c r="P54" s="715">
        <v>54.613998410000001</v>
      </c>
      <c r="Q54" s="716">
        <v>27.915000920000001</v>
      </c>
      <c r="R54" s="277"/>
      <c r="S54" s="714">
        <v>49</v>
      </c>
      <c r="T54" s="715">
        <v>212.37999999999997</v>
      </c>
      <c r="U54" s="715">
        <v>202.73299884100001</v>
      </c>
      <c r="V54" s="716">
        <v>206.70499944799997</v>
      </c>
    </row>
    <row r="55" spans="1:22" ht="13.2">
      <c r="A55" s="74"/>
      <c r="B55" s="73"/>
      <c r="C55" s="73"/>
      <c r="D55" s="73"/>
      <c r="E55" s="73"/>
      <c r="F55" s="73"/>
      <c r="G55" s="73"/>
      <c r="H55" s="73"/>
      <c r="I55" s="73"/>
      <c r="J55" s="11"/>
      <c r="K55" s="11"/>
      <c r="L55" s="11"/>
      <c r="N55" s="714">
        <v>50</v>
      </c>
      <c r="O55" s="715">
        <v>34.763999939999998</v>
      </c>
      <c r="P55" s="715">
        <v>64.358001709999996</v>
      </c>
      <c r="Q55" s="716">
        <v>19.81399918</v>
      </c>
      <c r="R55" s="277"/>
      <c r="S55" s="714">
        <v>50</v>
      </c>
      <c r="T55" s="715">
        <v>205.46782675599999</v>
      </c>
      <c r="U55" s="715">
        <v>195.51400422099999</v>
      </c>
      <c r="V55" s="716">
        <v>200.08300209800001</v>
      </c>
    </row>
    <row r="56" spans="1:22" ht="13.2">
      <c r="A56" s="74"/>
      <c r="B56" s="73"/>
      <c r="C56" s="73"/>
      <c r="D56" s="73"/>
      <c r="E56" s="73"/>
      <c r="F56" s="73"/>
      <c r="G56" s="73"/>
      <c r="H56" s="73"/>
      <c r="I56" s="73"/>
      <c r="J56" s="11"/>
      <c r="K56" s="11"/>
      <c r="L56" s="11"/>
      <c r="N56" s="714">
        <v>51</v>
      </c>
      <c r="O56" s="715">
        <v>38.4</v>
      </c>
      <c r="P56" s="715">
        <v>80.049003600000006</v>
      </c>
      <c r="Q56" s="716">
        <v>22.256999969999999</v>
      </c>
      <c r="R56" s="277"/>
      <c r="S56" s="714">
        <v>51</v>
      </c>
      <c r="T56" s="715">
        <v>199</v>
      </c>
      <c r="U56" s="715">
        <v>188.995997891</v>
      </c>
      <c r="V56" s="716">
        <v>200.81900405299996</v>
      </c>
    </row>
    <row r="57" spans="1:22" ht="13.2">
      <c r="A57" s="74"/>
      <c r="B57" s="73"/>
      <c r="C57" s="73"/>
      <c r="D57" s="73"/>
      <c r="E57" s="73"/>
      <c r="F57" s="73"/>
      <c r="G57" s="73"/>
      <c r="H57" s="73"/>
      <c r="I57" s="73"/>
      <c r="N57" s="714">
        <v>52</v>
      </c>
      <c r="O57" s="715">
        <v>59.261001589999999</v>
      </c>
      <c r="P57" s="715">
        <v>108.82900239999999</v>
      </c>
      <c r="Q57" s="716">
        <v>51.54700089</v>
      </c>
      <c r="R57" s="277"/>
      <c r="S57" s="714">
        <v>52</v>
      </c>
      <c r="T57" s="715">
        <v>192.88799664499999</v>
      </c>
      <c r="U57" s="715">
        <v>184.65400219100002</v>
      </c>
      <c r="V57" s="716">
        <v>217.92999649000001</v>
      </c>
    </row>
    <row r="58" spans="1:22" ht="13.2">
      <c r="A58" s="74"/>
      <c r="B58" s="73"/>
      <c r="C58" s="73"/>
      <c r="D58" s="73"/>
      <c r="E58" s="73"/>
      <c r="F58" s="73"/>
      <c r="G58" s="73"/>
      <c r="H58" s="73"/>
      <c r="I58" s="73"/>
      <c r="N58" s="714">
        <v>53</v>
      </c>
      <c r="O58" s="277"/>
      <c r="P58" s="277">
        <v>140.34500120000001</v>
      </c>
      <c r="Q58" s="277"/>
      <c r="R58" s="277"/>
      <c r="S58" s="714">
        <v>53</v>
      </c>
      <c r="T58" s="715"/>
      <c r="U58" s="715">
        <v>183.63100289100001</v>
      </c>
      <c r="V58" s="716"/>
    </row>
    <row r="59" spans="1:22" ht="13.2">
      <c r="B59" s="73"/>
      <c r="C59" s="73"/>
      <c r="D59" s="73"/>
      <c r="E59" s="73"/>
      <c r="F59" s="73"/>
      <c r="G59" s="73"/>
      <c r="H59" s="73"/>
      <c r="I59" s="73"/>
    </row>
    <row r="60" spans="1:22" ht="13.2">
      <c r="A60" s="74"/>
      <c r="B60" s="73"/>
      <c r="C60" s="73"/>
      <c r="D60" s="73"/>
      <c r="E60" s="73"/>
      <c r="F60" s="73"/>
      <c r="G60" s="73"/>
      <c r="H60" s="73"/>
      <c r="I60" s="73"/>
    </row>
    <row r="63" spans="1:22">
      <c r="A63" s="264" t="s">
        <v>507</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60"/>
  <sheetViews>
    <sheetView showGridLines="0" view="pageBreakPreview" zoomScaleNormal="100" zoomScaleSheetLayoutView="100" zoomScalePageLayoutView="110" workbookViewId="0">
      <selection activeCell="C22" sqref="C22"/>
    </sheetView>
  </sheetViews>
  <sheetFormatPr baseColWidth="10" defaultColWidth="9.28515625" defaultRowHeight="10.199999999999999"/>
  <cols>
    <col min="1" max="1" width="9.42578125" customWidth="1"/>
    <col min="2" max="2" width="11.42578125" customWidth="1"/>
    <col min="3" max="3" width="28.42578125" customWidth="1"/>
    <col min="4" max="5" width="12" customWidth="1"/>
    <col min="6" max="6" width="12.28515625" customWidth="1"/>
    <col min="7" max="7" width="11.140625" customWidth="1"/>
    <col min="8" max="8" width="11.85546875" customWidth="1"/>
    <col min="9" max="9" width="9.28515625" customWidth="1"/>
    <col min="10" max="10" width="9.28515625" style="277"/>
    <col min="11" max="11" width="9.28515625" style="549"/>
    <col min="12" max="12" width="3.140625" style="549" bestFit="1" customWidth="1"/>
    <col min="13" max="15" width="9.28515625" style="277"/>
    <col min="16" max="16" width="9.28515625" style="548"/>
    <col min="17" max="19" width="9.28515625" style="514"/>
    <col min="20" max="21" width="9.28515625" style="339"/>
  </cols>
  <sheetData>
    <row r="1" spans="1:15" ht="11.25" customHeight="1"/>
    <row r="2" spans="1:15" ht="11.25" customHeight="1">
      <c r="A2" s="17"/>
      <c r="B2" s="17"/>
      <c r="C2" s="17"/>
      <c r="D2" s="17"/>
      <c r="E2" s="73"/>
      <c r="F2" s="73"/>
      <c r="G2" s="73"/>
    </row>
    <row r="3" spans="1:15" ht="17.25" customHeight="1">
      <c r="A3" s="882" t="s">
        <v>381</v>
      </c>
      <c r="B3" s="882"/>
      <c r="C3" s="882"/>
      <c r="D3" s="882"/>
      <c r="E3" s="882"/>
      <c r="F3" s="882"/>
      <c r="G3" s="882"/>
      <c r="H3" s="36"/>
      <c r="I3" s="36"/>
      <c r="K3" s="549" t="s">
        <v>260</v>
      </c>
      <c r="M3" s="277" t="s">
        <v>261</v>
      </c>
      <c r="N3" s="277" t="s">
        <v>262</v>
      </c>
      <c r="O3" s="277" t="s">
        <v>263</v>
      </c>
    </row>
    <row r="4" spans="1:15" ht="11.25" customHeight="1">
      <c r="A4" s="74"/>
      <c r="B4" s="73"/>
      <c r="C4" s="73"/>
      <c r="D4" s="73"/>
      <c r="E4" s="73"/>
      <c r="F4" s="73"/>
      <c r="G4" s="73"/>
      <c r="H4" s="36"/>
      <c r="I4" s="36"/>
      <c r="J4" s="277">
        <v>2018</v>
      </c>
      <c r="K4" s="549">
        <v>1</v>
      </c>
      <c r="L4" s="549">
        <v>1</v>
      </c>
      <c r="M4" s="725">
        <v>29.44</v>
      </c>
      <c r="N4" s="725">
        <v>69.087142857142865</v>
      </c>
      <c r="O4" s="725">
        <v>15.747142857142856</v>
      </c>
    </row>
    <row r="5" spans="1:15" ht="11.25" customHeight="1">
      <c r="A5" s="74"/>
      <c r="B5" s="73"/>
      <c r="C5" s="73"/>
      <c r="D5" s="73"/>
      <c r="E5" s="73"/>
      <c r="F5" s="73"/>
      <c r="G5" s="73"/>
      <c r="H5" s="12"/>
      <c r="I5" s="12"/>
      <c r="L5" s="549">
        <v>2</v>
      </c>
      <c r="M5" s="725">
        <v>42.880857194285717</v>
      </c>
      <c r="N5" s="725">
        <v>96.785858138571413</v>
      </c>
      <c r="O5" s="725">
        <v>37.6</v>
      </c>
    </row>
    <row r="6" spans="1:15" ht="29.25" customHeight="1">
      <c r="A6" s="136"/>
      <c r="C6" s="380" t="s">
        <v>144</v>
      </c>
      <c r="D6" s="383" t="str">
        <f>UPPER('1. Resumen'!Q4)&amp;"
 "&amp;'1. Resumen'!Q5</f>
        <v>JUNIO
 2021</v>
      </c>
      <c r="E6" s="384" t="str">
        <f>UPPER('1. Resumen'!Q4)&amp;"
 "&amp;'1. Resumen'!Q5-1</f>
        <v>JUNIO
 2020</v>
      </c>
      <c r="F6" s="385" t="s">
        <v>435</v>
      </c>
      <c r="G6" s="138"/>
      <c r="H6" s="24"/>
      <c r="I6" s="12"/>
      <c r="L6" s="549">
        <v>3</v>
      </c>
      <c r="M6" s="725">
        <v>74.002572194285705</v>
      </c>
      <c r="N6" s="725">
        <v>158.17728531428571</v>
      </c>
      <c r="O6" s="725">
        <v>101.26128550142856</v>
      </c>
    </row>
    <row r="7" spans="1:15" ht="11.25" customHeight="1">
      <c r="A7" s="174"/>
      <c r="C7" s="432" t="s">
        <v>145</v>
      </c>
      <c r="D7" s="433">
        <v>9.3966667175292837</v>
      </c>
      <c r="E7" s="582">
        <v>10.985500050000001</v>
      </c>
      <c r="F7" s="434">
        <f>IF(E7=0,"",(D7-E7)/E7)</f>
        <v>-0.14463004189515405</v>
      </c>
      <c r="G7" s="138"/>
      <c r="H7" s="25"/>
      <c r="I7" s="3"/>
      <c r="L7" s="549">
        <v>4</v>
      </c>
      <c r="M7" s="725">
        <v>77.812570845714291</v>
      </c>
      <c r="N7" s="725">
        <v>167.02357267142858</v>
      </c>
      <c r="O7" s="725">
        <v>77.354000085714276</v>
      </c>
    </row>
    <row r="8" spans="1:15" ht="11.25" customHeight="1">
      <c r="A8" s="174"/>
      <c r="C8" s="435" t="s">
        <v>151</v>
      </c>
      <c r="D8" s="436">
        <v>10.039966646830219</v>
      </c>
      <c r="E8" s="436">
        <v>11.235333349999999</v>
      </c>
      <c r="F8" s="437">
        <f t="shared" ref="F8:F30" si="0">IF(E8=0,"",(D8-E8)/E8)</f>
        <v>-0.10639352353259551</v>
      </c>
      <c r="G8" s="138"/>
      <c r="H8" s="23"/>
      <c r="I8" s="3"/>
      <c r="L8" s="549">
        <v>5</v>
      </c>
      <c r="M8" s="725">
        <v>61.531714848571433</v>
      </c>
      <c r="N8" s="725">
        <v>113.19585745142855</v>
      </c>
      <c r="O8" s="725">
        <v>30.667142595714285</v>
      </c>
    </row>
    <row r="9" spans="1:15" ht="11.25" customHeight="1">
      <c r="A9" s="174"/>
      <c r="C9" s="438" t="s">
        <v>152</v>
      </c>
      <c r="D9" s="439">
        <v>46.861100006103484</v>
      </c>
      <c r="E9" s="439">
        <v>40.609266689999998</v>
      </c>
      <c r="F9" s="440">
        <f t="shared" si="0"/>
        <v>0.15395090396062225</v>
      </c>
      <c r="G9" s="138"/>
      <c r="H9" s="25"/>
      <c r="I9" s="3"/>
      <c r="L9" s="549">
        <v>6</v>
      </c>
      <c r="M9" s="725">
        <v>54.024142672857138</v>
      </c>
      <c r="N9" s="725">
        <v>88.535714287142852</v>
      </c>
      <c r="O9" s="725">
        <v>32.444142750000005</v>
      </c>
    </row>
    <row r="10" spans="1:15" ht="11.25" customHeight="1">
      <c r="A10" s="174"/>
      <c r="C10" s="435" t="s">
        <v>159</v>
      </c>
      <c r="D10" s="436">
        <v>36.207733217875116</v>
      </c>
      <c r="E10" s="436">
        <v>37.387399930000001</v>
      </c>
      <c r="F10" s="437">
        <f t="shared" si="0"/>
        <v>-3.1552520751203905E-2</v>
      </c>
      <c r="G10" s="138"/>
      <c r="H10" s="25"/>
      <c r="I10" s="3"/>
      <c r="L10" s="549">
        <v>7</v>
      </c>
      <c r="M10" s="725">
        <v>59.271427155714285</v>
      </c>
      <c r="N10" s="725">
        <v>99.37822619047617</v>
      </c>
      <c r="O10" s="725">
        <v>30.338148809523812</v>
      </c>
    </row>
    <row r="11" spans="1:15" ht="11.25" customHeight="1">
      <c r="A11" s="174"/>
      <c r="C11" s="438" t="s">
        <v>160</v>
      </c>
      <c r="D11" s="439">
        <v>45.274099604288708</v>
      </c>
      <c r="E11" s="439">
        <v>17.64256662</v>
      </c>
      <c r="F11" s="440">
        <f t="shared" si="0"/>
        <v>1.5661855544853092</v>
      </c>
      <c r="G11" s="138"/>
      <c r="H11" s="25"/>
      <c r="I11" s="3"/>
      <c r="K11" s="549">
        <v>8</v>
      </c>
      <c r="L11" s="549">
        <v>8</v>
      </c>
      <c r="M11" s="725">
        <v>78.025571005714284</v>
      </c>
      <c r="N11" s="725">
        <v>140.28</v>
      </c>
      <c r="O11" s="725">
        <v>62.97</v>
      </c>
    </row>
    <row r="12" spans="1:15" ht="11.25" customHeight="1">
      <c r="A12" s="174"/>
      <c r="C12" s="435" t="s">
        <v>162</v>
      </c>
      <c r="D12" s="436">
        <v>11.14326664606727</v>
      </c>
      <c r="E12" s="436">
        <v>4.2026333090000003</v>
      </c>
      <c r="F12" s="437">
        <f t="shared" si="0"/>
        <v>1.6514962945265299</v>
      </c>
      <c r="G12" s="138"/>
      <c r="H12" s="25"/>
      <c r="I12" s="3"/>
      <c r="L12" s="549">
        <v>9</v>
      </c>
      <c r="M12" s="725">
        <v>61.11871501571428</v>
      </c>
      <c r="N12" s="725">
        <v>102.99642836285715</v>
      </c>
      <c r="O12" s="725">
        <v>31.244571685714288</v>
      </c>
    </row>
    <row r="13" spans="1:15" ht="11.25" customHeight="1">
      <c r="A13" s="174"/>
      <c r="C13" s="438" t="s">
        <v>150</v>
      </c>
      <c r="D13" s="439">
        <v>19.206944444444446</v>
      </c>
      <c r="E13" s="439">
        <v>18.897916666666667</v>
      </c>
      <c r="F13" s="440">
        <f t="shared" si="0"/>
        <v>1.6352478594789298E-2</v>
      </c>
      <c r="G13" s="138"/>
      <c r="H13" s="23"/>
      <c r="I13" s="3"/>
      <c r="L13" s="549">
        <v>10</v>
      </c>
      <c r="M13" s="725">
        <v>84.500714981428573</v>
      </c>
      <c r="N13" s="725">
        <v>175.90485927142853</v>
      </c>
      <c r="O13" s="725">
        <v>36.038285662857142</v>
      </c>
    </row>
    <row r="14" spans="1:15" ht="11.25" customHeight="1">
      <c r="A14" s="174"/>
      <c r="C14" s="435" t="s">
        <v>251</v>
      </c>
      <c r="D14" s="436">
        <v>19.111965465545609</v>
      </c>
      <c r="E14" s="436">
        <v>21.065783060000001</v>
      </c>
      <c r="F14" s="437">
        <f t="shared" si="0"/>
        <v>-9.2748396244729595E-2</v>
      </c>
      <c r="G14" s="138"/>
      <c r="H14" s="25"/>
      <c r="I14" s="3"/>
      <c r="L14" s="549">
        <v>11</v>
      </c>
      <c r="M14" s="725">
        <v>83.643855504285725</v>
      </c>
      <c r="N14" s="725">
        <v>169.64671761428571</v>
      </c>
      <c r="O14" s="725">
        <v>25.076428275714282</v>
      </c>
    </row>
    <row r="15" spans="1:15" ht="11.25" customHeight="1">
      <c r="A15" s="174"/>
      <c r="C15" s="438" t="s">
        <v>252</v>
      </c>
      <c r="D15" s="439">
        <v>49.236166636149065</v>
      </c>
      <c r="E15" s="439">
        <v>56.075666939999998</v>
      </c>
      <c r="F15" s="440">
        <f t="shared" si="0"/>
        <v>-0.12196912987533579</v>
      </c>
      <c r="G15" s="138"/>
      <c r="H15" s="25"/>
      <c r="I15" s="3"/>
      <c r="L15" s="549">
        <v>12</v>
      </c>
      <c r="M15" s="725">
        <v>98.99</v>
      </c>
      <c r="N15" s="725">
        <v>198.22</v>
      </c>
      <c r="O15" s="725">
        <v>24.63</v>
      </c>
    </row>
    <row r="16" spans="1:15" ht="11.25" customHeight="1">
      <c r="A16" s="174"/>
      <c r="C16" s="435" t="s">
        <v>157</v>
      </c>
      <c r="D16" s="436">
        <v>18.64833342234289</v>
      </c>
      <c r="E16" s="436">
        <v>15.31813313</v>
      </c>
      <c r="F16" s="437">
        <f t="shared" si="0"/>
        <v>0.21740249050459134</v>
      </c>
      <c r="G16" s="138"/>
      <c r="H16" s="25"/>
      <c r="I16" s="3"/>
      <c r="L16" s="549">
        <v>13</v>
      </c>
      <c r="M16" s="725">
        <v>106.64928652857144</v>
      </c>
      <c r="N16" s="725">
        <v>312.6314304857143</v>
      </c>
      <c r="O16" s="725">
        <v>38.701428550000003</v>
      </c>
    </row>
    <row r="17" spans="1:15" ht="11.25" customHeight="1">
      <c r="A17" s="174"/>
      <c r="C17" s="438" t="s">
        <v>161</v>
      </c>
      <c r="D17" s="439">
        <v>10.758033466339084</v>
      </c>
      <c r="E17" s="439">
        <v>10.46859999</v>
      </c>
      <c r="F17" s="440">
        <f t="shared" si="0"/>
        <v>2.7647773017935751E-2</v>
      </c>
      <c r="G17" s="138"/>
      <c r="H17" s="25"/>
      <c r="I17" s="3"/>
      <c r="L17" s="549">
        <v>14</v>
      </c>
      <c r="M17" s="725">
        <v>86.488428389999996</v>
      </c>
      <c r="N17" s="725">
        <v>235.31328691428573</v>
      </c>
      <c r="O17" s="725">
        <v>94.596427907142839</v>
      </c>
    </row>
    <row r="18" spans="1:15" ht="11.25" customHeight="1">
      <c r="A18" s="174"/>
      <c r="C18" s="435" t="s">
        <v>253</v>
      </c>
      <c r="D18" s="436">
        <v>11.970528348286908</v>
      </c>
      <c r="E18" s="436">
        <v>11.98102868</v>
      </c>
      <c r="F18" s="437">
        <f t="shared" si="0"/>
        <v>-8.7641320236712527E-4</v>
      </c>
      <c r="G18" s="138"/>
      <c r="H18" s="25"/>
      <c r="I18" s="3"/>
      <c r="L18" s="549">
        <v>15</v>
      </c>
      <c r="M18" s="725">
        <v>88.217001778571429</v>
      </c>
      <c r="N18" s="725">
        <v>294.1721409428572</v>
      </c>
      <c r="O18" s="725">
        <v>92.07</v>
      </c>
    </row>
    <row r="19" spans="1:15" ht="11.25" customHeight="1">
      <c r="A19" s="174"/>
      <c r="C19" s="438" t="s">
        <v>254</v>
      </c>
      <c r="D19" s="439">
        <v>17.146564673157165</v>
      </c>
      <c r="E19" s="439">
        <v>16.266442152777778</v>
      </c>
      <c r="F19" s="440">
        <f t="shared" si="0"/>
        <v>5.4106639430620142E-2</v>
      </c>
      <c r="G19" s="138"/>
      <c r="H19" s="25"/>
      <c r="I19" s="3"/>
      <c r="K19" s="549">
        <v>16</v>
      </c>
      <c r="L19" s="549">
        <v>16</v>
      </c>
      <c r="M19" s="725">
        <v>65.84</v>
      </c>
      <c r="N19" s="725">
        <v>149.18</v>
      </c>
      <c r="O19" s="725">
        <v>45.4</v>
      </c>
    </row>
    <row r="20" spans="1:15" ht="11.25" customHeight="1">
      <c r="A20" s="174"/>
      <c r="C20" s="435" t="s">
        <v>255</v>
      </c>
      <c r="D20" s="436">
        <v>1.1673666596412631</v>
      </c>
      <c r="E20" s="436">
        <v>1.4577000019999999</v>
      </c>
      <c r="F20" s="437">
        <f t="shared" si="0"/>
        <v>-0.19917221785030695</v>
      </c>
      <c r="G20" s="138"/>
      <c r="H20" s="25"/>
      <c r="I20" s="3"/>
      <c r="L20" s="549">
        <v>17</v>
      </c>
      <c r="M20" s="725">
        <v>51.88</v>
      </c>
      <c r="N20" s="725">
        <v>104.35</v>
      </c>
      <c r="O20" s="725">
        <v>41.47</v>
      </c>
    </row>
    <row r="21" spans="1:15" ht="11.25" customHeight="1">
      <c r="A21" s="174"/>
      <c r="C21" s="438" t="s">
        <v>148</v>
      </c>
      <c r="D21" s="439">
        <v>96.695999399820849</v>
      </c>
      <c r="E21" s="439">
        <v>101.1574336</v>
      </c>
      <c r="F21" s="440">
        <f t="shared" si="0"/>
        <v>-4.4103869003050265E-2</v>
      </c>
      <c r="G21" s="138"/>
      <c r="H21" s="25"/>
      <c r="I21" s="3"/>
      <c r="L21" s="549">
        <v>18</v>
      </c>
      <c r="M21" s="725">
        <v>49.672285897142856</v>
      </c>
      <c r="N21" s="725">
        <v>78.038143701428567</v>
      </c>
      <c r="O21" s="725">
        <v>65.800999782857133</v>
      </c>
    </row>
    <row r="22" spans="1:15" ht="11.25" customHeight="1">
      <c r="A22" s="174"/>
      <c r="C22" s="435" t="s">
        <v>146</v>
      </c>
      <c r="D22" s="436">
        <v>0.3729999959468841</v>
      </c>
      <c r="E22" s="436">
        <v>0.15000000599999999</v>
      </c>
      <c r="F22" s="437">
        <f t="shared" si="0"/>
        <v>1.4866665401792325</v>
      </c>
      <c r="G22" s="138"/>
      <c r="H22" s="25"/>
      <c r="I22" s="3"/>
      <c r="L22" s="549">
        <v>19</v>
      </c>
      <c r="M22" s="725">
        <v>45.203000204285708</v>
      </c>
      <c r="N22" s="725">
        <v>78.313856942857129</v>
      </c>
      <c r="O22" s="725">
        <v>75.104713441428572</v>
      </c>
    </row>
    <row r="23" spans="1:15" ht="11.25" customHeight="1">
      <c r="A23" s="174"/>
      <c r="C23" s="438" t="s">
        <v>147</v>
      </c>
      <c r="D23" s="439">
        <v>22.21783292293544</v>
      </c>
      <c r="E23" s="439">
        <v>20.796033019999999</v>
      </c>
      <c r="F23" s="440">
        <f t="shared" si="0"/>
        <v>6.8368803875626868E-2</v>
      </c>
      <c r="G23" s="138"/>
      <c r="H23" s="25"/>
      <c r="I23" s="3"/>
      <c r="L23" s="549">
        <v>20</v>
      </c>
      <c r="M23" s="725">
        <v>37.385857718571437</v>
      </c>
      <c r="N23" s="725">
        <v>130.92628696285712</v>
      </c>
      <c r="O23" s="725">
        <v>97.861000055714285</v>
      </c>
    </row>
    <row r="24" spans="1:15" ht="11.25" customHeight="1">
      <c r="A24" s="174"/>
      <c r="C24" s="435" t="s">
        <v>163</v>
      </c>
      <c r="D24" s="436">
        <v>10.938766670227016</v>
      </c>
      <c r="E24" s="436">
        <v>5.824700022</v>
      </c>
      <c r="F24" s="437">
        <f t="shared" si="0"/>
        <v>0.87799657131029785</v>
      </c>
      <c r="G24" s="138"/>
      <c r="H24" s="26"/>
      <c r="I24" s="3"/>
      <c r="L24" s="549">
        <v>21</v>
      </c>
      <c r="M24" s="725">
        <v>31.609713962857143</v>
      </c>
      <c r="N24" s="725">
        <v>64.449287412857146</v>
      </c>
      <c r="O24" s="725">
        <v>107.7964292242857</v>
      </c>
    </row>
    <row r="25" spans="1:15" ht="11.25" customHeight="1">
      <c r="A25" s="138"/>
      <c r="C25" s="438" t="s">
        <v>153</v>
      </c>
      <c r="D25" s="439">
        <v>1.569806347290674</v>
      </c>
      <c r="E25" s="439">
        <v>3.1400003509999999</v>
      </c>
      <c r="F25" s="440">
        <f t="shared" si="0"/>
        <v>-0.50006172872218446</v>
      </c>
      <c r="G25" s="158"/>
      <c r="H25" s="25"/>
      <c r="I25" s="3"/>
      <c r="L25" s="549">
        <v>22</v>
      </c>
      <c r="M25" s="725">
        <v>23.360142844285715</v>
      </c>
      <c r="N25" s="725">
        <v>64.449287412857146</v>
      </c>
      <c r="O25" s="725">
        <v>107.7964292242857</v>
      </c>
    </row>
    <row r="26" spans="1:15" ht="11.25" customHeight="1">
      <c r="A26" s="175"/>
      <c r="C26" s="435" t="s">
        <v>154</v>
      </c>
      <c r="D26" s="436">
        <v>1.4969000061353017</v>
      </c>
      <c r="E26" s="436">
        <v>0.86193333400000005</v>
      </c>
      <c r="F26" s="437">
        <f t="shared" si="0"/>
        <v>0.73667724299348381</v>
      </c>
      <c r="G26" s="138"/>
      <c r="H26" s="23"/>
      <c r="I26" s="3"/>
      <c r="L26" s="549">
        <v>23</v>
      </c>
      <c r="M26" s="725">
        <v>22.118571418571431</v>
      </c>
      <c r="N26" s="725">
        <v>39.50100054</v>
      </c>
      <c r="O26" s="725">
        <v>35.176713670000005</v>
      </c>
    </row>
    <row r="27" spans="1:15" ht="11.25" customHeight="1">
      <c r="A27" s="138"/>
      <c r="C27" s="438" t="s">
        <v>155</v>
      </c>
      <c r="D27" s="439">
        <v>3.6566666265328701E-2</v>
      </c>
      <c r="E27" s="439">
        <v>2.3466666000000001E-2</v>
      </c>
      <c r="F27" s="440">
        <f t="shared" si="0"/>
        <v>0.55823866352931006</v>
      </c>
      <c r="G27" s="138"/>
      <c r="H27" s="23"/>
      <c r="I27" s="3"/>
      <c r="K27" s="549">
        <v>24</v>
      </c>
      <c r="L27" s="549">
        <v>24</v>
      </c>
      <c r="M27" s="725">
        <v>18.655142918571432</v>
      </c>
      <c r="N27" s="725">
        <v>33.690285274285714</v>
      </c>
      <c r="O27" s="725">
        <v>23.41942841571429</v>
      </c>
    </row>
    <row r="28" spans="1:15" ht="11.25" customHeight="1">
      <c r="A28" s="138"/>
      <c r="C28" s="435" t="s">
        <v>156</v>
      </c>
      <c r="D28" s="436">
        <v>0</v>
      </c>
      <c r="E28" s="436">
        <v>0</v>
      </c>
      <c r="F28" s="437" t="str">
        <f t="shared" si="0"/>
        <v/>
      </c>
      <c r="G28" s="138"/>
      <c r="H28" s="23"/>
      <c r="I28" s="3"/>
      <c r="L28" s="549">
        <v>25</v>
      </c>
      <c r="M28" s="725">
        <v>15.664428437142856</v>
      </c>
      <c r="N28" s="725">
        <v>30.228428704285715</v>
      </c>
      <c r="O28" s="725">
        <v>15.98614284142857</v>
      </c>
    </row>
    <row r="29" spans="1:15" ht="11.25" customHeight="1">
      <c r="A29" s="158"/>
      <c r="C29" s="438" t="s">
        <v>158</v>
      </c>
      <c r="D29" s="439">
        <v>2.5638143420219381</v>
      </c>
      <c r="E29" s="439">
        <v>4.0029960000000004</v>
      </c>
      <c r="F29" s="440">
        <f t="shared" si="0"/>
        <v>-0.35952612942357726</v>
      </c>
      <c r="G29" s="176"/>
      <c r="H29" s="23"/>
      <c r="I29" s="3"/>
      <c r="L29" s="549">
        <v>26</v>
      </c>
      <c r="M29" s="725">
        <v>13.848143032857147</v>
      </c>
      <c r="N29" s="725">
        <v>27.872285568571431</v>
      </c>
      <c r="O29" s="725">
        <v>14.09042848857143</v>
      </c>
    </row>
    <row r="30" spans="1:15" ht="11.25" customHeight="1">
      <c r="A30" s="175"/>
      <c r="C30" s="441" t="s">
        <v>149</v>
      </c>
      <c r="D30" s="442">
        <v>1.3812500000000001</v>
      </c>
      <c r="E30" s="442">
        <v>1.20625</v>
      </c>
      <c r="F30" s="443">
        <f t="shared" si="0"/>
        <v>0.14507772020725393</v>
      </c>
      <c r="G30" s="138"/>
      <c r="H30" s="25"/>
      <c r="I30" s="3"/>
      <c r="L30" s="549">
        <v>27</v>
      </c>
      <c r="M30" s="725">
        <v>12.865857259999999</v>
      </c>
      <c r="N30" s="725">
        <v>27.257571358571429</v>
      </c>
      <c r="O30" s="725">
        <v>11.838857105714284</v>
      </c>
    </row>
    <row r="31" spans="1:15" ht="11.25" customHeight="1">
      <c r="A31" s="137"/>
      <c r="C31" s="265" t="str">
        <f>"Cuadro N°10: Promedio de caudales en "&amp;'1. Resumen'!Q4</f>
        <v>Cuadro N°10: Promedio de caudales en junio</v>
      </c>
      <c r="D31" s="137"/>
      <c r="E31" s="137"/>
      <c r="F31" s="137"/>
      <c r="G31" s="137"/>
      <c r="H31" s="25"/>
      <c r="I31" s="6"/>
      <c r="L31" s="549">
        <v>28</v>
      </c>
      <c r="M31" s="725">
        <v>12.915285789999999</v>
      </c>
      <c r="N31" s="725">
        <v>27.217285974285712</v>
      </c>
      <c r="O31" s="725">
        <v>9.7789998731428565</v>
      </c>
    </row>
    <row r="32" spans="1:15" ht="11.25" customHeight="1">
      <c r="A32" s="137"/>
      <c r="B32" s="137"/>
      <c r="C32" s="137"/>
      <c r="D32" s="137"/>
      <c r="E32" s="137"/>
      <c r="F32" s="137"/>
      <c r="G32" s="137"/>
      <c r="H32" s="25"/>
      <c r="I32" s="6"/>
      <c r="L32" s="549">
        <v>29</v>
      </c>
      <c r="M32" s="725">
        <v>15.908571428571426</v>
      </c>
      <c r="N32" s="725">
        <v>24.955714285714286</v>
      </c>
      <c r="O32" s="725">
        <v>8.4957142857142856</v>
      </c>
    </row>
    <row r="33" spans="1:15" ht="11.25" customHeight="1">
      <c r="A33" s="137"/>
      <c r="B33" s="137"/>
      <c r="C33" s="137"/>
      <c r="D33" s="137"/>
      <c r="E33" s="137"/>
      <c r="F33" s="137"/>
      <c r="G33" s="137"/>
      <c r="H33" s="25"/>
      <c r="I33" s="6"/>
      <c r="L33" s="549">
        <v>30</v>
      </c>
      <c r="M33" s="725">
        <v>16.584000042857145</v>
      </c>
      <c r="N33" s="725">
        <v>24.80942862142857</v>
      </c>
      <c r="O33" s="725">
        <v>7.807428428142857</v>
      </c>
    </row>
    <row r="34" spans="1:15" ht="11.25" customHeight="1">
      <c r="A34" s="137"/>
      <c r="B34" s="137"/>
      <c r="C34" s="137"/>
      <c r="D34" s="137"/>
      <c r="E34" s="137"/>
      <c r="F34" s="137"/>
      <c r="G34" s="137"/>
      <c r="H34" s="25"/>
      <c r="I34" s="6"/>
      <c r="L34" s="549">
        <v>31</v>
      </c>
      <c r="M34" s="725">
        <v>18.553000000000001</v>
      </c>
      <c r="N34" s="725">
        <v>25.690999999999999</v>
      </c>
      <c r="O34" s="725">
        <v>7.53</v>
      </c>
    </row>
    <row r="35" spans="1:15" ht="17.25" customHeight="1">
      <c r="A35" s="882" t="s">
        <v>382</v>
      </c>
      <c r="B35" s="882"/>
      <c r="C35" s="882"/>
      <c r="D35" s="882"/>
      <c r="E35" s="882"/>
      <c r="F35" s="882"/>
      <c r="G35" s="882"/>
      <c r="H35" s="25"/>
      <c r="I35" s="6"/>
      <c r="K35" s="549">
        <v>32</v>
      </c>
      <c r="L35" s="549">
        <v>32</v>
      </c>
      <c r="M35" s="725">
        <v>17.769714355714285</v>
      </c>
      <c r="N35" s="725">
        <v>27.630000251428573</v>
      </c>
      <c r="O35" s="725">
        <v>6.4074286734285701</v>
      </c>
    </row>
    <row r="36" spans="1:15" ht="11.25" customHeight="1">
      <c r="A36" s="137"/>
      <c r="B36" s="137"/>
      <c r="C36" s="137"/>
      <c r="D36" s="137"/>
      <c r="E36" s="137"/>
      <c r="F36" s="137"/>
      <c r="G36" s="137"/>
      <c r="H36" s="25"/>
      <c r="I36" s="6"/>
      <c r="L36" s="549">
        <v>33</v>
      </c>
      <c r="M36" s="725">
        <v>14.782857348571428</v>
      </c>
      <c r="N36" s="725">
        <v>23.78</v>
      </c>
      <c r="O36" s="725">
        <v>4.9400000000000004</v>
      </c>
    </row>
    <row r="37" spans="1:15" ht="11.25" customHeight="1">
      <c r="A37" s="136"/>
      <c r="B37" s="138"/>
      <c r="C37" s="138"/>
      <c r="D37" s="138"/>
      <c r="E37" s="138"/>
      <c r="F37" s="138"/>
      <c r="G37" s="138"/>
      <c r="H37" s="26"/>
      <c r="I37" s="6"/>
      <c r="L37" s="549">
        <v>34</v>
      </c>
      <c r="M37" s="725">
        <v>15.984000069999999</v>
      </c>
      <c r="N37" s="725">
        <v>23.527999878571428</v>
      </c>
      <c r="O37" s="725">
        <v>4.6688571658571432</v>
      </c>
    </row>
    <row r="38" spans="1:15" ht="11.25" customHeight="1">
      <c r="A38" s="74"/>
      <c r="B38" s="73"/>
      <c r="C38" s="73"/>
      <c r="D38" s="73"/>
      <c r="E38" s="73"/>
      <c r="F38" s="73"/>
      <c r="G38" s="73"/>
      <c r="H38" s="3"/>
      <c r="I38" s="6"/>
      <c r="L38" s="549">
        <v>35</v>
      </c>
      <c r="M38" s="725">
        <v>15.55</v>
      </c>
      <c r="N38" s="725">
        <v>23.29</v>
      </c>
      <c r="O38" s="725">
        <v>4.5999999999999996</v>
      </c>
    </row>
    <row r="39" spans="1:15" ht="11.25" customHeight="1">
      <c r="A39" s="74"/>
      <c r="B39" s="73"/>
      <c r="C39" s="73"/>
      <c r="D39" s="73"/>
      <c r="E39" s="73"/>
      <c r="F39" s="73"/>
      <c r="G39" s="73"/>
      <c r="H39" s="3"/>
      <c r="I39" s="10"/>
      <c r="L39" s="549">
        <v>36</v>
      </c>
      <c r="M39" s="725">
        <v>15.042857142857143</v>
      </c>
      <c r="N39" s="725">
        <v>23.007142857142856</v>
      </c>
      <c r="O39" s="725">
        <v>3.9657142857142857</v>
      </c>
    </row>
    <row r="40" spans="1:15" ht="11.25" customHeight="1">
      <c r="A40" s="74"/>
      <c r="B40" s="73"/>
      <c r="C40" s="73"/>
      <c r="D40" s="73"/>
      <c r="E40" s="73"/>
      <c r="F40" s="73"/>
      <c r="G40" s="73"/>
      <c r="H40" s="3"/>
      <c r="I40" s="10"/>
      <c r="L40" s="549">
        <v>37</v>
      </c>
      <c r="M40" s="725">
        <v>13.386857033</v>
      </c>
      <c r="N40" s="725">
        <v>23.173571724285711</v>
      </c>
      <c r="O40" s="725">
        <v>3.5334285327142858</v>
      </c>
    </row>
    <row r="41" spans="1:15" ht="11.25" customHeight="1">
      <c r="A41" s="74"/>
      <c r="B41" s="73"/>
      <c r="C41" s="73"/>
      <c r="D41" s="73"/>
      <c r="E41" s="73"/>
      <c r="F41" s="73"/>
      <c r="G41" s="73"/>
      <c r="H41" s="3"/>
      <c r="I41" s="7"/>
      <c r="L41" s="549">
        <v>38</v>
      </c>
      <c r="M41" s="725">
        <v>12.963714189999999</v>
      </c>
      <c r="N41" s="725">
        <v>26.454000201428567</v>
      </c>
      <c r="O41" s="725">
        <v>6.4914285118571433</v>
      </c>
    </row>
    <row r="42" spans="1:15" ht="11.25" customHeight="1">
      <c r="A42" s="74"/>
      <c r="B42" s="73"/>
      <c r="C42" s="73"/>
      <c r="D42" s="73"/>
      <c r="E42" s="73"/>
      <c r="F42" s="73"/>
      <c r="G42" s="73"/>
      <c r="H42" s="3"/>
      <c r="I42" s="7"/>
      <c r="L42" s="549">
        <v>39</v>
      </c>
      <c r="M42" s="725">
        <v>9.4700000000000006</v>
      </c>
      <c r="N42" s="725">
        <v>23.7</v>
      </c>
      <c r="O42" s="725">
        <v>4.9000000000000004</v>
      </c>
    </row>
    <row r="43" spans="1:15" ht="11.25" customHeight="1">
      <c r="A43" s="74"/>
      <c r="B43" s="73"/>
      <c r="C43" s="73"/>
      <c r="D43" s="73"/>
      <c r="E43" s="73"/>
      <c r="F43" s="73"/>
      <c r="G43" s="73"/>
      <c r="H43" s="3"/>
      <c r="I43" s="7"/>
      <c r="K43" s="549">
        <v>40</v>
      </c>
      <c r="L43" s="549">
        <v>40</v>
      </c>
      <c r="M43" s="725">
        <v>9.6714286802857146</v>
      </c>
      <c r="N43" s="725">
        <v>23.695143017142858</v>
      </c>
      <c r="O43" s="725">
        <v>4.898285797571428</v>
      </c>
    </row>
    <row r="44" spans="1:15" ht="11.25" customHeight="1">
      <c r="A44" s="74"/>
      <c r="B44" s="73"/>
      <c r="C44" s="73"/>
      <c r="D44" s="73"/>
      <c r="E44" s="73"/>
      <c r="F44" s="73"/>
      <c r="G44" s="73"/>
      <c r="H44" s="6"/>
      <c r="I44" s="10"/>
      <c r="L44" s="549">
        <v>41</v>
      </c>
      <c r="M44" s="725">
        <v>13.23900018419533</v>
      </c>
      <c r="N44" s="725">
        <v>28.113285882132363</v>
      </c>
      <c r="O44" s="725">
        <v>8.3430000032697169</v>
      </c>
    </row>
    <row r="45" spans="1:15" ht="11.25" customHeight="1">
      <c r="A45" s="74"/>
      <c r="B45" s="73"/>
      <c r="C45" s="73"/>
      <c r="D45" s="73"/>
      <c r="E45" s="73"/>
      <c r="F45" s="73"/>
      <c r="G45" s="73"/>
      <c r="H45" s="3"/>
      <c r="I45" s="10"/>
      <c r="L45" s="549">
        <v>42</v>
      </c>
      <c r="M45" s="725">
        <v>13.085142816816015</v>
      </c>
      <c r="N45" s="725">
        <v>37.073285511561743</v>
      </c>
      <c r="O45" s="725">
        <v>7.2735712868826683</v>
      </c>
    </row>
    <row r="46" spans="1:15" ht="11.25" customHeight="1">
      <c r="A46" s="74"/>
      <c r="B46" s="73"/>
      <c r="C46" s="73"/>
      <c r="D46" s="73"/>
      <c r="E46" s="73"/>
      <c r="F46" s="73"/>
      <c r="G46" s="73"/>
      <c r="H46" s="3"/>
      <c r="I46" s="10"/>
      <c r="L46" s="549">
        <v>43</v>
      </c>
      <c r="M46" s="725">
        <v>24.981571742466489</v>
      </c>
      <c r="N46" s="725">
        <v>70.535571507045162</v>
      </c>
      <c r="O46" s="725">
        <v>7.4324284962245324</v>
      </c>
    </row>
    <row r="47" spans="1:15" ht="11.25" customHeight="1">
      <c r="A47" s="74"/>
      <c r="B47" s="73"/>
      <c r="C47" s="73"/>
      <c r="D47" s="73"/>
      <c r="E47" s="73"/>
      <c r="F47" s="73"/>
      <c r="G47" s="73"/>
      <c r="H47" s="11"/>
      <c r="I47" s="11"/>
      <c r="L47" s="549">
        <v>44</v>
      </c>
      <c r="M47" s="725">
        <v>20.55814279714286</v>
      </c>
      <c r="N47" s="725">
        <v>55.183714184285712</v>
      </c>
      <c r="O47" s="725">
        <v>15.801856994857145</v>
      </c>
    </row>
    <row r="48" spans="1:15" ht="11.25" customHeight="1">
      <c r="A48" s="74"/>
      <c r="B48" s="73"/>
      <c r="C48" s="73"/>
      <c r="D48" s="73"/>
      <c r="E48" s="73"/>
      <c r="F48" s="73"/>
      <c r="G48" s="73"/>
      <c r="H48" s="11"/>
      <c r="I48" s="11"/>
      <c r="L48" s="549">
        <v>45</v>
      </c>
      <c r="M48" s="725">
        <v>26.170000077142856</v>
      </c>
      <c r="N48" s="725">
        <v>60.445714132857141</v>
      </c>
      <c r="O48" s="725">
        <v>26.432857787142858</v>
      </c>
    </row>
    <row r="49" spans="1:15" ht="11.25" customHeight="1">
      <c r="A49" s="74"/>
      <c r="B49" s="73"/>
      <c r="C49" s="73"/>
      <c r="D49" s="73"/>
      <c r="E49" s="73"/>
      <c r="F49" s="73"/>
      <c r="G49" s="73"/>
      <c r="H49" s="11"/>
      <c r="I49" s="11"/>
      <c r="L49" s="549">
        <v>46</v>
      </c>
      <c r="M49" s="725">
        <v>19.728571428571428</v>
      </c>
      <c r="N49" s="725">
        <v>57.005714285714291</v>
      </c>
      <c r="O49" s="725">
        <v>53.502857142857145</v>
      </c>
    </row>
    <row r="50" spans="1:15" ht="11.25" customHeight="1">
      <c r="A50" s="74"/>
      <c r="B50" s="73"/>
      <c r="C50" s="73"/>
      <c r="D50" s="73"/>
      <c r="E50" s="73"/>
      <c r="F50" s="73"/>
      <c r="G50" s="73"/>
      <c r="H50" s="11"/>
      <c r="I50" s="11"/>
      <c r="L50" s="549">
        <v>47</v>
      </c>
      <c r="M50" s="725">
        <v>39.656714302857139</v>
      </c>
      <c r="N50" s="725">
        <v>103.00771440714287</v>
      </c>
      <c r="O50" s="725">
        <v>53.459142955714292</v>
      </c>
    </row>
    <row r="51" spans="1:15" ht="11.25" customHeight="1">
      <c r="A51" s="74"/>
      <c r="B51" s="73"/>
      <c r="C51" s="73"/>
      <c r="D51" s="73"/>
      <c r="E51" s="73"/>
      <c r="F51" s="73"/>
      <c r="G51" s="73"/>
      <c r="H51" s="11"/>
      <c r="I51" s="11"/>
      <c r="L51" s="549">
        <v>48</v>
      </c>
      <c r="M51" s="725">
        <v>39.656714302857139</v>
      </c>
      <c r="N51" s="725">
        <v>99.828000734285709</v>
      </c>
      <c r="O51" s="725">
        <v>45.539571760000008</v>
      </c>
    </row>
    <row r="52" spans="1:15" ht="11.25" customHeight="1">
      <c r="A52" s="74"/>
      <c r="B52" s="73"/>
      <c r="C52" s="73"/>
      <c r="D52" s="73"/>
      <c r="E52" s="73"/>
      <c r="F52" s="73"/>
      <c r="G52" s="73"/>
      <c r="H52" s="11"/>
      <c r="I52" s="11"/>
      <c r="L52" s="549">
        <v>49</v>
      </c>
      <c r="M52" s="725">
        <v>22.62857142857143</v>
      </c>
      <c r="N52" s="725">
        <v>60.27571428571428</v>
      </c>
      <c r="O52" s="725">
        <v>17.955714285714286</v>
      </c>
    </row>
    <row r="53" spans="1:15" ht="11.25" customHeight="1">
      <c r="A53" s="74"/>
      <c r="B53" s="73"/>
      <c r="C53" s="73"/>
      <c r="D53" s="73"/>
      <c r="E53" s="73"/>
      <c r="F53" s="73"/>
      <c r="G53" s="73"/>
      <c r="H53" s="11"/>
      <c r="I53" s="11"/>
      <c r="L53" s="549">
        <v>50</v>
      </c>
      <c r="M53" s="725">
        <v>17.776714461428572</v>
      </c>
      <c r="N53" s="725">
        <v>46.701999664285715</v>
      </c>
      <c r="O53" s="725">
        <v>13.432571411428571</v>
      </c>
    </row>
    <row r="54" spans="1:15" ht="11.25" customHeight="1">
      <c r="A54" s="74"/>
      <c r="B54" s="73"/>
      <c r="C54" s="73"/>
      <c r="D54" s="73"/>
      <c r="E54" s="73"/>
      <c r="F54" s="73"/>
      <c r="G54" s="73"/>
      <c r="H54" s="11"/>
      <c r="I54" s="11"/>
      <c r="L54" s="549">
        <v>51</v>
      </c>
      <c r="M54" s="725">
        <v>34.085714285714282</v>
      </c>
      <c r="N54" s="725">
        <v>68.7</v>
      </c>
      <c r="O54" s="725">
        <v>39.414285714285711</v>
      </c>
    </row>
    <row r="55" spans="1:15" ht="13.2">
      <c r="A55" s="74"/>
      <c r="B55" s="73"/>
      <c r="C55" s="73"/>
      <c r="D55" s="73"/>
      <c r="E55" s="73"/>
      <c r="F55" s="73"/>
      <c r="G55" s="73"/>
      <c r="H55" s="11"/>
      <c r="I55" s="11"/>
      <c r="K55" s="549">
        <v>52</v>
      </c>
      <c r="L55" s="549">
        <v>52</v>
      </c>
      <c r="M55" s="725">
        <v>52.094142914285719</v>
      </c>
      <c r="N55" s="725">
        <v>97.347143448571416</v>
      </c>
      <c r="O55" s="725">
        <v>65.679429182857149</v>
      </c>
    </row>
    <row r="56" spans="1:15" ht="13.2">
      <c r="A56" s="74"/>
      <c r="B56" s="73"/>
      <c r="C56" s="73"/>
      <c r="D56" s="73"/>
      <c r="E56" s="73"/>
      <c r="F56" s="73"/>
      <c r="G56" s="73"/>
      <c r="H56" s="11"/>
      <c r="I56" s="11"/>
      <c r="J56" s="277">
        <v>2019</v>
      </c>
      <c r="K56" s="549">
        <v>1</v>
      </c>
      <c r="L56" s="549">
        <v>1</v>
      </c>
      <c r="M56" s="725">
        <v>27.79999951142857</v>
      </c>
      <c r="N56" s="725">
        <v>78.298570904285711</v>
      </c>
      <c r="O56" s="725">
        <v>21.927143370000003</v>
      </c>
    </row>
    <row r="57" spans="1:15" ht="13.2">
      <c r="A57" s="74"/>
      <c r="B57" s="73"/>
      <c r="C57" s="73"/>
      <c r="D57" s="73"/>
      <c r="E57" s="73"/>
      <c r="F57" s="73"/>
      <c r="G57" s="73"/>
      <c r="H57" s="11"/>
      <c r="I57" s="11"/>
      <c r="L57" s="549">
        <v>2</v>
      </c>
      <c r="M57" s="725">
        <v>28.678571428571427</v>
      </c>
      <c r="N57" s="725">
        <v>95.081715179999989</v>
      </c>
      <c r="O57" s="725">
        <v>22.397999900000002</v>
      </c>
    </row>
    <row r="58" spans="1:15" ht="13.2">
      <c r="A58" s="74"/>
      <c r="B58" s="73"/>
      <c r="C58" s="73"/>
      <c r="D58" s="73"/>
      <c r="E58" s="73"/>
      <c r="F58" s="73"/>
      <c r="G58" s="73"/>
      <c r="H58" s="11"/>
      <c r="I58" s="11"/>
      <c r="L58" s="549">
        <v>3</v>
      </c>
      <c r="M58" s="725">
        <v>44.51</v>
      </c>
      <c r="N58" s="725">
        <v>95.65</v>
      </c>
      <c r="O58" s="725">
        <v>17.61</v>
      </c>
    </row>
    <row r="59" spans="1:15" ht="13.2">
      <c r="A59" s="74"/>
      <c r="B59" s="73"/>
      <c r="C59" s="73"/>
      <c r="D59" s="73"/>
      <c r="E59" s="73"/>
      <c r="F59" s="73"/>
      <c r="G59" s="73"/>
      <c r="H59" s="11"/>
      <c r="I59" s="11"/>
      <c r="L59" s="549">
        <v>4</v>
      </c>
      <c r="M59" s="725">
        <v>73.323141914285699</v>
      </c>
      <c r="N59" s="725">
        <v>109.29957036285714</v>
      </c>
      <c r="O59" s="725">
        <v>17.638000354285712</v>
      </c>
    </row>
    <row r="60" spans="1:15" ht="13.2">
      <c r="A60" s="74"/>
      <c r="B60" s="73"/>
      <c r="C60" s="73"/>
      <c r="D60" s="73"/>
      <c r="E60" s="73"/>
      <c r="F60" s="73"/>
      <c r="G60" s="73"/>
      <c r="H60" s="11"/>
      <c r="I60" s="11"/>
      <c r="L60" s="549">
        <v>5</v>
      </c>
      <c r="M60" s="725">
        <v>103.17716724333333</v>
      </c>
      <c r="N60" s="725">
        <v>149.65083311999999</v>
      </c>
      <c r="O60" s="725">
        <v>19.218833289999999</v>
      </c>
    </row>
    <row r="61" spans="1:15" ht="13.2">
      <c r="A61" s="265" t="s">
        <v>508</v>
      </c>
      <c r="B61" s="73"/>
      <c r="C61" s="73"/>
      <c r="D61" s="73"/>
      <c r="E61" s="73"/>
      <c r="F61" s="73"/>
      <c r="G61" s="73"/>
      <c r="H61" s="11"/>
      <c r="I61" s="11"/>
      <c r="L61" s="549">
        <v>6</v>
      </c>
      <c r="M61" s="725">
        <v>79.165714285714287</v>
      </c>
      <c r="N61" s="725">
        <v>136.57714285714286</v>
      </c>
      <c r="O61" s="725">
        <v>57.185714285714276</v>
      </c>
    </row>
    <row r="62" spans="1:15">
      <c r="L62" s="549">
        <v>7</v>
      </c>
      <c r="M62" s="725">
        <v>120.02256992142858</v>
      </c>
      <c r="N62" s="725">
        <v>224.71071514285714</v>
      </c>
      <c r="O62" s="725">
        <v>118.06042697857141</v>
      </c>
    </row>
    <row r="63" spans="1:15">
      <c r="K63" s="549">
        <v>8</v>
      </c>
      <c r="L63" s="549">
        <v>8</v>
      </c>
      <c r="M63" s="725">
        <v>97.560142514285715</v>
      </c>
      <c r="N63" s="725">
        <v>198.04342652857142</v>
      </c>
      <c r="O63" s="725">
        <v>106.29885756428571</v>
      </c>
    </row>
    <row r="64" spans="1:15">
      <c r="L64" s="549">
        <v>9</v>
      </c>
      <c r="M64" s="725">
        <v>97.560142514285715</v>
      </c>
      <c r="N64" s="725">
        <v>191.0112849857143</v>
      </c>
      <c r="O64" s="725">
        <v>142.12385776285717</v>
      </c>
    </row>
    <row r="65" spans="11:15">
      <c r="L65" s="549">
        <v>10</v>
      </c>
      <c r="M65" s="725">
        <v>97.497286117142863</v>
      </c>
      <c r="N65" s="725">
        <v>215.64014109999999</v>
      </c>
      <c r="O65" s="725">
        <v>164.59685624285717</v>
      </c>
    </row>
    <row r="66" spans="11:15">
      <c r="L66" s="549">
        <v>11</v>
      </c>
      <c r="M66" s="725">
        <v>98.21585736955906</v>
      </c>
      <c r="N66" s="725">
        <v>236.76099940708642</v>
      </c>
      <c r="O66" s="725">
        <v>121.6507121494835</v>
      </c>
    </row>
    <row r="67" spans="11:15">
      <c r="L67" s="549">
        <v>12</v>
      </c>
      <c r="M67" s="725">
        <v>91.857713972857141</v>
      </c>
      <c r="N67" s="725">
        <v>250.8679761904763</v>
      </c>
      <c r="O67" s="725">
        <v>166.63136904761905</v>
      </c>
    </row>
    <row r="68" spans="11:15">
      <c r="L68" s="549">
        <v>13</v>
      </c>
      <c r="M68" s="725">
        <v>100.0137132957143</v>
      </c>
      <c r="N68" s="725">
        <v>301.45971681428574</v>
      </c>
      <c r="O68" s="725">
        <v>180.07000078571429</v>
      </c>
    </row>
    <row r="69" spans="11:15">
      <c r="L69" s="549">
        <v>14</v>
      </c>
      <c r="M69" s="725">
        <v>84.272714885714294</v>
      </c>
      <c r="N69" s="725">
        <v>253.08542525714284</v>
      </c>
      <c r="O69" s="725">
        <v>143.43971579999999</v>
      </c>
    </row>
    <row r="70" spans="11:15">
      <c r="L70" s="549">
        <v>15</v>
      </c>
      <c r="M70" s="725">
        <v>61.074856892857142</v>
      </c>
      <c r="N70" s="725">
        <v>253.08542525714284</v>
      </c>
      <c r="O70" s="725">
        <v>152.6561442857143</v>
      </c>
    </row>
    <row r="71" spans="11:15">
      <c r="K71" s="549">
        <v>16</v>
      </c>
      <c r="L71" s="549">
        <v>16</v>
      </c>
      <c r="M71" s="725">
        <v>47.843714031428576</v>
      </c>
      <c r="N71" s="725">
        <v>141.0458592</v>
      </c>
      <c r="O71" s="725">
        <v>83.844285145714295</v>
      </c>
    </row>
    <row r="72" spans="11:15">
      <c r="L72" s="549">
        <v>17</v>
      </c>
      <c r="M72" s="725">
        <v>50.907143728571427</v>
      </c>
      <c r="N72" s="725">
        <v>123.86656951428571</v>
      </c>
      <c r="O72" s="725">
        <v>125.28814153857142</v>
      </c>
    </row>
    <row r="73" spans="11:15">
      <c r="L73" s="549">
        <v>18</v>
      </c>
      <c r="M73" s="725">
        <v>39.120999471428568</v>
      </c>
      <c r="N73" s="725">
        <v>85.173857551428583</v>
      </c>
      <c r="O73" s="725">
        <v>66.347143447142855</v>
      </c>
    </row>
    <row r="74" spans="11:15">
      <c r="L74" s="549">
        <v>19</v>
      </c>
      <c r="M74" s="725">
        <v>35.410856791428571</v>
      </c>
      <c r="N74" s="725">
        <v>71.224285714285699</v>
      </c>
      <c r="O74" s="725">
        <v>42.216071428571425</v>
      </c>
    </row>
    <row r="75" spans="11:15">
      <c r="L75" s="549">
        <v>20</v>
      </c>
      <c r="M75" s="725">
        <v>32.405142920000003</v>
      </c>
      <c r="N75" s="725">
        <v>76.857142859999996</v>
      </c>
      <c r="O75" s="725">
        <v>58.324429100000003</v>
      </c>
    </row>
    <row r="76" spans="11:15">
      <c r="L76" s="549">
        <v>21</v>
      </c>
      <c r="M76" s="725">
        <v>26.58385740142857</v>
      </c>
      <c r="N76" s="725">
        <v>47.97114345</v>
      </c>
      <c r="O76" s="725">
        <v>34.032571519999998</v>
      </c>
    </row>
    <row r="77" spans="11:15">
      <c r="L77" s="549">
        <v>22</v>
      </c>
      <c r="M77" s="725">
        <v>19.653714315714286</v>
      </c>
      <c r="N77" s="725">
        <v>37.624285945285713</v>
      </c>
      <c r="O77" s="725">
        <v>40.524285998571429</v>
      </c>
    </row>
    <row r="78" spans="11:15">
      <c r="L78" s="549">
        <v>23</v>
      </c>
      <c r="M78" s="725">
        <v>16.50400011857143</v>
      </c>
      <c r="N78" s="725">
        <v>37.806285858571421</v>
      </c>
      <c r="O78" s="725">
        <v>25.010571342857141</v>
      </c>
    </row>
    <row r="79" spans="11:15">
      <c r="L79" s="549">
        <v>24</v>
      </c>
      <c r="M79" s="725">
        <v>14.890428544285713</v>
      </c>
      <c r="N79" s="725">
        <v>35.468714032857143</v>
      </c>
      <c r="O79" s="725">
        <v>18.242713997857145</v>
      </c>
    </row>
    <row r="80" spans="11:15">
      <c r="L80" s="549">
        <v>25</v>
      </c>
      <c r="M80" s="725">
        <v>15.340000017142858</v>
      </c>
      <c r="N80" s="725">
        <v>33.200142724285719</v>
      </c>
      <c r="O80" s="725">
        <v>16.013142995714286</v>
      </c>
    </row>
    <row r="81" spans="11:15">
      <c r="K81" s="549">
        <v>26</v>
      </c>
      <c r="L81" s="549">
        <v>26</v>
      </c>
      <c r="M81" s="725">
        <v>15.521142687142857</v>
      </c>
      <c r="N81" s="725">
        <v>28.376285825714287</v>
      </c>
      <c r="O81" s="725">
        <v>12.961571557142857</v>
      </c>
    </row>
    <row r="82" spans="11:15">
      <c r="L82" s="549">
        <v>27</v>
      </c>
      <c r="M82" s="725">
        <v>15.32</v>
      </c>
      <c r="N82" s="725">
        <v>28.47</v>
      </c>
      <c r="O82" s="725">
        <v>11.39</v>
      </c>
    </row>
    <row r="83" spans="11:15">
      <c r="L83" s="549">
        <v>28</v>
      </c>
      <c r="M83" s="725">
        <v>14.809428488571427</v>
      </c>
      <c r="N83" s="725">
        <v>28.920333226666667</v>
      </c>
      <c r="O83" s="725">
        <v>11.405166626666668</v>
      </c>
    </row>
    <row r="84" spans="11:15">
      <c r="L84" s="549">
        <v>29</v>
      </c>
      <c r="M84" s="725">
        <v>13.666428565978956</v>
      </c>
      <c r="N84" s="725">
        <v>24.422333717346149</v>
      </c>
      <c r="O84" s="725">
        <v>10.173999945322651</v>
      </c>
    </row>
    <row r="85" spans="11:15">
      <c r="L85" s="549">
        <v>30</v>
      </c>
      <c r="M85" s="725">
        <v>13.392857142857142</v>
      </c>
      <c r="N85" s="725">
        <v>24.086666666666662</v>
      </c>
      <c r="O85" s="725">
        <v>9.1716666666666669</v>
      </c>
    </row>
    <row r="86" spans="11:15">
      <c r="L86" s="549">
        <v>31</v>
      </c>
      <c r="M86" s="725">
        <v>13.098428589999999</v>
      </c>
      <c r="N86" s="725">
        <v>22.471285411428575</v>
      </c>
      <c r="O86" s="725">
        <v>8.5915715354285727</v>
      </c>
    </row>
    <row r="87" spans="11:15">
      <c r="L87" s="549">
        <v>32</v>
      </c>
      <c r="M87" s="725">
        <v>12.228285654285713</v>
      </c>
      <c r="N87" s="725">
        <v>25.212714058571429</v>
      </c>
      <c r="O87" s="725">
        <v>6.6260000637142857</v>
      </c>
    </row>
    <row r="88" spans="11:15">
      <c r="L88" s="549">
        <v>33</v>
      </c>
      <c r="M88" s="725">
        <v>12.838714327142856</v>
      </c>
      <c r="N88" s="725">
        <v>28.061000278571431</v>
      </c>
      <c r="O88" s="725">
        <v>5.9311428751428581</v>
      </c>
    </row>
    <row r="89" spans="11:15">
      <c r="K89" s="549">
        <v>34</v>
      </c>
      <c r="L89" s="549">
        <v>34</v>
      </c>
      <c r="M89" s="725">
        <v>12.37928554</v>
      </c>
      <c r="N89" s="725">
        <v>28.455856868571431</v>
      </c>
      <c r="O89" s="725">
        <v>5.2604285648571434</v>
      </c>
    </row>
    <row r="90" spans="11:15">
      <c r="L90" s="549">
        <v>35</v>
      </c>
      <c r="M90" s="725">
        <v>11.92371409142857</v>
      </c>
      <c r="N90" s="725">
        <v>26.646000226666668</v>
      </c>
      <c r="O90" s="725">
        <v>4.7316666444999997</v>
      </c>
    </row>
    <row r="91" spans="11:15">
      <c r="L91" s="549">
        <v>36</v>
      </c>
      <c r="M91" s="725">
        <v>10.731857162857143</v>
      </c>
      <c r="N91" s="725">
        <v>27.720570974285714</v>
      </c>
      <c r="O91" s="725">
        <v>4.5542856622857144</v>
      </c>
    </row>
    <row r="92" spans="11:15">
      <c r="L92" s="549">
        <v>37</v>
      </c>
      <c r="M92" s="725">
        <v>11.481428825714286</v>
      </c>
      <c r="N92" s="725">
        <v>27.967571258571429</v>
      </c>
      <c r="O92" s="725">
        <v>4.1919999124285718</v>
      </c>
    </row>
    <row r="93" spans="11:15">
      <c r="L93" s="549">
        <v>38</v>
      </c>
      <c r="M93" s="725">
        <v>12.217142857142859</v>
      </c>
      <c r="N93" s="725">
        <v>31.354000000000003</v>
      </c>
      <c r="O93" s="725">
        <v>4.1759999999999993</v>
      </c>
    </row>
    <row r="94" spans="11:15">
      <c r="L94" s="549">
        <v>39</v>
      </c>
      <c r="M94" s="725">
        <v>15.0261430740356</v>
      </c>
      <c r="N94" s="725">
        <v>37.146399307250938</v>
      </c>
      <c r="O94" s="725">
        <v>4.8932001113891559</v>
      </c>
    </row>
    <row r="95" spans="11:15">
      <c r="L95" s="549">
        <v>40</v>
      </c>
      <c r="M95" s="725">
        <v>13.292000225714288</v>
      </c>
      <c r="N95" s="725">
        <v>29.934999783333328</v>
      </c>
      <c r="O95" s="725">
        <v>5.3130000431666664</v>
      </c>
    </row>
    <row r="96" spans="11:15">
      <c r="L96" s="549">
        <v>41</v>
      </c>
      <c r="M96" s="725">
        <v>15.472143037142859</v>
      </c>
      <c r="N96" s="725">
        <v>31.668000084285715</v>
      </c>
      <c r="O96" s="725">
        <v>8.3924286701428574</v>
      </c>
    </row>
    <row r="97" spans="10:15">
      <c r="L97" s="549">
        <v>42</v>
      </c>
      <c r="M97" s="725">
        <v>14.602857142857143</v>
      </c>
      <c r="N97" s="725">
        <v>30.061428571428571</v>
      </c>
      <c r="O97" s="725">
        <v>9.2871428571428574</v>
      </c>
    </row>
    <row r="98" spans="10:15">
      <c r="L98" s="549">
        <v>43</v>
      </c>
      <c r="M98" s="725">
        <v>18.763999527142854</v>
      </c>
      <c r="N98" s="725">
        <v>48.129999975714291</v>
      </c>
      <c r="O98" s="725">
        <v>18.153714861428572</v>
      </c>
    </row>
    <row r="99" spans="10:15">
      <c r="K99" s="549">
        <v>44</v>
      </c>
      <c r="L99" s="549">
        <v>44</v>
      </c>
      <c r="M99" s="725">
        <v>12.722428322857143</v>
      </c>
      <c r="N99" s="725">
        <v>37.781833011666663</v>
      </c>
      <c r="O99" s="725">
        <v>19.903499760000003</v>
      </c>
    </row>
    <row r="100" spans="10:15">
      <c r="L100" s="549">
        <v>45</v>
      </c>
      <c r="M100" s="725">
        <v>22.372000012857146</v>
      </c>
      <c r="N100" s="725">
        <v>60.721429549999996</v>
      </c>
      <c r="O100" s="725">
        <v>69.077428547142844</v>
      </c>
    </row>
    <row r="101" spans="10:15">
      <c r="L101" s="549">
        <v>46</v>
      </c>
      <c r="M101" s="725">
        <v>28.101571491428576</v>
      </c>
      <c r="N101" s="725">
        <v>68.569856369999997</v>
      </c>
      <c r="O101" s="725">
        <v>51.190428054285711</v>
      </c>
    </row>
    <row r="102" spans="10:15">
      <c r="L102" s="549">
        <v>47</v>
      </c>
      <c r="M102" s="725">
        <v>22.222285951428574</v>
      </c>
      <c r="N102" s="725">
        <v>51.534999302857152</v>
      </c>
      <c r="O102" s="725">
        <v>21.676285608571426</v>
      </c>
    </row>
    <row r="103" spans="10:15">
      <c r="L103" s="549">
        <v>48</v>
      </c>
      <c r="M103" s="725">
        <v>18.796428408571426</v>
      </c>
      <c r="N103" s="725">
        <v>45.115714484285718</v>
      </c>
      <c r="O103" s="725">
        <v>19.428714208571428</v>
      </c>
    </row>
    <row r="104" spans="10:15">
      <c r="L104" s="549">
        <v>49</v>
      </c>
      <c r="M104" s="725">
        <v>40.459857124285712</v>
      </c>
      <c r="N104" s="725">
        <v>84.846428458571424</v>
      </c>
      <c r="O104" s="725">
        <v>67.787142617142862</v>
      </c>
    </row>
    <row r="105" spans="10:15">
      <c r="L105" s="549">
        <v>50</v>
      </c>
      <c r="M105" s="725">
        <v>55.208571570000004</v>
      </c>
      <c r="N105" s="725">
        <v>99.139714364285723</v>
      </c>
      <c r="O105" s="725">
        <v>46.000713344285714</v>
      </c>
    </row>
    <row r="106" spans="10:15">
      <c r="L106" s="549">
        <v>51</v>
      </c>
      <c r="M106" s="725">
        <v>84.778857641428559</v>
      </c>
      <c r="N106" s="725">
        <v>201.52657207142857</v>
      </c>
      <c r="O106" s="725">
        <v>43.586286274285712</v>
      </c>
    </row>
    <row r="107" spans="10:15">
      <c r="K107" s="549">
        <v>52</v>
      </c>
      <c r="L107" s="549">
        <v>52</v>
      </c>
      <c r="M107" s="725">
        <v>90.21400125571428</v>
      </c>
      <c r="N107" s="725">
        <v>224.1094316857143</v>
      </c>
      <c r="O107" s="725">
        <v>50.483570642857153</v>
      </c>
    </row>
    <row r="108" spans="10:15">
      <c r="L108" s="549">
        <v>53</v>
      </c>
      <c r="M108" s="725">
        <v>80.061285835714287</v>
      </c>
      <c r="N108" s="725">
        <v>205.2461395</v>
      </c>
      <c r="O108" s="725">
        <v>83.637714931428576</v>
      </c>
    </row>
    <row r="109" spans="10:15">
      <c r="J109" s="277">
        <v>2020</v>
      </c>
      <c r="L109" s="549">
        <v>1</v>
      </c>
      <c r="M109" s="725">
        <v>42.7519994463239</v>
      </c>
      <c r="N109" s="725">
        <v>129.33128356933543</v>
      </c>
      <c r="O109" s="725">
        <v>35.412713732038192</v>
      </c>
    </row>
    <row r="110" spans="10:15">
      <c r="L110" s="549">
        <v>2</v>
      </c>
      <c r="M110" s="725">
        <v>30.679571151428568</v>
      </c>
      <c r="N110" s="725">
        <v>73.393001012857141</v>
      </c>
      <c r="O110" s="725">
        <v>22.044856754285714</v>
      </c>
    </row>
    <row r="111" spans="10:15">
      <c r="L111" s="549">
        <v>3</v>
      </c>
      <c r="M111" s="725">
        <v>46.443999700000006</v>
      </c>
      <c r="N111" s="725">
        <v>73.092571804285726</v>
      </c>
      <c r="O111" s="725">
        <v>18.210142817142859</v>
      </c>
    </row>
    <row r="112" spans="10:15">
      <c r="L112" s="549">
        <v>4</v>
      </c>
      <c r="M112" s="725">
        <v>56.559571404285713</v>
      </c>
      <c r="N112" s="725">
        <v>140.69343129999999</v>
      </c>
      <c r="O112" s="725">
        <v>15.934428624285713</v>
      </c>
    </row>
    <row r="113" spans="11:15">
      <c r="L113" s="549">
        <v>5</v>
      </c>
      <c r="M113" s="725">
        <v>85.997285015714283</v>
      </c>
      <c r="N113" s="725">
        <v>189.96014404285714</v>
      </c>
      <c r="O113" s="725">
        <v>16.347999845714288</v>
      </c>
    </row>
    <row r="114" spans="11:15">
      <c r="L114" s="549">
        <v>6</v>
      </c>
      <c r="M114" s="725">
        <v>79.643857683454215</v>
      </c>
      <c r="N114" s="725">
        <v>184.55100359235459</v>
      </c>
      <c r="O114" s="725">
        <v>24.545571190970243</v>
      </c>
    </row>
    <row r="115" spans="11:15">
      <c r="L115" s="549">
        <v>7</v>
      </c>
      <c r="M115" s="725">
        <v>62.11542837857143</v>
      </c>
      <c r="N115" s="725">
        <v>141.4891401142857</v>
      </c>
      <c r="O115" s="725">
        <v>17.933714184285712</v>
      </c>
    </row>
    <row r="116" spans="11:15">
      <c r="K116" s="549">
        <v>8</v>
      </c>
      <c r="L116" s="549">
        <v>8</v>
      </c>
      <c r="M116" s="725">
        <v>41.134571620396166</v>
      </c>
      <c r="N116" s="725">
        <v>83.969571794782198</v>
      </c>
      <c r="O116" s="725">
        <v>15.5625712530953</v>
      </c>
    </row>
    <row r="117" spans="11:15">
      <c r="L117" s="549">
        <v>9</v>
      </c>
      <c r="M117" s="725">
        <v>70.027142117142859</v>
      </c>
      <c r="N117" s="725">
        <v>124.34114185428572</v>
      </c>
      <c r="O117" s="725">
        <v>23.340428760000002</v>
      </c>
    </row>
    <row r="118" spans="11:15">
      <c r="L118" s="549">
        <v>10</v>
      </c>
      <c r="M118" s="725">
        <v>51.713285718571434</v>
      </c>
      <c r="N118" s="725">
        <v>110.96499854142857</v>
      </c>
      <c r="O118" s="725">
        <v>51.143429344285714</v>
      </c>
    </row>
    <row r="119" spans="11:15">
      <c r="L119" s="549">
        <v>11</v>
      </c>
      <c r="M119" s="725">
        <v>64.999999455714274</v>
      </c>
      <c r="N119" s="725">
        <v>130.17914037142856</v>
      </c>
      <c r="O119" s="725">
        <v>73.820713587142862</v>
      </c>
    </row>
    <row r="120" spans="11:15">
      <c r="L120" s="549">
        <v>12</v>
      </c>
      <c r="M120" s="725">
        <v>70.530143192836164</v>
      </c>
      <c r="N120" s="725">
        <v>127.86657169886942</v>
      </c>
      <c r="O120" s="725">
        <v>34.1388571602957</v>
      </c>
    </row>
    <row r="121" spans="11:15">
      <c r="L121" s="549">
        <v>13</v>
      </c>
      <c r="M121" s="725">
        <v>73.710714612688278</v>
      </c>
      <c r="N121" s="725">
        <v>138.12900325230143</v>
      </c>
      <c r="O121" s="725">
        <v>66.457714898245612</v>
      </c>
    </row>
    <row r="122" spans="11:15">
      <c r="L122" s="549">
        <v>14</v>
      </c>
      <c r="M122" s="725">
        <v>57.796857017142862</v>
      </c>
      <c r="N122" s="725">
        <v>109.14457049285714</v>
      </c>
      <c r="O122" s="725">
        <v>82.626999985714278</v>
      </c>
    </row>
    <row r="123" spans="11:15">
      <c r="L123" s="549">
        <v>15</v>
      </c>
      <c r="M123" s="725">
        <v>44.430285317142861</v>
      </c>
      <c r="N123" s="725">
        <v>80.133571635714276</v>
      </c>
      <c r="O123" s="725">
        <v>89.91342707714287</v>
      </c>
    </row>
    <row r="124" spans="11:15">
      <c r="K124" s="549">
        <v>16</v>
      </c>
      <c r="L124" s="549">
        <v>16</v>
      </c>
      <c r="M124" s="725">
        <v>30.701856885714285</v>
      </c>
      <c r="N124" s="725">
        <v>57.13714327142857</v>
      </c>
      <c r="O124" s="725">
        <v>73.487428932857142</v>
      </c>
    </row>
    <row r="125" spans="11:15">
      <c r="L125" s="549">
        <v>17</v>
      </c>
      <c r="M125" s="725">
        <v>24.932857240949314</v>
      </c>
      <c r="N125" s="725">
        <v>55.184285845075259</v>
      </c>
      <c r="O125" s="725">
        <v>80.585714067731558</v>
      </c>
    </row>
    <row r="126" spans="11:15">
      <c r="L126" s="549">
        <v>18</v>
      </c>
      <c r="M126" s="725">
        <v>46.867285591428576</v>
      </c>
      <c r="N126" s="725">
        <v>80.201000221428572</v>
      </c>
      <c r="O126" s="725">
        <v>93.131286082857144</v>
      </c>
    </row>
    <row r="127" spans="11:15">
      <c r="L127" s="549">
        <v>19</v>
      </c>
      <c r="M127" s="725">
        <v>39.880857740000003</v>
      </c>
      <c r="N127" s="725">
        <v>73.398713792857151</v>
      </c>
      <c r="O127" s="725">
        <v>43.960427964285714</v>
      </c>
    </row>
    <row r="128" spans="11:15">
      <c r="L128" s="549">
        <v>20</v>
      </c>
      <c r="M128" s="725">
        <v>34.332998821428575</v>
      </c>
      <c r="N128" s="725">
        <v>57.629714421428567</v>
      </c>
      <c r="O128" s="725">
        <v>29.038571492857141</v>
      </c>
    </row>
    <row r="129" spans="11:15">
      <c r="L129" s="549">
        <v>21</v>
      </c>
      <c r="M129" s="725">
        <v>28.39914212908057</v>
      </c>
      <c r="N129" s="725">
        <v>47.208427974155924</v>
      </c>
      <c r="O129" s="725">
        <v>20.747856957571798</v>
      </c>
    </row>
    <row r="130" spans="11:15">
      <c r="L130" s="549">
        <v>22</v>
      </c>
      <c r="M130" s="725">
        <v>19.016142710000004</v>
      </c>
      <c r="N130" s="725">
        <v>39.635571071428572</v>
      </c>
      <c r="O130" s="725">
        <v>28.597570964285715</v>
      </c>
    </row>
    <row r="131" spans="11:15">
      <c r="L131" s="549">
        <v>23</v>
      </c>
      <c r="M131" s="725">
        <v>16.323713982857143</v>
      </c>
      <c r="N131" s="725">
        <v>49.136857168571431</v>
      </c>
      <c r="O131" s="725">
        <v>19.104714530000003</v>
      </c>
    </row>
    <row r="132" spans="11:15">
      <c r="K132" s="549">
        <v>24</v>
      </c>
      <c r="L132" s="549">
        <v>24</v>
      </c>
      <c r="M132" s="725">
        <v>14.458999906267413</v>
      </c>
      <c r="N132" s="725">
        <v>34.150428227015844</v>
      </c>
      <c r="O132" s="725">
        <v>14.211285591125442</v>
      </c>
    </row>
    <row r="133" spans="11:15">
      <c r="L133" s="549">
        <v>25</v>
      </c>
      <c r="M133" s="725">
        <v>13.476999827142858</v>
      </c>
      <c r="N133" s="725">
        <v>32.288857598571425</v>
      </c>
      <c r="O133" s="725">
        <v>11.628714288571429</v>
      </c>
    </row>
    <row r="134" spans="11:15">
      <c r="L134" s="549">
        <v>26</v>
      </c>
      <c r="M134" s="725">
        <v>14.175142699999999</v>
      </c>
      <c r="N134" s="725">
        <v>29.45585686714286</v>
      </c>
      <c r="O134" s="725">
        <v>11.67571422</v>
      </c>
    </row>
    <row r="135" spans="11:15">
      <c r="L135" s="549">
        <v>27</v>
      </c>
      <c r="M135" s="725">
        <v>12.859571456909155</v>
      </c>
      <c r="N135" s="762">
        <v>27.986428669520745</v>
      </c>
      <c r="O135" s="725">
        <v>27.48885754176543</v>
      </c>
    </row>
    <row r="136" spans="11:15">
      <c r="L136" s="549">
        <v>28</v>
      </c>
      <c r="M136" s="725">
        <v>11.472142902857144</v>
      </c>
      <c r="N136" s="762">
        <v>24.371857235714284</v>
      </c>
      <c r="O136" s="725">
        <v>32.395143782857147</v>
      </c>
    </row>
    <row r="137" spans="11:15">
      <c r="L137" s="549">
        <v>29</v>
      </c>
      <c r="M137" s="725">
        <v>11.32885715142857</v>
      </c>
      <c r="N137" s="762">
        <v>23.620857238571428</v>
      </c>
      <c r="O137" s="725">
        <v>14.974999971428572</v>
      </c>
    </row>
    <row r="138" spans="11:15">
      <c r="L138" s="549">
        <v>30</v>
      </c>
      <c r="M138" s="725">
        <v>11.152000155714285</v>
      </c>
      <c r="N138" s="762">
        <v>26.757428577142853</v>
      </c>
      <c r="O138" s="725">
        <v>14.12842846</v>
      </c>
    </row>
    <row r="139" spans="11:15">
      <c r="L139" s="549">
        <v>31</v>
      </c>
      <c r="M139" s="725">
        <v>10.852571488571428</v>
      </c>
      <c r="N139" s="762">
        <v>26.481285638571428</v>
      </c>
      <c r="O139" s="725">
        <v>10.121857098285714</v>
      </c>
    </row>
    <row r="140" spans="11:15">
      <c r="K140" s="549">
        <v>32</v>
      </c>
      <c r="L140" s="549">
        <v>32</v>
      </c>
      <c r="M140" s="725">
        <v>10.338285718645329</v>
      </c>
      <c r="N140" s="762">
        <v>25.506571633475126</v>
      </c>
      <c r="O140" s="725">
        <v>7.7241428239004906</v>
      </c>
    </row>
    <row r="141" spans="11:15">
      <c r="L141" s="549">
        <v>33</v>
      </c>
      <c r="M141" s="725">
        <v>11.413999967142857</v>
      </c>
      <c r="N141" s="762">
        <v>31.441428594285707</v>
      </c>
      <c r="O141" s="725">
        <v>8.5772858349999996</v>
      </c>
    </row>
    <row r="142" spans="11:15">
      <c r="L142" s="549">
        <v>34</v>
      </c>
      <c r="M142" s="725">
        <v>11.662143027142859</v>
      </c>
      <c r="N142" s="762">
        <v>33.365713935714282</v>
      </c>
      <c r="O142" s="725">
        <v>6.7090001108571427</v>
      </c>
    </row>
    <row r="143" spans="11:15">
      <c r="L143" s="549">
        <v>35</v>
      </c>
      <c r="M143" s="725">
        <v>11.541428702218141</v>
      </c>
      <c r="N143" s="725">
        <v>29.068999699183816</v>
      </c>
      <c r="O143" s="725">
        <v>5.7295714105878517</v>
      </c>
    </row>
    <row r="144" spans="11:15">
      <c r="L144" s="549">
        <v>36</v>
      </c>
      <c r="M144" s="725">
        <v>13.286857196262856</v>
      </c>
      <c r="N144" s="725">
        <v>26.005428859165701</v>
      </c>
      <c r="O144" s="725">
        <v>5.6865714618137853</v>
      </c>
    </row>
    <row r="145" spans="11:15">
      <c r="L145" s="549">
        <v>37</v>
      </c>
      <c r="M145" s="725">
        <v>15.49071434565947</v>
      </c>
      <c r="N145" s="725">
        <v>25.021857125418485</v>
      </c>
      <c r="O145" s="725">
        <v>5.3568570954459016</v>
      </c>
    </row>
    <row r="146" spans="11:15">
      <c r="L146" s="549">
        <v>38</v>
      </c>
      <c r="M146" s="725">
        <v>16.166143281119158</v>
      </c>
      <c r="N146" s="725">
        <v>27.854714257376486</v>
      </c>
      <c r="O146" s="725">
        <v>6.9268571308680906</v>
      </c>
    </row>
    <row r="147" spans="11:15">
      <c r="L147" s="549">
        <v>39</v>
      </c>
      <c r="M147" s="725">
        <v>16.810999734285712</v>
      </c>
      <c r="N147" s="763">
        <v>27.986571175714282</v>
      </c>
      <c r="O147" s="725">
        <v>9.9768571861428565</v>
      </c>
    </row>
    <row r="148" spans="11:15">
      <c r="K148" s="549">
        <v>40</v>
      </c>
      <c r="L148" s="549">
        <v>40</v>
      </c>
      <c r="M148" s="725">
        <v>14.579285758571428</v>
      </c>
      <c r="N148" s="763">
        <v>25.258999961428572</v>
      </c>
      <c r="O148" s="725">
        <v>7.1328571184285705</v>
      </c>
    </row>
    <row r="149" spans="11:15">
      <c r="L149" s="549">
        <v>41</v>
      </c>
      <c r="M149" s="725">
        <v>13.048857279999998</v>
      </c>
      <c r="N149" s="763">
        <v>25.185571671428566</v>
      </c>
      <c r="O149" s="725">
        <v>4.9102856772857146</v>
      </c>
    </row>
    <row r="150" spans="11:15">
      <c r="L150" s="549">
        <v>42</v>
      </c>
      <c r="M150" s="725">
        <v>14.871000289916955</v>
      </c>
      <c r="N150" s="763">
        <v>33.125999450683558</v>
      </c>
      <c r="O150" s="725">
        <v>6.3367142677306969</v>
      </c>
    </row>
    <row r="151" spans="11:15">
      <c r="L151" s="549">
        <v>43</v>
      </c>
      <c r="M151" s="725">
        <v>21.991714477142857</v>
      </c>
      <c r="N151" s="763">
        <v>41.127143314285711</v>
      </c>
      <c r="O151" s="725">
        <v>11.867142950714285</v>
      </c>
    </row>
    <row r="152" spans="11:15">
      <c r="L152" s="549">
        <v>44</v>
      </c>
      <c r="M152" s="725">
        <v>13.904857091428573</v>
      </c>
      <c r="N152" s="725">
        <v>33.038428169999996</v>
      </c>
      <c r="O152" s="725">
        <v>5.2337141718571427</v>
      </c>
    </row>
    <row r="153" spans="11:15">
      <c r="L153" s="549">
        <v>45</v>
      </c>
      <c r="M153" s="725">
        <v>13.184428621428571</v>
      </c>
      <c r="N153" s="725">
        <v>40.115713391428571</v>
      </c>
      <c r="O153" s="725">
        <v>5.0682858059999996</v>
      </c>
    </row>
    <row r="154" spans="11:15">
      <c r="L154" s="549">
        <v>46</v>
      </c>
      <c r="M154" s="725">
        <v>13.14228561857143</v>
      </c>
      <c r="N154" s="725">
        <v>43.881571090000001</v>
      </c>
      <c r="O154" s="725">
        <v>4.7745714188571426</v>
      </c>
    </row>
    <row r="155" spans="11:15">
      <c r="L155" s="549">
        <v>47</v>
      </c>
      <c r="M155" s="725">
        <v>15.124714305714289</v>
      </c>
      <c r="N155" s="725">
        <v>42.811571392857147</v>
      </c>
      <c r="O155" s="725">
        <v>5.635714394571429</v>
      </c>
    </row>
    <row r="156" spans="11:15">
      <c r="L156" s="549">
        <v>48</v>
      </c>
      <c r="M156" s="725">
        <v>27.692142758571432</v>
      </c>
      <c r="N156" s="725">
        <v>66.262570518571422</v>
      </c>
      <c r="O156" s="725">
        <v>27.02714340957143</v>
      </c>
    </row>
    <row r="157" spans="11:15">
      <c r="L157" s="549">
        <v>49</v>
      </c>
      <c r="M157" s="725">
        <v>64.694000790000004</v>
      </c>
      <c r="N157" s="725">
        <v>122.24228668571428</v>
      </c>
      <c r="O157" s="725">
        <v>80.020142697142845</v>
      </c>
    </row>
    <row r="158" spans="11:15">
      <c r="L158" s="549">
        <v>50</v>
      </c>
      <c r="M158" s="725">
        <v>43.356857299999994</v>
      </c>
      <c r="N158" s="725">
        <v>78.250285555714285</v>
      </c>
      <c r="O158" s="725">
        <v>98.373141695714281</v>
      </c>
    </row>
    <row r="159" spans="11:15">
      <c r="L159" s="549">
        <v>51</v>
      </c>
      <c r="M159" s="725">
        <v>66.695286888571431</v>
      </c>
      <c r="N159" s="725">
        <v>123.13128661428571</v>
      </c>
      <c r="O159" s="725">
        <v>141.80585590000001</v>
      </c>
    </row>
    <row r="160" spans="11:15">
      <c r="K160" s="549">
        <v>52</v>
      </c>
      <c r="L160" s="549">
        <v>52</v>
      </c>
      <c r="M160" s="725">
        <v>79.132000515714282</v>
      </c>
      <c r="N160" s="725">
        <v>151.04400198571429</v>
      </c>
      <c r="O160" s="725">
        <v>62.055856431428573</v>
      </c>
    </row>
    <row r="161" spans="10:21">
      <c r="J161" s="277">
        <v>2021</v>
      </c>
      <c r="L161" s="549">
        <v>1</v>
      </c>
      <c r="M161" s="725">
        <v>93.616000575714295</v>
      </c>
      <c r="N161" s="725">
        <v>194.93985855714286</v>
      </c>
      <c r="O161" s="725">
        <v>38.49128532428572</v>
      </c>
    </row>
    <row r="162" spans="10:21">
      <c r="L162" s="549">
        <v>2</v>
      </c>
      <c r="M162" s="725">
        <v>109.19371577142856</v>
      </c>
      <c r="N162" s="725">
        <v>191.56657192857145</v>
      </c>
      <c r="O162" s="725">
        <v>52.185428618571436</v>
      </c>
    </row>
    <row r="163" spans="10:21">
      <c r="L163" s="549">
        <v>3</v>
      </c>
      <c r="M163" s="725">
        <v>111.32100131428571</v>
      </c>
      <c r="N163" s="725">
        <v>253.28128705714289</v>
      </c>
      <c r="O163" s="725">
        <v>72.971142360000002</v>
      </c>
    </row>
    <row r="164" spans="10:21">
      <c r="L164" s="549">
        <v>4</v>
      </c>
      <c r="M164" s="725">
        <v>111.11885721428568</v>
      </c>
      <c r="N164" s="725">
        <v>244.7925720428571</v>
      </c>
      <c r="O164" s="725">
        <v>82.663999837142867</v>
      </c>
    </row>
    <row r="165" spans="10:21" s="574" customFormat="1">
      <c r="J165" s="277"/>
      <c r="K165" s="549">
        <v>5</v>
      </c>
      <c r="L165" s="549">
        <v>5</v>
      </c>
      <c r="M165" s="725">
        <v>108.66071318571429</v>
      </c>
      <c r="N165" s="725">
        <v>220.6247188142857</v>
      </c>
      <c r="O165" s="725">
        <v>54.198429654285711</v>
      </c>
      <c r="P165" s="548"/>
      <c r="Q165" s="514"/>
      <c r="R165" s="514"/>
      <c r="S165" s="514"/>
      <c r="T165" s="339"/>
      <c r="U165" s="339"/>
    </row>
    <row r="166" spans="10:21" s="574" customFormat="1">
      <c r="J166" s="277"/>
      <c r="K166" s="549"/>
      <c r="L166" s="549">
        <v>6</v>
      </c>
      <c r="M166" s="725">
        <v>90.469143462857147</v>
      </c>
      <c r="N166" s="725">
        <v>163.06042698571429</v>
      </c>
      <c r="O166" s="725">
        <v>42.827428274285715</v>
      </c>
      <c r="P166" s="548"/>
      <c r="Q166" s="514"/>
      <c r="R166" s="514"/>
      <c r="S166" s="514"/>
      <c r="T166" s="339"/>
      <c r="U166" s="339"/>
    </row>
    <row r="167" spans="10:21" s="574" customFormat="1">
      <c r="J167" s="277"/>
      <c r="K167" s="549"/>
      <c r="L167" s="549">
        <v>7</v>
      </c>
      <c r="M167" s="725">
        <v>58.4</v>
      </c>
      <c r="N167" s="725">
        <v>104.39303571428574</v>
      </c>
      <c r="O167" s="725">
        <v>28.153690476190491</v>
      </c>
      <c r="P167" s="548"/>
      <c r="Q167" s="514"/>
      <c r="R167" s="514"/>
      <c r="S167" s="514"/>
      <c r="T167" s="339"/>
      <c r="U167" s="339"/>
    </row>
    <row r="168" spans="10:21" s="574" customFormat="1">
      <c r="J168" s="277"/>
      <c r="K168" s="549"/>
      <c r="L168" s="549">
        <v>8</v>
      </c>
      <c r="M168" s="725">
        <v>45.103515238095234</v>
      </c>
      <c r="N168" s="725">
        <v>61.820178571428535</v>
      </c>
      <c r="O168" s="725">
        <v>19.304999999999993</v>
      </c>
      <c r="P168" s="548"/>
      <c r="Q168" s="514"/>
      <c r="R168" s="514"/>
      <c r="S168" s="514"/>
      <c r="T168" s="339"/>
      <c r="U168" s="339"/>
    </row>
    <row r="169" spans="10:21" s="574" customFormat="1">
      <c r="J169" s="277"/>
      <c r="K169" s="549">
        <v>9</v>
      </c>
      <c r="L169" s="549">
        <v>9</v>
      </c>
      <c r="M169" s="725">
        <v>56.496856689453068</v>
      </c>
      <c r="N169" s="725">
        <v>85.507331848144418</v>
      </c>
      <c r="O169" s="725">
        <v>82.847664833068805</v>
      </c>
      <c r="P169" s="548"/>
      <c r="Q169" s="514"/>
      <c r="R169" s="514"/>
      <c r="S169" s="514"/>
      <c r="T169" s="339"/>
      <c r="U169" s="339"/>
    </row>
    <row r="170" spans="10:21" s="574" customFormat="1">
      <c r="J170" s="277"/>
      <c r="K170" s="549"/>
      <c r="L170" s="549">
        <v>10</v>
      </c>
      <c r="M170" s="725">
        <v>90.554714198571432</v>
      </c>
      <c r="N170" s="725">
        <v>173.29428537142854</v>
      </c>
      <c r="O170" s="725">
        <v>214.06428527142856</v>
      </c>
      <c r="P170" s="548"/>
      <c r="Q170" s="514"/>
      <c r="R170" s="514"/>
      <c r="S170" s="514"/>
      <c r="T170" s="339"/>
      <c r="U170" s="339"/>
    </row>
    <row r="171" spans="10:21" s="574" customFormat="1">
      <c r="J171" s="277"/>
      <c r="K171" s="549"/>
      <c r="L171" s="549">
        <v>11</v>
      </c>
      <c r="M171" s="725">
        <v>98.085857941428586</v>
      </c>
      <c r="N171" s="725">
        <v>159.83856852857141</v>
      </c>
      <c r="O171" s="725">
        <v>132.61828504285714</v>
      </c>
      <c r="P171" s="548"/>
      <c r="Q171" s="514"/>
      <c r="R171" s="514"/>
      <c r="S171" s="514"/>
      <c r="T171" s="339"/>
      <c r="U171" s="339"/>
    </row>
    <row r="172" spans="10:21" s="574" customFormat="1">
      <c r="J172" s="277"/>
      <c r="K172" s="549"/>
      <c r="L172" s="549">
        <v>12</v>
      </c>
      <c r="M172" s="725">
        <v>87.426713118571428</v>
      </c>
      <c r="N172" s="725">
        <v>160.54285757142858</v>
      </c>
      <c r="O172" s="725">
        <v>87.668715342857141</v>
      </c>
      <c r="P172" s="548"/>
      <c r="Q172" s="514"/>
      <c r="R172" s="514"/>
      <c r="S172" s="514"/>
      <c r="T172" s="339"/>
      <c r="U172" s="339"/>
    </row>
    <row r="173" spans="10:21" s="574" customFormat="1">
      <c r="J173" s="277"/>
      <c r="K173" s="549">
        <v>13</v>
      </c>
      <c r="L173" s="549">
        <v>13</v>
      </c>
      <c r="M173" s="725">
        <v>85.733285082857151</v>
      </c>
      <c r="N173" s="725">
        <v>171.07471574285714</v>
      </c>
      <c r="O173" s="725">
        <v>94.954141882857144</v>
      </c>
      <c r="P173" s="548"/>
      <c r="Q173" s="514"/>
      <c r="R173" s="514"/>
      <c r="S173" s="514"/>
      <c r="T173" s="339"/>
      <c r="U173" s="339"/>
    </row>
    <row r="174" spans="10:21" s="574" customFormat="1">
      <c r="J174" s="277"/>
      <c r="K174" s="549"/>
      <c r="L174" s="549">
        <v>14</v>
      </c>
      <c r="M174" s="725">
        <v>98.095142921428561</v>
      </c>
      <c r="N174" s="725">
        <v>185.56500027142857</v>
      </c>
      <c r="O174" s="725">
        <v>151.11671445714288</v>
      </c>
      <c r="P174" s="548"/>
      <c r="Q174" s="514"/>
      <c r="R174" s="514"/>
      <c r="S174" s="514"/>
      <c r="T174" s="339"/>
      <c r="U174" s="339"/>
    </row>
    <row r="175" spans="10:21" s="574" customFormat="1">
      <c r="J175" s="277"/>
      <c r="K175" s="549"/>
      <c r="L175" s="549">
        <v>15</v>
      </c>
      <c r="M175" s="725">
        <v>83.773572649999991</v>
      </c>
      <c r="N175" s="725">
        <v>151.56014580000002</v>
      </c>
      <c r="O175" s="725">
        <v>111.99457114285714</v>
      </c>
      <c r="P175" s="548"/>
      <c r="Q175" s="514"/>
      <c r="R175" s="514"/>
      <c r="S175" s="514"/>
      <c r="T175" s="339"/>
      <c r="U175" s="339"/>
    </row>
    <row r="176" spans="10:21" s="574" customFormat="1">
      <c r="J176" s="277"/>
      <c r="K176" s="549"/>
      <c r="L176" s="549">
        <v>16</v>
      </c>
      <c r="M176" s="725">
        <v>56.958000185714283</v>
      </c>
      <c r="N176" s="725">
        <v>109.84099905714285</v>
      </c>
      <c r="O176" s="725">
        <v>90.672572548571438</v>
      </c>
      <c r="P176" s="548"/>
      <c r="Q176" s="514"/>
      <c r="R176" s="514"/>
      <c r="S176" s="514"/>
      <c r="T176" s="339"/>
      <c r="U176" s="339"/>
    </row>
    <row r="177" spans="10:21" s="574" customFormat="1">
      <c r="J177" s="277"/>
      <c r="K177" s="549"/>
      <c r="L177" s="549">
        <v>17</v>
      </c>
      <c r="M177" s="725">
        <v>48.746000017142855</v>
      </c>
      <c r="N177" s="725">
        <v>85.840285168571427</v>
      </c>
      <c r="O177" s="725">
        <v>75.281570977142863</v>
      </c>
      <c r="P177" s="548"/>
      <c r="Q177" s="514"/>
      <c r="R177" s="514"/>
      <c r="S177" s="514"/>
      <c r="T177" s="339"/>
      <c r="U177" s="339"/>
    </row>
    <row r="178" spans="10:21" s="574" customFormat="1">
      <c r="J178" s="277"/>
      <c r="K178" s="549">
        <v>18</v>
      </c>
      <c r="L178" s="549">
        <v>18</v>
      </c>
      <c r="M178" s="725">
        <v>40.494427817142864</v>
      </c>
      <c r="N178" s="725">
        <v>69.64942932142857</v>
      </c>
      <c r="O178" s="725">
        <v>93.952999661428592</v>
      </c>
      <c r="P178" s="548"/>
      <c r="Q178" s="514"/>
      <c r="R178" s="514"/>
      <c r="S178" s="514"/>
      <c r="T178" s="339"/>
      <c r="U178" s="339"/>
    </row>
    <row r="179" spans="10:21" s="574" customFormat="1">
      <c r="J179" s="277"/>
      <c r="K179" s="549"/>
      <c r="L179" s="549">
        <v>19</v>
      </c>
      <c r="M179" s="725">
        <v>35.466286249999996</v>
      </c>
      <c r="N179" s="725">
        <v>58.010286058571431</v>
      </c>
      <c r="O179" s="725">
        <v>72.684429168571427</v>
      </c>
      <c r="P179" s="548"/>
      <c r="Q179" s="514"/>
      <c r="R179" s="514"/>
      <c r="S179" s="514"/>
      <c r="T179" s="339"/>
      <c r="U179" s="339"/>
    </row>
    <row r="180" spans="10:21" s="574" customFormat="1">
      <c r="J180" s="277"/>
      <c r="K180" s="549"/>
      <c r="L180" s="549">
        <v>20</v>
      </c>
      <c r="M180" s="725">
        <v>28.18171392</v>
      </c>
      <c r="N180" s="725">
        <v>51.498000008571424</v>
      </c>
      <c r="O180" s="725">
        <v>98.886571605714281</v>
      </c>
      <c r="P180" s="548"/>
      <c r="Q180" s="514"/>
      <c r="R180" s="514"/>
      <c r="S180" s="514"/>
      <c r="T180" s="339"/>
      <c r="U180" s="339"/>
    </row>
    <row r="181" spans="10:21" s="574" customFormat="1">
      <c r="J181" s="277"/>
      <c r="K181" s="549"/>
      <c r="L181" s="549">
        <v>21</v>
      </c>
      <c r="M181" s="725">
        <v>26.549999781428571</v>
      </c>
      <c r="N181" s="725">
        <v>49.923428127142856</v>
      </c>
      <c r="O181" s="725">
        <v>58.580000197142859</v>
      </c>
      <c r="P181" s="548"/>
      <c r="Q181" s="514"/>
      <c r="R181" s="514"/>
      <c r="S181" s="514"/>
      <c r="T181" s="339"/>
      <c r="U181" s="339"/>
    </row>
    <row r="182" spans="10:21" s="574" customFormat="1">
      <c r="J182" s="277"/>
      <c r="K182" s="549">
        <v>22</v>
      </c>
      <c r="L182" s="549">
        <v>22</v>
      </c>
      <c r="M182" s="725">
        <v>21.825286048571424</v>
      </c>
      <c r="N182" s="725">
        <v>43.104427882857138</v>
      </c>
      <c r="O182" s="725">
        <v>38.582285198571427</v>
      </c>
      <c r="P182" s="548"/>
      <c r="Q182" s="514"/>
      <c r="R182" s="514"/>
      <c r="S182" s="514"/>
      <c r="T182" s="339"/>
      <c r="U182" s="339"/>
    </row>
    <row r="183" spans="10:21" s="574" customFormat="1">
      <c r="J183" s="277"/>
      <c r="K183" s="549"/>
      <c r="L183" s="549">
        <v>23</v>
      </c>
      <c r="M183" s="725">
        <v>20.536714282857144</v>
      </c>
      <c r="N183" s="725">
        <v>39.534857068571434</v>
      </c>
      <c r="O183" s="725">
        <v>58.388999669999997</v>
      </c>
      <c r="P183" s="548"/>
      <c r="Q183" s="514"/>
      <c r="R183" s="514"/>
      <c r="S183" s="514"/>
      <c r="T183" s="339"/>
      <c r="U183" s="339"/>
    </row>
    <row r="184" spans="10:21" s="574" customFormat="1">
      <c r="J184" s="277"/>
      <c r="K184" s="549"/>
      <c r="L184" s="549">
        <v>24</v>
      </c>
      <c r="M184" s="725">
        <v>18.521000181428573</v>
      </c>
      <c r="N184" s="725">
        <v>36.393142699999999</v>
      </c>
      <c r="O184" s="725">
        <v>52.608856201428573</v>
      </c>
      <c r="P184" s="548"/>
      <c r="Q184" s="514"/>
      <c r="R184" s="514"/>
      <c r="S184" s="514"/>
      <c r="T184" s="339"/>
      <c r="U184" s="339"/>
    </row>
    <row r="185" spans="10:21" s="574" customFormat="1">
      <c r="J185" s="277"/>
      <c r="K185" s="549"/>
      <c r="L185" s="549">
        <v>25</v>
      </c>
      <c r="M185" s="725">
        <v>17.337857111428569</v>
      </c>
      <c r="N185" s="725">
        <v>33.557857241428572</v>
      </c>
      <c r="O185" s="725">
        <v>30.324857167142856</v>
      </c>
      <c r="P185" s="548"/>
      <c r="Q185" s="514"/>
      <c r="R185" s="514"/>
      <c r="S185" s="514"/>
      <c r="T185" s="339"/>
      <c r="U185" s="339"/>
    </row>
    <row r="186" spans="10:21">
      <c r="K186" s="549">
        <v>26</v>
      </c>
      <c r="L186" s="549">
        <v>26</v>
      </c>
      <c r="M186" s="725">
        <v>16.257714270000001</v>
      </c>
      <c r="N186" s="725">
        <v>29.931428365714286</v>
      </c>
      <c r="O186" s="725">
        <v>42.18199975142857</v>
      </c>
    </row>
    <row r="187" spans="10:21">
      <c r="M187" s="725"/>
      <c r="N187" s="725"/>
      <c r="O187" s="725"/>
    </row>
    <row r="188" spans="10:21">
      <c r="M188" s="725"/>
      <c r="N188" s="725"/>
      <c r="O188" s="725"/>
    </row>
    <row r="189" spans="10:21">
      <c r="M189" s="725"/>
      <c r="N189" s="725"/>
      <c r="O189" s="725"/>
    </row>
    <row r="190" spans="10:21">
      <c r="M190" s="725"/>
      <c r="N190" s="725"/>
      <c r="O190" s="725"/>
    </row>
    <row r="191" spans="10:21">
      <c r="M191" s="725" t="s">
        <v>261</v>
      </c>
      <c r="N191" s="725" t="s">
        <v>262</v>
      </c>
      <c r="O191" s="725" t="s">
        <v>263</v>
      </c>
    </row>
    <row r="192" spans="10:21">
      <c r="M192" s="725"/>
      <c r="N192" s="725"/>
      <c r="O192" s="725"/>
    </row>
    <row r="193" spans="10:21">
      <c r="M193" s="725"/>
      <c r="N193" s="725"/>
      <c r="O193" s="725"/>
    </row>
    <row r="194" spans="10:21">
      <c r="M194" s="725"/>
      <c r="N194" s="725"/>
      <c r="O194" s="725"/>
    </row>
    <row r="195" spans="10:21">
      <c r="M195" s="725"/>
      <c r="N195" s="725"/>
      <c r="O195" s="725"/>
    </row>
    <row r="196" spans="10:21">
      <c r="M196" s="725"/>
      <c r="N196" s="725"/>
      <c r="O196" s="725"/>
    </row>
    <row r="197" spans="10:21">
      <c r="M197" s="725"/>
      <c r="N197" s="725"/>
      <c r="O197" s="725"/>
    </row>
    <row r="198" spans="10:21" s="574" customFormat="1">
      <c r="J198" s="277"/>
      <c r="K198" s="549"/>
      <c r="L198" s="549"/>
      <c r="M198" s="725"/>
      <c r="N198" s="725"/>
      <c r="O198" s="725"/>
      <c r="P198" s="548"/>
      <c r="Q198" s="514"/>
      <c r="R198" s="514"/>
      <c r="S198" s="514"/>
      <c r="T198" s="339"/>
      <c r="U198" s="339"/>
    </row>
    <row r="199" spans="10:21" s="574" customFormat="1">
      <c r="J199" s="277"/>
      <c r="K199" s="549"/>
      <c r="L199" s="549"/>
      <c r="M199" s="725"/>
      <c r="N199" s="725"/>
      <c r="O199" s="725"/>
      <c r="P199" s="548"/>
      <c r="Q199" s="514"/>
      <c r="R199" s="514"/>
      <c r="S199" s="514"/>
      <c r="T199" s="339"/>
      <c r="U199" s="339"/>
    </row>
    <row r="200" spans="10:21" s="574" customFormat="1">
      <c r="J200" s="277"/>
      <c r="K200" s="549"/>
      <c r="L200" s="549"/>
      <c r="M200" s="725"/>
      <c r="N200" s="725"/>
      <c r="O200" s="725"/>
      <c r="P200" s="548"/>
      <c r="Q200" s="514"/>
      <c r="R200" s="514"/>
      <c r="S200" s="514"/>
      <c r="T200" s="339"/>
      <c r="U200" s="339"/>
    </row>
    <row r="201" spans="10:21" s="574" customFormat="1">
      <c r="J201" s="277"/>
      <c r="K201" s="549"/>
      <c r="L201" s="549"/>
      <c r="M201" s="725"/>
      <c r="N201" s="725"/>
      <c r="O201" s="725"/>
      <c r="P201" s="548"/>
      <c r="Q201" s="514"/>
      <c r="R201" s="514"/>
      <c r="S201" s="514"/>
      <c r="T201" s="339"/>
      <c r="U201" s="339"/>
    </row>
    <row r="202" spans="10:21" s="574" customFormat="1">
      <c r="J202" s="277"/>
      <c r="K202" s="549"/>
      <c r="L202" s="549"/>
      <c r="M202" s="725"/>
      <c r="N202" s="725"/>
      <c r="O202" s="725"/>
      <c r="P202" s="548"/>
      <c r="Q202" s="514"/>
      <c r="R202" s="514"/>
      <c r="S202" s="514"/>
      <c r="T202" s="339"/>
      <c r="U202" s="339"/>
    </row>
    <row r="203" spans="10:21" s="574" customFormat="1">
      <c r="J203" s="277"/>
      <c r="K203" s="549"/>
      <c r="L203" s="549"/>
      <c r="M203" s="725"/>
      <c r="N203" s="725"/>
      <c r="O203" s="725"/>
      <c r="P203" s="548"/>
      <c r="Q203" s="514"/>
      <c r="R203" s="514"/>
      <c r="S203" s="514"/>
      <c r="T203" s="339"/>
      <c r="U203" s="339"/>
    </row>
    <row r="204" spans="10:21" s="574" customFormat="1">
      <c r="J204" s="277"/>
      <c r="K204" s="549"/>
      <c r="L204" s="549"/>
      <c r="M204" s="725"/>
      <c r="N204" s="725"/>
      <c r="O204" s="725"/>
      <c r="P204" s="548"/>
      <c r="Q204" s="514"/>
      <c r="R204" s="514"/>
      <c r="S204" s="514"/>
      <c r="T204" s="339"/>
      <c r="U204" s="339"/>
    </row>
    <row r="205" spans="10:21" s="574" customFormat="1">
      <c r="J205" s="277"/>
      <c r="K205" s="549"/>
      <c r="L205" s="549"/>
      <c r="M205" s="725"/>
      <c r="N205" s="725"/>
      <c r="O205" s="725"/>
      <c r="P205" s="548"/>
      <c r="Q205" s="514"/>
      <c r="R205" s="514"/>
      <c r="S205" s="514"/>
      <c r="T205" s="339"/>
      <c r="U205" s="339"/>
    </row>
    <row r="206" spans="10:21" s="574" customFormat="1">
      <c r="J206" s="277"/>
      <c r="K206" s="549"/>
      <c r="L206" s="549"/>
      <c r="M206" s="725"/>
      <c r="N206" s="725"/>
      <c r="O206" s="725"/>
      <c r="P206" s="548"/>
      <c r="Q206" s="514"/>
      <c r="R206" s="514"/>
      <c r="S206" s="514"/>
      <c r="T206" s="339"/>
      <c r="U206" s="339"/>
    </row>
    <row r="207" spans="10:21" s="574" customFormat="1">
      <c r="J207" s="277"/>
      <c r="K207" s="549"/>
      <c r="L207" s="549"/>
      <c r="M207" s="725"/>
      <c r="N207" s="725"/>
      <c r="O207" s="725"/>
      <c r="P207" s="548"/>
      <c r="Q207" s="514"/>
      <c r="R207" s="514"/>
      <c r="S207" s="514"/>
      <c r="T207" s="339"/>
      <c r="U207" s="339"/>
    </row>
    <row r="208" spans="10:21" s="574" customFormat="1">
      <c r="J208" s="277"/>
      <c r="K208" s="549"/>
      <c r="L208" s="549"/>
      <c r="M208" s="725"/>
      <c r="N208" s="725"/>
      <c r="O208" s="725"/>
      <c r="P208" s="548"/>
      <c r="Q208" s="514"/>
      <c r="R208" s="514"/>
      <c r="S208" s="514"/>
      <c r="T208" s="339"/>
      <c r="U208" s="339"/>
    </row>
    <row r="209" spans="10:21" s="574" customFormat="1">
      <c r="J209" s="277"/>
      <c r="K209" s="549"/>
      <c r="L209" s="549"/>
      <c r="M209" s="725"/>
      <c r="N209" s="725"/>
      <c r="O209" s="725"/>
      <c r="P209" s="548"/>
      <c r="Q209" s="514"/>
      <c r="R209" s="514"/>
      <c r="S209" s="514"/>
      <c r="T209" s="339"/>
      <c r="U209" s="339"/>
    </row>
    <row r="210" spans="10:21" s="574" customFormat="1">
      <c r="J210" s="277"/>
      <c r="K210" s="549"/>
      <c r="L210" s="549"/>
      <c r="M210" s="725"/>
      <c r="N210" s="725"/>
      <c r="O210" s="725"/>
      <c r="P210" s="548"/>
      <c r="Q210" s="514"/>
      <c r="R210" s="514"/>
      <c r="S210" s="514"/>
      <c r="T210" s="339"/>
      <c r="U210" s="339"/>
    </row>
    <row r="211" spans="10:21" s="574" customFormat="1">
      <c r="J211" s="277"/>
      <c r="K211" s="549"/>
      <c r="L211" s="549"/>
      <c r="M211" s="725"/>
      <c r="N211" s="725"/>
      <c r="O211" s="725"/>
      <c r="P211" s="548"/>
      <c r="Q211" s="514"/>
      <c r="R211" s="514"/>
      <c r="S211" s="514"/>
      <c r="T211" s="339"/>
      <c r="U211" s="339"/>
    </row>
    <row r="212" spans="10:21" s="574" customFormat="1">
      <c r="J212" s="277"/>
      <c r="K212" s="549"/>
      <c r="L212" s="549"/>
      <c r="M212" s="725"/>
      <c r="N212" s="725"/>
      <c r="O212" s="725"/>
      <c r="P212" s="548"/>
      <c r="Q212" s="514"/>
      <c r="R212" s="514"/>
      <c r="S212" s="514"/>
      <c r="T212" s="339"/>
      <c r="U212" s="339"/>
    </row>
    <row r="213" spans="10:21" s="574" customFormat="1">
      <c r="J213" s="277"/>
      <c r="K213" s="549"/>
      <c r="L213" s="549"/>
      <c r="M213" s="725"/>
      <c r="N213" s="725"/>
      <c r="O213" s="725"/>
      <c r="P213" s="548"/>
      <c r="Q213" s="514"/>
      <c r="R213" s="514"/>
      <c r="S213" s="514"/>
      <c r="T213" s="339"/>
      <c r="U213" s="339"/>
    </row>
    <row r="214" spans="10:21" s="574" customFormat="1">
      <c r="J214" s="277"/>
      <c r="K214" s="549"/>
      <c r="L214" s="549"/>
      <c r="M214" s="725"/>
      <c r="N214" s="725"/>
      <c r="O214" s="725"/>
      <c r="P214" s="548"/>
      <c r="Q214" s="514"/>
      <c r="R214" s="514"/>
      <c r="S214" s="514"/>
      <c r="T214" s="339"/>
      <c r="U214" s="339"/>
    </row>
    <row r="215" spans="10:21" s="574" customFormat="1">
      <c r="J215" s="277"/>
      <c r="K215" s="549"/>
      <c r="L215" s="549"/>
      <c r="M215" s="725"/>
      <c r="N215" s="725"/>
      <c r="O215" s="725"/>
      <c r="P215" s="548"/>
      <c r="Q215" s="514"/>
      <c r="R215" s="514"/>
      <c r="S215" s="514"/>
      <c r="T215" s="339"/>
      <c r="U215" s="339"/>
    </row>
    <row r="216" spans="10:21">
      <c r="M216" s="725"/>
      <c r="N216" s="725"/>
      <c r="O216" s="725"/>
    </row>
    <row r="217" spans="10:21">
      <c r="M217" s="718"/>
      <c r="N217" s="718"/>
      <c r="O217" s="718"/>
    </row>
    <row r="218" spans="10:21">
      <c r="M218" s="718"/>
      <c r="N218" s="718"/>
      <c r="O218" s="718"/>
    </row>
    <row r="219" spans="10:21">
      <c r="M219" s="718"/>
      <c r="N219" s="718"/>
      <c r="O219" s="718"/>
    </row>
    <row r="220" spans="10:21">
      <c r="M220" s="718"/>
      <c r="N220" s="718"/>
      <c r="O220" s="718"/>
    </row>
    <row r="221" spans="10:21">
      <c r="M221" s="718"/>
      <c r="N221" s="718"/>
      <c r="O221" s="718"/>
    </row>
    <row r="222" spans="10:21">
      <c r="M222" s="718"/>
      <c r="N222" s="718"/>
      <c r="O222" s="718"/>
    </row>
    <row r="223" spans="10:21">
      <c r="M223" s="718"/>
      <c r="N223" s="718"/>
      <c r="O223" s="718"/>
    </row>
    <row r="224" spans="10:21">
      <c r="M224" s="718"/>
      <c r="N224" s="718"/>
      <c r="O224" s="718"/>
    </row>
    <row r="225" spans="10:21" s="574" customFormat="1">
      <c r="J225" s="277"/>
      <c r="K225" s="549"/>
      <c r="L225" s="549"/>
      <c r="M225" s="718"/>
      <c r="N225" s="718"/>
      <c r="O225" s="718"/>
      <c r="P225" s="548"/>
      <c r="Q225" s="514"/>
      <c r="R225" s="514"/>
      <c r="S225" s="514"/>
      <c r="T225" s="339"/>
      <c r="U225" s="339"/>
    </row>
    <row r="226" spans="10:21" s="574" customFormat="1">
      <c r="J226" s="277"/>
      <c r="K226" s="549"/>
      <c r="L226" s="549"/>
      <c r="M226" s="718"/>
      <c r="N226" s="718"/>
      <c r="O226" s="718"/>
      <c r="P226" s="548"/>
      <c r="Q226" s="514"/>
      <c r="R226" s="514"/>
      <c r="S226" s="514"/>
      <c r="T226" s="339"/>
      <c r="U226" s="339"/>
    </row>
    <row r="227" spans="10:21" s="574" customFormat="1">
      <c r="J227" s="277"/>
      <c r="K227" s="549"/>
      <c r="L227" s="549"/>
      <c r="M227" s="718"/>
      <c r="N227" s="718"/>
      <c r="O227" s="718"/>
      <c r="P227" s="548"/>
      <c r="Q227" s="514"/>
      <c r="R227" s="514"/>
      <c r="S227" s="514"/>
      <c r="T227" s="339"/>
      <c r="U227" s="339"/>
    </row>
    <row r="228" spans="10:21" s="574" customFormat="1">
      <c r="J228" s="277"/>
      <c r="K228" s="549"/>
      <c r="L228" s="549"/>
      <c r="M228" s="718"/>
      <c r="N228" s="718"/>
      <c r="O228" s="718"/>
      <c r="P228" s="548"/>
      <c r="Q228" s="514"/>
      <c r="R228" s="514"/>
      <c r="S228" s="514"/>
      <c r="T228" s="339"/>
      <c r="U228" s="339"/>
    </row>
    <row r="229" spans="10:21" s="574" customFormat="1">
      <c r="J229" s="277"/>
      <c r="K229" s="549"/>
      <c r="L229" s="549"/>
      <c r="M229" s="718"/>
      <c r="N229" s="718"/>
      <c r="O229" s="718"/>
      <c r="P229" s="548"/>
      <c r="Q229" s="514"/>
      <c r="R229" s="514"/>
      <c r="S229" s="514"/>
      <c r="T229" s="339"/>
      <c r="U229" s="339"/>
    </row>
    <row r="230" spans="10:21" s="574" customFormat="1">
      <c r="J230" s="277"/>
      <c r="K230" s="549"/>
      <c r="L230" s="549"/>
      <c r="M230" s="718"/>
      <c r="N230" s="718"/>
      <c r="O230" s="718"/>
      <c r="P230" s="548"/>
      <c r="Q230" s="514"/>
      <c r="R230" s="514"/>
      <c r="S230" s="514"/>
      <c r="T230" s="339"/>
      <c r="U230" s="339"/>
    </row>
    <row r="231" spans="10:21" s="574" customFormat="1">
      <c r="J231" s="277"/>
      <c r="K231" s="549"/>
      <c r="L231" s="549"/>
      <c r="M231" s="718"/>
      <c r="N231" s="718"/>
      <c r="O231" s="718"/>
      <c r="P231" s="548"/>
      <c r="Q231" s="514"/>
      <c r="R231" s="514"/>
      <c r="S231" s="514"/>
      <c r="T231" s="339"/>
      <c r="U231" s="339"/>
    </row>
    <row r="232" spans="10:21" s="574" customFormat="1">
      <c r="J232" s="277"/>
      <c r="K232" s="549"/>
      <c r="L232" s="549"/>
      <c r="M232" s="718"/>
      <c r="N232" s="718"/>
      <c r="O232" s="718"/>
      <c r="P232" s="548"/>
      <c r="Q232" s="514"/>
      <c r="R232" s="514"/>
      <c r="S232" s="514"/>
      <c r="T232" s="339"/>
      <c r="U232" s="339"/>
    </row>
    <row r="233" spans="10:21">
      <c r="M233" s="718"/>
      <c r="N233" s="718"/>
      <c r="O233" s="718"/>
    </row>
    <row r="234" spans="10:21">
      <c r="M234" s="725"/>
      <c r="N234" s="725"/>
      <c r="O234" s="725"/>
    </row>
    <row r="235" spans="10:21">
      <c r="M235" s="725"/>
      <c r="N235" s="725"/>
      <c r="O235" s="725"/>
    </row>
    <row r="237" spans="10:21">
      <c r="M237" s="725"/>
      <c r="N237" s="725"/>
      <c r="O237" s="725"/>
    </row>
    <row r="238" spans="10:21">
      <c r="M238" s="725"/>
      <c r="N238" s="725"/>
      <c r="O238" s="725"/>
    </row>
    <row r="239" spans="10:21">
      <c r="M239" s="725"/>
      <c r="N239" s="725"/>
      <c r="O239" s="725"/>
    </row>
    <row r="240" spans="10:21">
      <c r="M240" s="725"/>
      <c r="N240" s="725"/>
      <c r="O240" s="725"/>
    </row>
    <row r="241" spans="13:15">
      <c r="M241" s="725"/>
      <c r="N241" s="725"/>
      <c r="O241" s="725"/>
    </row>
    <row r="242" spans="13:15">
      <c r="M242" s="725"/>
      <c r="N242" s="725"/>
      <c r="O242" s="725"/>
    </row>
    <row r="243" spans="13:15">
      <c r="M243" s="725"/>
      <c r="N243" s="725"/>
      <c r="O243" s="725"/>
    </row>
    <row r="244" spans="13:15">
      <c r="M244" s="725"/>
      <c r="N244" s="725"/>
      <c r="O244" s="725"/>
    </row>
    <row r="245" spans="13:15">
      <c r="M245" s="725"/>
      <c r="N245" s="725"/>
      <c r="O245" s="725"/>
    </row>
    <row r="246" spans="13:15">
      <c r="M246" s="725"/>
      <c r="N246" s="725"/>
      <c r="O246" s="725"/>
    </row>
    <row r="247" spans="13:15">
      <c r="M247" s="725"/>
      <c r="N247" s="725"/>
      <c r="O247" s="725"/>
    </row>
    <row r="248" spans="13:15">
      <c r="M248" s="725"/>
      <c r="N248" s="725"/>
      <c r="O248" s="725"/>
    </row>
    <row r="249" spans="13:15">
      <c r="M249" s="725"/>
      <c r="N249" s="725"/>
      <c r="O249" s="725"/>
    </row>
    <row r="250" spans="13:15">
      <c r="M250" s="725"/>
      <c r="N250" s="725"/>
      <c r="O250" s="725"/>
    </row>
    <row r="251" spans="13:15">
      <c r="M251" s="725"/>
      <c r="N251" s="725"/>
      <c r="O251" s="725"/>
    </row>
    <row r="252" spans="13:15">
      <c r="M252" s="725"/>
      <c r="N252" s="725"/>
      <c r="O252" s="725"/>
    </row>
    <row r="253" spans="13:15">
      <c r="M253" s="725"/>
      <c r="N253" s="725"/>
      <c r="O253" s="725"/>
    </row>
    <row r="254" spans="13:15">
      <c r="M254" s="725"/>
      <c r="N254" s="725"/>
      <c r="O254" s="725"/>
    </row>
    <row r="255" spans="13:15">
      <c r="M255" s="725"/>
      <c r="N255" s="725"/>
      <c r="O255" s="725"/>
    </row>
    <row r="256" spans="13:15">
      <c r="M256" s="725"/>
      <c r="N256" s="725"/>
      <c r="O256" s="725"/>
    </row>
    <row r="257" spans="13:15">
      <c r="M257" s="725"/>
      <c r="N257" s="725"/>
      <c r="O257" s="725"/>
    </row>
    <row r="258" spans="13:15">
      <c r="M258" s="725"/>
      <c r="N258" s="725"/>
      <c r="O258" s="725"/>
    </row>
    <row r="260" spans="13:15">
      <c r="M260" s="277" t="s">
        <v>261</v>
      </c>
      <c r="N260" s="277" t="s">
        <v>262</v>
      </c>
      <c r="O260" s="277" t="s">
        <v>263</v>
      </c>
    </row>
  </sheetData>
  <mergeCells count="2">
    <mergeCell ref="A3:G3"/>
    <mergeCell ref="A35:G35"/>
  </mergeCells>
  <pageMargins left="0.37386363636363634" right="0.51628787878787874" top="1.0236220472440944" bottom="0.62992125984251968" header="0.31496062992125984" footer="0.31496062992125984"/>
  <pageSetup paperSize="9" scale="94" orientation="portrait" r:id="rId1"/>
  <headerFooter>
    <oddHeader>&amp;R&amp;7Informe de la Operación Mensual - Junio 2021
INFSGI-MES-06-2021
12/07/2021
Versión: 01</oddHeader>
    <oddFooter>&amp;L&amp;7COES, 2021&amp;C12&amp;R&amp;7Dirección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72"/>
  <sheetViews>
    <sheetView showGridLines="0" view="pageBreakPreview" zoomScale="110" zoomScaleNormal="100" zoomScaleSheetLayoutView="110" zoomScalePageLayoutView="115" workbookViewId="0">
      <selection activeCell="R38" sqref="R38"/>
    </sheetView>
  </sheetViews>
  <sheetFormatPr baseColWidth="10" defaultColWidth="9.28515625" defaultRowHeight="10.199999999999999"/>
  <cols>
    <col min="10" max="11" width="9.28515625" customWidth="1"/>
    <col min="13" max="13" width="9.28515625" style="514"/>
    <col min="14" max="16" width="9.28515625" style="278"/>
    <col min="17" max="17" width="11.7109375" style="278" bestFit="1" customWidth="1"/>
    <col min="18" max="18" width="15.140625" style="278" customWidth="1"/>
    <col min="19" max="19" width="14.28515625" style="278" customWidth="1"/>
    <col min="20" max="20" width="14.42578125" style="278" customWidth="1"/>
    <col min="21" max="21" width="9.42578125" style="278" bestFit="1" customWidth="1"/>
    <col min="22" max="22" width="14.7109375" style="278" customWidth="1"/>
    <col min="23" max="23" width="9.42578125" style="278" customWidth="1"/>
    <col min="24" max="24" width="9.7109375" style="278" bestFit="1" customWidth="1"/>
    <col min="25" max="25" width="9.42578125" style="278" bestFit="1" customWidth="1"/>
    <col min="26" max="28" width="9.28515625" style="514"/>
    <col min="29" max="30" width="9.28515625" style="290"/>
    <col min="31" max="32" width="9.28515625" style="278"/>
  </cols>
  <sheetData>
    <row r="1" spans="1:25" ht="11.25" customHeight="1"/>
    <row r="2" spans="1:25" ht="11.25" customHeight="1">
      <c r="A2" s="291"/>
      <c r="B2" s="292"/>
      <c r="C2" s="292"/>
      <c r="D2" s="292"/>
      <c r="E2" s="292"/>
      <c r="F2" s="292"/>
      <c r="G2" s="174"/>
      <c r="H2" s="174"/>
      <c r="I2" s="132"/>
    </row>
    <row r="3" spans="1:25" ht="11.25" customHeight="1">
      <c r="A3" s="132"/>
      <c r="B3" s="132"/>
      <c r="C3" s="132"/>
      <c r="D3" s="132"/>
      <c r="E3" s="132"/>
      <c r="F3" s="132"/>
      <c r="G3" s="138"/>
      <c r="H3" s="138"/>
      <c r="I3" s="138"/>
      <c r="J3" s="148"/>
      <c r="K3" s="148"/>
      <c r="L3" s="148"/>
      <c r="O3" s="278" t="s">
        <v>260</v>
      </c>
      <c r="P3" s="623"/>
      <c r="Q3" s="278" t="s">
        <v>264</v>
      </c>
      <c r="R3" s="278" t="s">
        <v>265</v>
      </c>
      <c r="S3" s="278" t="s">
        <v>266</v>
      </c>
      <c r="T3" s="278" t="s">
        <v>267</v>
      </c>
      <c r="U3" s="278" t="s">
        <v>268</v>
      </c>
      <c r="V3" s="278" t="s">
        <v>269</v>
      </c>
      <c r="W3" s="278" t="s">
        <v>270</v>
      </c>
      <c r="X3" s="278" t="s">
        <v>271</v>
      </c>
      <c r="Y3" s="278" t="s">
        <v>272</v>
      </c>
    </row>
    <row r="4" spans="1:25" ht="11.25" customHeight="1">
      <c r="A4" s="132"/>
      <c r="B4" s="132"/>
      <c r="C4" s="132"/>
      <c r="D4" s="132"/>
      <c r="E4" s="132"/>
      <c r="F4" s="132"/>
      <c r="G4" s="138"/>
      <c r="H4" s="138"/>
      <c r="I4" s="138"/>
      <c r="J4" s="148"/>
      <c r="K4" s="148"/>
      <c r="L4" s="148"/>
      <c r="N4" s="278">
        <v>2018</v>
      </c>
      <c r="O4" s="278">
        <v>1</v>
      </c>
      <c r="P4" s="623">
        <v>1</v>
      </c>
      <c r="Q4" s="727">
        <v>10.34</v>
      </c>
      <c r="R4" s="727">
        <v>4.4628571428571426</v>
      </c>
      <c r="S4" s="727">
        <v>140.04142857142858</v>
      </c>
      <c r="T4" s="727">
        <v>143.09</v>
      </c>
      <c r="U4" s="727">
        <v>20.63</v>
      </c>
      <c r="V4" s="727">
        <v>13</v>
      </c>
      <c r="W4" s="727">
        <v>1.64</v>
      </c>
      <c r="X4" s="727">
        <v>201.2428571428571</v>
      </c>
      <c r="Y4" s="727">
        <v>63.23</v>
      </c>
    </row>
    <row r="5" spans="1:25" ht="11.25" customHeight="1">
      <c r="A5" s="176"/>
      <c r="B5" s="176"/>
      <c r="C5" s="176"/>
      <c r="D5" s="176"/>
      <c r="E5" s="176"/>
      <c r="F5" s="176"/>
      <c r="G5" s="176"/>
      <c r="H5" s="176"/>
      <c r="I5" s="176"/>
      <c r="J5" s="24"/>
      <c r="K5" s="24"/>
      <c r="L5" s="131"/>
      <c r="P5" s="623">
        <v>2</v>
      </c>
      <c r="Q5" s="727">
        <v>13.730999947142859</v>
      </c>
      <c r="R5" s="727">
        <v>3.5944285392857145</v>
      </c>
      <c r="S5" s="727">
        <v>209.91800362857143</v>
      </c>
      <c r="T5" s="727">
        <v>160.98214394285716</v>
      </c>
      <c r="U5" s="727">
        <v>36.213856559999996</v>
      </c>
      <c r="V5" s="727">
        <v>11.774285724285715</v>
      </c>
      <c r="W5" s="727">
        <v>1.5914286031428568</v>
      </c>
      <c r="X5" s="727">
        <v>229.4250030571429</v>
      </c>
      <c r="Y5" s="727">
        <v>56.654285431428562</v>
      </c>
    </row>
    <row r="6" spans="1:25" ht="11.25" customHeight="1">
      <c r="A6" s="132"/>
      <c r="B6" s="293"/>
      <c r="C6" s="294"/>
      <c r="D6" s="295"/>
      <c r="E6" s="295"/>
      <c r="F6" s="177"/>
      <c r="G6" s="178"/>
      <c r="H6" s="178"/>
      <c r="I6" s="179"/>
      <c r="J6" s="24"/>
      <c r="K6" s="24"/>
      <c r="L6" s="19"/>
      <c r="P6" s="623">
        <v>3</v>
      </c>
      <c r="Q6" s="727">
        <v>15.983285902857142</v>
      </c>
      <c r="R6" s="727">
        <v>8.3045714242857152</v>
      </c>
      <c r="S6" s="727">
        <v>223.6645725857143</v>
      </c>
      <c r="T6" s="727">
        <v>190.44042751428574</v>
      </c>
      <c r="U6" s="727">
        <v>30.819142750000001</v>
      </c>
      <c r="V6" s="727">
        <v>11.857142857142858</v>
      </c>
      <c r="W6" s="727">
        <v>1.5814286125714285</v>
      </c>
      <c r="X6" s="727">
        <v>261.56357028571426</v>
      </c>
      <c r="Y6" s="727">
        <v>68.516428267142857</v>
      </c>
    </row>
    <row r="7" spans="1:25" ht="11.25" customHeight="1">
      <c r="A7" s="132"/>
      <c r="B7" s="180"/>
      <c r="C7" s="180"/>
      <c r="D7" s="181"/>
      <c r="E7" s="181"/>
      <c r="F7" s="177"/>
      <c r="G7" s="178"/>
      <c r="H7" s="178"/>
      <c r="I7" s="179"/>
      <c r="J7" s="25"/>
      <c r="K7" s="25"/>
      <c r="L7" s="22"/>
      <c r="P7" s="623">
        <v>4</v>
      </c>
      <c r="Q7" s="727">
        <v>21.988571574285714</v>
      </c>
      <c r="R7" s="727">
        <v>15.598142828000002</v>
      </c>
      <c r="S7" s="727">
        <v>346.88342720000003</v>
      </c>
      <c r="T7" s="727">
        <v>205.5832868285714</v>
      </c>
      <c r="U7" s="727">
        <v>40.893000467142862</v>
      </c>
      <c r="V7" s="727">
        <v>18.734285627142857</v>
      </c>
      <c r="W7" s="727">
        <v>1.5700000519999997</v>
      </c>
      <c r="X7" s="727">
        <v>261.98000009999998</v>
      </c>
      <c r="Y7" s="727">
        <v>58.935427530000005</v>
      </c>
    </row>
    <row r="8" spans="1:25" ht="11.25" customHeight="1">
      <c r="A8" s="132"/>
      <c r="B8" s="182"/>
      <c r="C8" s="132"/>
      <c r="D8" s="156"/>
      <c r="E8" s="156"/>
      <c r="F8" s="177"/>
      <c r="G8" s="178"/>
      <c r="H8" s="178"/>
      <c r="I8" s="179"/>
      <c r="J8" s="23"/>
      <c r="K8" s="23"/>
      <c r="L8" s="24"/>
      <c r="P8" s="623">
        <v>5</v>
      </c>
      <c r="Q8" s="727">
        <v>17.729000225714284</v>
      </c>
      <c r="R8" s="727">
        <v>13.724571365714285</v>
      </c>
      <c r="S8" s="727">
        <v>214.95928737142859</v>
      </c>
      <c r="T8" s="727">
        <v>93.607142857142861</v>
      </c>
      <c r="U8" s="727">
        <v>17.748285841428572</v>
      </c>
      <c r="V8" s="727">
        <v>23.390000208571426</v>
      </c>
      <c r="W8" s="727">
        <v>1.5700000519999997</v>
      </c>
      <c r="X8" s="727">
        <v>141.83571514285714</v>
      </c>
      <c r="Y8" s="727">
        <v>45.332857951428579</v>
      </c>
    </row>
    <row r="9" spans="1:25" ht="11.25" customHeight="1">
      <c r="A9" s="132"/>
      <c r="B9" s="182"/>
      <c r="C9" s="132"/>
      <c r="D9" s="156"/>
      <c r="E9" s="156"/>
      <c r="F9" s="177"/>
      <c r="G9" s="178"/>
      <c r="H9" s="178"/>
      <c r="I9" s="179"/>
      <c r="J9" s="25"/>
      <c r="K9" s="26"/>
      <c r="L9" s="22"/>
      <c r="P9" s="623">
        <v>6</v>
      </c>
      <c r="Q9" s="727">
        <v>13.582571572857143</v>
      </c>
      <c r="R9" s="727">
        <v>8.6634286477142854</v>
      </c>
      <c r="S9" s="727">
        <v>166.34242902857142</v>
      </c>
      <c r="T9" s="727">
        <v>108.25571334000001</v>
      </c>
      <c r="U9" s="727">
        <v>18.79157175142857</v>
      </c>
      <c r="V9" s="727">
        <v>20.201017107142857</v>
      </c>
      <c r="W9" s="727">
        <v>2.3694285491428571</v>
      </c>
      <c r="X9" s="727">
        <v>164.55714089999998</v>
      </c>
      <c r="Y9" s="727">
        <v>65.987571171428584</v>
      </c>
    </row>
    <row r="10" spans="1:25" ht="11.25" customHeight="1">
      <c r="A10" s="132"/>
      <c r="B10" s="182"/>
      <c r="C10" s="132"/>
      <c r="D10" s="156"/>
      <c r="E10" s="156"/>
      <c r="F10" s="177"/>
      <c r="G10" s="178"/>
      <c r="H10" s="178"/>
      <c r="I10" s="179"/>
      <c r="J10" s="25"/>
      <c r="K10" s="25"/>
      <c r="L10" s="22"/>
      <c r="P10" s="623">
        <v>7</v>
      </c>
      <c r="Q10" s="727">
        <v>14.722571237142859</v>
      </c>
      <c r="R10" s="727">
        <v>11.071428435428571</v>
      </c>
      <c r="S10" s="727">
        <v>239.50057330000001</v>
      </c>
      <c r="T10" s="727">
        <v>202.98199900000003</v>
      </c>
      <c r="U10" s="727">
        <v>42.088571821428573</v>
      </c>
      <c r="V10" s="727">
        <v>15.283185821428571</v>
      </c>
      <c r="W10" s="727">
        <v>3.1689999100000001</v>
      </c>
      <c r="X10" s="727">
        <v>355.31285748571423</v>
      </c>
      <c r="Y10" s="727">
        <v>97.722999031428586</v>
      </c>
    </row>
    <row r="11" spans="1:25" ht="11.25" customHeight="1">
      <c r="A11" s="132"/>
      <c r="B11" s="156"/>
      <c r="C11" s="132"/>
      <c r="D11" s="156"/>
      <c r="E11" s="156"/>
      <c r="F11" s="177"/>
      <c r="G11" s="178"/>
      <c r="H11" s="178"/>
      <c r="I11" s="179"/>
      <c r="J11" s="25"/>
      <c r="K11" s="25"/>
      <c r="L11" s="22"/>
      <c r="O11" s="278">
        <v>8</v>
      </c>
      <c r="P11" s="623">
        <v>8</v>
      </c>
      <c r="Q11" s="727">
        <v>18.48</v>
      </c>
      <c r="R11" s="727">
        <v>14.97</v>
      </c>
      <c r="S11" s="727">
        <v>357.61814662857148</v>
      </c>
      <c r="T11" s="727">
        <v>251.1</v>
      </c>
      <c r="U11" s="727">
        <v>43.74</v>
      </c>
      <c r="V11" s="727">
        <v>16.564</v>
      </c>
      <c r="W11" s="727">
        <v>3.16</v>
      </c>
      <c r="X11" s="727">
        <v>437.78</v>
      </c>
      <c r="Y11" s="727">
        <v>142.13</v>
      </c>
    </row>
    <row r="12" spans="1:25" ht="11.25" customHeight="1">
      <c r="A12" s="132"/>
      <c r="B12" s="156"/>
      <c r="C12" s="132"/>
      <c r="D12" s="156"/>
      <c r="E12" s="156"/>
      <c r="F12" s="177"/>
      <c r="G12" s="178"/>
      <c r="H12" s="178"/>
      <c r="I12" s="179"/>
      <c r="J12" s="25"/>
      <c r="K12" s="25"/>
      <c r="L12" s="22"/>
      <c r="P12" s="623">
        <v>9</v>
      </c>
      <c r="Q12" s="727">
        <v>21.652428627142854</v>
      </c>
      <c r="R12" s="727">
        <v>14.185285431142857</v>
      </c>
      <c r="S12" s="727">
        <v>333.90885488571433</v>
      </c>
      <c r="T12" s="727">
        <v>204.95843285714287</v>
      </c>
      <c r="U12" s="727">
        <v>31.755000522857138</v>
      </c>
      <c r="V12" s="727">
        <v>15.852976190476195</v>
      </c>
      <c r="W12" s="727">
        <v>3.1689999100000001</v>
      </c>
      <c r="X12" s="727">
        <v>424.14571271428576</v>
      </c>
      <c r="Y12" s="727">
        <v>142.13857270714286</v>
      </c>
    </row>
    <row r="13" spans="1:25" ht="11.25" customHeight="1">
      <c r="A13" s="132"/>
      <c r="B13" s="156"/>
      <c r="C13" s="132"/>
      <c r="D13" s="156"/>
      <c r="E13" s="156"/>
      <c r="F13" s="177"/>
      <c r="G13" s="178"/>
      <c r="H13" s="178"/>
      <c r="I13" s="179"/>
      <c r="J13" s="23"/>
      <c r="K13" s="23"/>
      <c r="L13" s="24"/>
      <c r="P13" s="623">
        <v>10</v>
      </c>
      <c r="Q13" s="727">
        <v>30.272714344285713</v>
      </c>
      <c r="R13" s="727">
        <v>17.434571538571429</v>
      </c>
      <c r="S13" s="727">
        <v>431.64157101428572</v>
      </c>
      <c r="T13" s="727">
        <v>177.15485925714287</v>
      </c>
      <c r="U13" s="727">
        <v>31.196571622857142</v>
      </c>
      <c r="V13" s="727">
        <v>14.442</v>
      </c>
      <c r="W13" s="727">
        <v>4.7437142644285712</v>
      </c>
      <c r="X13" s="727">
        <v>293.69142804285718</v>
      </c>
      <c r="Y13" s="727">
        <v>72.30971418</v>
      </c>
    </row>
    <row r="14" spans="1:25" ht="11.25" customHeight="1">
      <c r="A14" s="132"/>
      <c r="B14" s="156"/>
      <c r="C14" s="132"/>
      <c r="D14" s="156"/>
      <c r="E14" s="156"/>
      <c r="F14" s="177"/>
      <c r="G14" s="178"/>
      <c r="H14" s="178"/>
      <c r="I14" s="179"/>
      <c r="J14" s="25"/>
      <c r="K14" s="26"/>
      <c r="L14" s="22"/>
      <c r="P14" s="623">
        <v>11</v>
      </c>
      <c r="Q14" s="727">
        <v>28.071857179999999</v>
      </c>
      <c r="R14" s="727">
        <v>17.048571724285715</v>
      </c>
      <c r="S14" s="727">
        <v>485.98543439999997</v>
      </c>
      <c r="T14" s="727">
        <v>169.375</v>
      </c>
      <c r="U14" s="727">
        <v>52.626284462857136</v>
      </c>
      <c r="V14" s="727">
        <v>18.273</v>
      </c>
      <c r="W14" s="727">
        <v>3.0879999738571429</v>
      </c>
      <c r="X14" s="727">
        <v>511.54500034285724</v>
      </c>
      <c r="Y14" s="727">
        <v>119.7894287057143</v>
      </c>
    </row>
    <row r="15" spans="1:25" ht="11.25" customHeight="1">
      <c r="A15" s="132"/>
      <c r="B15" s="156"/>
      <c r="C15" s="132"/>
      <c r="D15" s="156"/>
      <c r="E15" s="156"/>
      <c r="F15" s="177"/>
      <c r="G15" s="178"/>
      <c r="H15" s="178"/>
      <c r="I15" s="179"/>
      <c r="J15" s="25"/>
      <c r="K15" s="26"/>
      <c r="L15" s="22"/>
      <c r="P15" s="623">
        <v>12</v>
      </c>
      <c r="Q15" s="727">
        <v>29.90999984714286</v>
      </c>
      <c r="R15" s="727">
        <v>21.62</v>
      </c>
      <c r="S15" s="727">
        <v>465.24414497142863</v>
      </c>
      <c r="T15" s="727">
        <v>201.58328465714288</v>
      </c>
      <c r="U15" s="727">
        <v>57.669144221428567</v>
      </c>
      <c r="V15" s="727">
        <v>23.244</v>
      </c>
      <c r="W15" s="727">
        <v>4.5095714328571432</v>
      </c>
      <c r="X15" s="727">
        <v>433.89143152857145</v>
      </c>
      <c r="Y15" s="727">
        <v>152.80443028571429</v>
      </c>
    </row>
    <row r="16" spans="1:25" ht="11.25" customHeight="1">
      <c r="A16" s="132"/>
      <c r="B16" s="156"/>
      <c r="C16" s="132"/>
      <c r="D16" s="156"/>
      <c r="E16" s="156"/>
      <c r="F16" s="177"/>
      <c r="G16" s="178"/>
      <c r="H16" s="178"/>
      <c r="I16" s="179"/>
      <c r="J16" s="25"/>
      <c r="K16" s="26"/>
      <c r="L16" s="22"/>
      <c r="P16" s="623">
        <v>13</v>
      </c>
      <c r="Q16" s="727">
        <v>28.360142844285718</v>
      </c>
      <c r="R16" s="727">
        <v>17.439428465714283</v>
      </c>
      <c r="S16" s="727">
        <v>396.37686155714289</v>
      </c>
      <c r="T16" s="727">
        <v>163.75585502857143</v>
      </c>
      <c r="U16" s="727">
        <v>35.725570951428573</v>
      </c>
      <c r="V16" s="727">
        <v>23.143392837142859</v>
      </c>
      <c r="W16" s="727">
        <v>3.3929999999999998</v>
      </c>
      <c r="X16" s="727">
        <v>281.79928587142859</v>
      </c>
      <c r="Y16" s="727">
        <v>107.32928468714286</v>
      </c>
    </row>
    <row r="17" spans="1:25" ht="11.25" customHeight="1">
      <c r="A17" s="132"/>
      <c r="B17" s="156"/>
      <c r="C17" s="132"/>
      <c r="D17" s="156"/>
      <c r="E17" s="156"/>
      <c r="F17" s="177"/>
      <c r="G17" s="178"/>
      <c r="H17" s="178"/>
      <c r="I17" s="179"/>
      <c r="J17" s="25"/>
      <c r="K17" s="26"/>
      <c r="L17" s="22"/>
      <c r="P17" s="623">
        <v>14</v>
      </c>
      <c r="Q17" s="727">
        <v>23.830285752857144</v>
      </c>
      <c r="R17" s="727">
        <v>12.833285604571429</v>
      </c>
      <c r="S17" s="727">
        <v>226.32643345714288</v>
      </c>
      <c r="T17" s="727">
        <v>133.53585814285714</v>
      </c>
      <c r="U17" s="727">
        <v>28.622000282857147</v>
      </c>
      <c r="V17" s="727">
        <v>19.16</v>
      </c>
      <c r="W17" s="727">
        <v>1.736</v>
      </c>
      <c r="X17" s="727">
        <v>176.23214502857144</v>
      </c>
      <c r="Y17" s="727">
        <v>80.936570849999995</v>
      </c>
    </row>
    <row r="18" spans="1:25" ht="11.25" customHeight="1">
      <c r="A18" s="883" t="s">
        <v>509</v>
      </c>
      <c r="B18" s="883"/>
      <c r="C18" s="883"/>
      <c r="D18" s="883"/>
      <c r="E18" s="883"/>
      <c r="F18" s="883"/>
      <c r="G18" s="883"/>
      <c r="H18" s="883"/>
      <c r="I18" s="883"/>
      <c r="J18" s="883"/>
      <c r="K18" s="883"/>
      <c r="L18" s="883"/>
      <c r="P18" s="623">
        <v>15</v>
      </c>
      <c r="Q18" s="727">
        <v>27</v>
      </c>
      <c r="R18" s="727">
        <v>15.571285655714286</v>
      </c>
      <c r="S18" s="727">
        <v>207.40800040000002</v>
      </c>
      <c r="T18" s="727">
        <v>107.59514291428572</v>
      </c>
      <c r="U18" s="727">
        <v>30.753999982857145</v>
      </c>
      <c r="V18" s="727">
        <v>14.377143042857142</v>
      </c>
      <c r="W18" s="727">
        <v>1.8612856864285716</v>
      </c>
      <c r="X18" s="727">
        <v>130.09</v>
      </c>
      <c r="Y18" s="727">
        <v>42.693143572857146</v>
      </c>
    </row>
    <row r="19" spans="1:25" ht="11.25" customHeight="1">
      <c r="A19" s="25"/>
      <c r="B19" s="156"/>
      <c r="C19" s="132"/>
      <c r="D19" s="156"/>
      <c r="E19" s="156"/>
      <c r="F19" s="177"/>
      <c r="G19" s="178"/>
      <c r="H19" s="178"/>
      <c r="I19" s="179"/>
      <c r="J19" s="25"/>
      <c r="K19" s="26"/>
      <c r="L19" s="22"/>
      <c r="O19" s="278">
        <v>16</v>
      </c>
      <c r="P19" s="623">
        <v>16</v>
      </c>
      <c r="Q19" s="727">
        <v>19.899999999999999</v>
      </c>
      <c r="R19" s="727">
        <v>12.83</v>
      </c>
      <c r="S19" s="727">
        <v>166.38871437142856</v>
      </c>
      <c r="T19" s="727">
        <v>95.78</v>
      </c>
      <c r="U19" s="727">
        <v>29.88</v>
      </c>
      <c r="V19" s="727">
        <v>12.36</v>
      </c>
      <c r="W19" s="727">
        <v>1.9</v>
      </c>
      <c r="X19" s="727">
        <v>96.9</v>
      </c>
      <c r="Y19" s="727">
        <v>33.717142651428574</v>
      </c>
    </row>
    <row r="20" spans="1:25" ht="11.25" customHeight="1">
      <c r="A20" s="132"/>
      <c r="B20" s="156"/>
      <c r="C20" s="132"/>
      <c r="D20" s="156"/>
      <c r="E20" s="156"/>
      <c r="F20" s="177"/>
      <c r="G20" s="178"/>
      <c r="H20" s="178"/>
      <c r="I20" s="179"/>
      <c r="J20" s="25"/>
      <c r="K20" s="26"/>
      <c r="L20" s="22"/>
      <c r="P20" s="623">
        <v>17</v>
      </c>
      <c r="Q20" s="727">
        <v>19.14</v>
      </c>
      <c r="R20" s="727">
        <v>13.52</v>
      </c>
      <c r="S20" s="727">
        <v>168.19342804285716</v>
      </c>
      <c r="T20" s="727">
        <v>95.39</v>
      </c>
      <c r="U20" s="727">
        <v>22.257285525714284</v>
      </c>
      <c r="V20" s="727">
        <v>13.4</v>
      </c>
      <c r="W20" s="727">
        <v>1.7940000124285713</v>
      </c>
      <c r="X20" s="727">
        <v>89.59</v>
      </c>
      <c r="Y20" s="727">
        <v>27.06</v>
      </c>
    </row>
    <row r="21" spans="1:25" ht="11.25" customHeight="1">
      <c r="A21" s="132"/>
      <c r="B21" s="156"/>
      <c r="C21" s="132"/>
      <c r="D21" s="156"/>
      <c r="E21" s="156"/>
      <c r="F21" s="177"/>
      <c r="G21" s="178"/>
      <c r="H21" s="178"/>
      <c r="I21" s="179"/>
      <c r="J21" s="25"/>
      <c r="K21" s="29"/>
      <c r="L21" s="30"/>
      <c r="P21" s="623">
        <v>18</v>
      </c>
      <c r="Q21" s="727">
        <v>19.703571455714286</v>
      </c>
      <c r="R21" s="727">
        <v>14.166857039571427</v>
      </c>
      <c r="S21" s="727">
        <v>171.5428597714286</v>
      </c>
      <c r="T21" s="727">
        <v>85.958285739999994</v>
      </c>
      <c r="U21" s="727">
        <v>21.651714052857141</v>
      </c>
      <c r="V21" s="727">
        <v>12.785805702857145</v>
      </c>
      <c r="W21" s="727">
        <v>2.3024285860000004</v>
      </c>
      <c r="X21" s="727">
        <v>89.602142331428567</v>
      </c>
      <c r="Y21" s="727">
        <v>22.269714081428571</v>
      </c>
    </row>
    <row r="22" spans="1:25" ht="11.25" customHeight="1">
      <c r="A22" s="137"/>
      <c r="B22" s="156"/>
      <c r="C22" s="132"/>
      <c r="D22" s="156"/>
      <c r="E22" s="156"/>
      <c r="F22" s="177"/>
      <c r="G22" s="178"/>
      <c r="H22" s="178"/>
      <c r="I22" s="179"/>
      <c r="J22" s="25"/>
      <c r="K22" s="26"/>
      <c r="L22" s="22"/>
      <c r="P22" s="623">
        <v>19</v>
      </c>
      <c r="Q22" s="727">
        <v>15.48828561</v>
      </c>
      <c r="R22" s="727">
        <v>12.650857108142857</v>
      </c>
      <c r="S22" s="727">
        <v>146.54485865714287</v>
      </c>
      <c r="T22" s="727">
        <v>88.244000028571435</v>
      </c>
      <c r="U22" s="727">
        <v>19.037142890000002</v>
      </c>
      <c r="V22" s="727">
        <v>11.328391347142857</v>
      </c>
      <c r="W22" s="727">
        <v>1.8057142665714285</v>
      </c>
      <c r="X22" s="727">
        <v>75.568572998571426</v>
      </c>
      <c r="Y22" s="727">
        <v>17.565999711428571</v>
      </c>
    </row>
    <row r="23" spans="1:25" ht="11.25" customHeight="1">
      <c r="A23" s="137"/>
      <c r="B23" s="156"/>
      <c r="C23" s="132"/>
      <c r="D23" s="156"/>
      <c r="E23" s="156"/>
      <c r="F23" s="177"/>
      <c r="G23" s="178"/>
      <c r="H23" s="178"/>
      <c r="I23" s="179"/>
      <c r="J23" s="25"/>
      <c r="K23" s="26"/>
      <c r="L23" s="22"/>
      <c r="P23" s="623">
        <v>20</v>
      </c>
      <c r="Q23" s="727">
        <v>14.601142882857145</v>
      </c>
      <c r="R23" s="727">
        <v>10.013285772</v>
      </c>
      <c r="S23" s="727">
        <v>112.76242937142857</v>
      </c>
      <c r="T23" s="727">
        <v>64.809571402857145</v>
      </c>
      <c r="U23" s="727">
        <v>16.531571660000001</v>
      </c>
      <c r="V23" s="727">
        <v>10.899261474285714</v>
      </c>
      <c r="W23" s="727">
        <v>1.7767143248571429</v>
      </c>
      <c r="X23" s="727">
        <v>62.208570752857149</v>
      </c>
      <c r="Y23" s="727">
        <v>14.502285821428572</v>
      </c>
    </row>
    <row r="24" spans="1:25" ht="11.25" customHeight="1">
      <c r="A24" s="137"/>
      <c r="B24" s="156"/>
      <c r="C24" s="132"/>
      <c r="D24" s="156"/>
      <c r="E24" s="156"/>
      <c r="F24" s="177"/>
      <c r="G24" s="178"/>
      <c r="H24" s="178"/>
      <c r="I24" s="179"/>
      <c r="J24" s="26"/>
      <c r="K24" s="26"/>
      <c r="L24" s="22"/>
      <c r="P24" s="623">
        <v>21</v>
      </c>
      <c r="Q24" s="727">
        <v>13.411285537142858</v>
      </c>
      <c r="R24" s="727">
        <v>7.8631429672857154</v>
      </c>
      <c r="S24" s="727">
        <v>94.636570517142857</v>
      </c>
      <c r="T24" s="727">
        <v>49.303714208571428</v>
      </c>
      <c r="U24" s="727">
        <v>13.450571468571427</v>
      </c>
      <c r="V24" s="727">
        <v>11.166911400000002</v>
      </c>
      <c r="W24" s="727">
        <v>1.8437143055714282</v>
      </c>
      <c r="X24" s="727">
        <v>54.38714218285714</v>
      </c>
      <c r="Y24" s="727">
        <v>12.214999879999999</v>
      </c>
    </row>
    <row r="25" spans="1:25" ht="11.25" customHeight="1">
      <c r="A25" s="137"/>
      <c r="B25" s="156"/>
      <c r="C25" s="132"/>
      <c r="D25" s="156"/>
      <c r="E25" s="156"/>
      <c r="F25" s="177"/>
      <c r="G25" s="178"/>
      <c r="H25" s="178"/>
      <c r="I25" s="179"/>
      <c r="J25" s="25"/>
      <c r="K25" s="29"/>
      <c r="L25" s="30"/>
      <c r="P25" s="623">
        <v>22</v>
      </c>
      <c r="Q25" s="727">
        <v>12.490285737142855</v>
      </c>
      <c r="R25" s="727">
        <v>6.4215714250000007</v>
      </c>
      <c r="S25" s="727">
        <v>81.718714031428576</v>
      </c>
      <c r="T25" s="727">
        <v>42.928571428571431</v>
      </c>
      <c r="U25" s="727">
        <v>11.897571562857141</v>
      </c>
      <c r="V25" s="727">
        <v>10.57333578442857</v>
      </c>
      <c r="W25" s="727">
        <v>1.8770000252857142</v>
      </c>
      <c r="X25" s="727">
        <v>48.837857382857138</v>
      </c>
      <c r="Y25" s="727">
        <v>10.894571441428569</v>
      </c>
    </row>
    <row r="26" spans="1:25" ht="11.25" customHeight="1">
      <c r="A26" s="137"/>
      <c r="B26" s="156"/>
      <c r="C26" s="132"/>
      <c r="D26" s="156"/>
      <c r="E26" s="156"/>
      <c r="F26" s="138"/>
      <c r="G26" s="138"/>
      <c r="H26" s="138"/>
      <c r="I26" s="138"/>
      <c r="J26" s="23"/>
      <c r="K26" s="26"/>
      <c r="L26" s="22"/>
      <c r="P26" s="623">
        <v>23</v>
      </c>
      <c r="Q26" s="727">
        <v>12.278000014285713</v>
      </c>
      <c r="R26" s="727">
        <v>5.5577142921428564</v>
      </c>
      <c r="S26" s="727">
        <v>83.760285512857152</v>
      </c>
      <c r="T26" s="727">
        <v>67.797571451428567</v>
      </c>
      <c r="U26" s="727">
        <v>15.801714215714284</v>
      </c>
      <c r="V26" s="727">
        <v>11.341294289999999</v>
      </c>
      <c r="W26" s="727">
        <v>1.7928571701428571</v>
      </c>
      <c r="X26" s="727">
        <v>58.175000328571436</v>
      </c>
      <c r="Y26" s="727">
        <v>13.860571451428571</v>
      </c>
    </row>
    <row r="27" spans="1:25" ht="11.25" customHeight="1">
      <c r="A27" s="137"/>
      <c r="B27" s="156"/>
      <c r="C27" s="132"/>
      <c r="D27" s="156"/>
      <c r="E27" s="156"/>
      <c r="F27" s="138"/>
      <c r="G27" s="138"/>
      <c r="H27" s="138"/>
      <c r="I27" s="138"/>
      <c r="J27" s="23"/>
      <c r="K27" s="26"/>
      <c r="L27" s="22"/>
      <c r="O27" s="278">
        <v>24</v>
      </c>
      <c r="P27" s="623">
        <v>24</v>
      </c>
      <c r="Q27" s="727">
        <v>10.882714271142857</v>
      </c>
      <c r="R27" s="727">
        <v>5.3317142215714286</v>
      </c>
      <c r="S27" s="727">
        <v>82.799001421428557</v>
      </c>
      <c r="T27" s="727">
        <v>63.982142857142854</v>
      </c>
      <c r="U27" s="727">
        <v>15.595999989999999</v>
      </c>
      <c r="V27" s="727">
        <v>11.96411841142857</v>
      </c>
      <c r="W27" s="727">
        <v>2.0252857377142854</v>
      </c>
      <c r="X27" s="727">
        <v>61.988572801428582</v>
      </c>
      <c r="Y27" s="727">
        <v>13.392856871428572</v>
      </c>
    </row>
    <row r="28" spans="1:25" ht="11.25" customHeight="1">
      <c r="A28" s="136"/>
      <c r="B28" s="138"/>
      <c r="C28" s="138"/>
      <c r="D28" s="138"/>
      <c r="E28" s="138"/>
      <c r="F28" s="138"/>
      <c r="G28" s="138"/>
      <c r="H28" s="138"/>
      <c r="I28" s="138"/>
      <c r="J28" s="25"/>
      <c r="K28" s="26"/>
      <c r="L28" s="22"/>
      <c r="P28" s="623">
        <v>25</v>
      </c>
      <c r="Q28" s="727">
        <v>10.290999957142857</v>
      </c>
      <c r="R28" s="727">
        <v>3.7498572211428569</v>
      </c>
      <c r="S28" s="727">
        <v>74.093855721428568</v>
      </c>
      <c r="T28" s="727">
        <v>53.035571505714287</v>
      </c>
      <c r="U28" s="727">
        <v>14.135857038571428</v>
      </c>
      <c r="V28" s="727">
        <v>11.79</v>
      </c>
      <c r="W28" s="727">
        <v>2.0514285564285717</v>
      </c>
      <c r="X28" s="727">
        <v>51.970714024285719</v>
      </c>
      <c r="Y28" s="727">
        <v>10.749428476857142</v>
      </c>
    </row>
    <row r="29" spans="1:25" ht="11.25" customHeight="1">
      <c r="A29" s="136"/>
      <c r="B29" s="138"/>
      <c r="C29" s="138"/>
      <c r="D29" s="138"/>
      <c r="E29" s="138"/>
      <c r="F29" s="138"/>
      <c r="G29" s="138"/>
      <c r="H29" s="138"/>
      <c r="I29" s="138"/>
      <c r="J29" s="25"/>
      <c r="K29" s="26"/>
      <c r="L29" s="22"/>
      <c r="P29" s="623">
        <v>26</v>
      </c>
      <c r="Q29" s="727">
        <v>9.5591429302857147</v>
      </c>
      <c r="R29" s="727">
        <v>3.5651427677142853</v>
      </c>
      <c r="S29" s="727">
        <v>66.795142037142867</v>
      </c>
      <c r="T29" s="727">
        <v>40.369000025714286</v>
      </c>
      <c r="U29" s="727">
        <v>10.912428581428573</v>
      </c>
      <c r="V29" s="727">
        <v>10.93</v>
      </c>
      <c r="W29" s="727">
        <v>2.1038571597142854</v>
      </c>
      <c r="X29" s="727">
        <v>44.390714371428579</v>
      </c>
      <c r="Y29" s="727">
        <v>9.1145714351428584</v>
      </c>
    </row>
    <row r="30" spans="1:25" ht="11.25" customHeight="1">
      <c r="A30" s="136"/>
      <c r="B30" s="138"/>
      <c r="C30" s="138"/>
      <c r="D30" s="138"/>
      <c r="E30" s="138"/>
      <c r="F30" s="138"/>
      <c r="G30" s="138"/>
      <c r="H30" s="138"/>
      <c r="I30" s="138"/>
      <c r="J30" s="25"/>
      <c r="K30" s="26"/>
      <c r="L30" s="22"/>
      <c r="P30" s="623">
        <v>27</v>
      </c>
      <c r="Q30" s="727">
        <v>9.3137141635714293</v>
      </c>
      <c r="R30" s="727">
        <v>4.7600000245714282</v>
      </c>
      <c r="S30" s="727">
        <v>67.368571689999996</v>
      </c>
      <c r="T30" s="727">
        <v>33.409999999999997</v>
      </c>
      <c r="U30" s="727">
        <v>9.4035714009999989</v>
      </c>
      <c r="V30" s="727">
        <v>12.51</v>
      </c>
      <c r="W30" s="727">
        <v>2.0499999999999998</v>
      </c>
      <c r="X30" s="727">
        <v>39.173571994285716</v>
      </c>
      <c r="Y30" s="727">
        <v>7.6487142698571438</v>
      </c>
    </row>
    <row r="31" spans="1:25" ht="11.25" customHeight="1">
      <c r="A31" s="136"/>
      <c r="B31" s="138"/>
      <c r="C31" s="138"/>
      <c r="D31" s="138"/>
      <c r="E31" s="138"/>
      <c r="F31" s="138"/>
      <c r="G31" s="138"/>
      <c r="H31" s="138"/>
      <c r="I31" s="138"/>
      <c r="J31" s="25"/>
      <c r="K31" s="26"/>
      <c r="L31" s="22"/>
      <c r="P31" s="623">
        <v>28</v>
      </c>
      <c r="Q31" s="727">
        <v>8.7544284548571447</v>
      </c>
      <c r="R31" s="727">
        <v>2.5707143034285713</v>
      </c>
      <c r="S31" s="727">
        <v>65.073571887142847</v>
      </c>
      <c r="T31" s="727">
        <v>33.160714285714285</v>
      </c>
      <c r="U31" s="727">
        <v>9.4155716217142871</v>
      </c>
      <c r="V31" s="727">
        <v>12.3</v>
      </c>
      <c r="W31" s="727">
        <v>2.2505714212857142</v>
      </c>
      <c r="X31" s="727">
        <v>36.999285560000011</v>
      </c>
      <c r="Y31" s="727">
        <v>7.0544285774285713</v>
      </c>
    </row>
    <row r="32" spans="1:25" ht="11.25" customHeight="1">
      <c r="A32" s="136"/>
      <c r="B32" s="138"/>
      <c r="C32" s="138"/>
      <c r="D32" s="138"/>
      <c r="E32" s="138"/>
      <c r="F32" s="138"/>
      <c r="G32" s="138"/>
      <c r="H32" s="138"/>
      <c r="I32" s="138"/>
      <c r="J32" s="26"/>
      <c r="K32" s="26"/>
      <c r="L32" s="22"/>
      <c r="P32" s="623">
        <v>29</v>
      </c>
      <c r="Q32" s="727">
        <v>8.6149000000000004</v>
      </c>
      <c r="R32" s="727">
        <v>3.7006000000000001</v>
      </c>
      <c r="S32" s="727">
        <v>62.515714285714289</v>
      </c>
      <c r="T32" s="727">
        <v>35.738</v>
      </c>
      <c r="U32" s="727">
        <v>9.5503999999999998</v>
      </c>
      <c r="V32" s="727">
        <v>12.245714285714286</v>
      </c>
      <c r="W32" s="727">
        <v>1.9771428571428571</v>
      </c>
      <c r="X32" s="727">
        <v>38.677142857142861</v>
      </c>
      <c r="Y32" s="727">
        <v>6.3400000000000007</v>
      </c>
    </row>
    <row r="33" spans="1:25" ht="11.25" customHeight="1">
      <c r="A33" s="136"/>
      <c r="B33" s="138"/>
      <c r="C33" s="138"/>
      <c r="D33" s="138"/>
      <c r="E33" s="138"/>
      <c r="F33" s="138"/>
      <c r="G33" s="138"/>
      <c r="H33" s="138"/>
      <c r="I33" s="138"/>
      <c r="J33" s="25"/>
      <c r="K33" s="26"/>
      <c r="L33" s="22"/>
      <c r="P33" s="623">
        <v>30</v>
      </c>
      <c r="Q33" s="727">
        <v>8.1221428598571439</v>
      </c>
      <c r="R33" s="727">
        <v>4.9111429789999992</v>
      </c>
      <c r="S33" s="727">
        <v>57.148857115714286</v>
      </c>
      <c r="T33" s="727">
        <v>85.065429679999994</v>
      </c>
      <c r="U33" s="727">
        <v>15.534142631428571</v>
      </c>
      <c r="V33" s="727">
        <v>10.995952741142858</v>
      </c>
      <c r="W33" s="727">
        <v>2.2859999964285715</v>
      </c>
      <c r="X33" s="727">
        <v>56.166428702857139</v>
      </c>
      <c r="Y33" s="727">
        <v>9.4385714285714304</v>
      </c>
    </row>
    <row r="34" spans="1:25" ht="11.25" customHeight="1">
      <c r="A34" s="136"/>
      <c r="B34" s="138"/>
      <c r="C34" s="138"/>
      <c r="D34" s="138"/>
      <c r="E34" s="138"/>
      <c r="F34" s="138"/>
      <c r="G34" s="138"/>
      <c r="H34" s="138"/>
      <c r="I34" s="138"/>
      <c r="J34" s="25"/>
      <c r="K34" s="34"/>
      <c r="L34" s="22"/>
      <c r="P34" s="623">
        <v>31</v>
      </c>
      <c r="Q34" s="727">
        <v>7.5620000000000003</v>
      </c>
      <c r="R34" s="727">
        <v>3.28</v>
      </c>
      <c r="S34" s="727">
        <v>58.768000000000001</v>
      </c>
      <c r="T34" s="727">
        <v>40.375</v>
      </c>
      <c r="U34" s="727">
        <v>8.5579999999999998</v>
      </c>
      <c r="V34" s="727">
        <v>13.18</v>
      </c>
      <c r="W34" s="727">
        <v>2</v>
      </c>
      <c r="X34" s="727">
        <v>50.215000000000003</v>
      </c>
      <c r="Y34" s="727">
        <v>8.5770238095238049</v>
      </c>
    </row>
    <row r="35" spans="1:25" ht="11.25" customHeight="1">
      <c r="A35" s="136"/>
      <c r="B35" s="138"/>
      <c r="C35" s="138"/>
      <c r="D35" s="138"/>
      <c r="E35" s="138"/>
      <c r="F35" s="138"/>
      <c r="G35" s="138"/>
      <c r="H35" s="138"/>
      <c r="I35" s="138"/>
      <c r="J35" s="25"/>
      <c r="K35" s="34"/>
      <c r="L35" s="38"/>
      <c r="O35" s="278">
        <v>32</v>
      </c>
      <c r="P35" s="623">
        <v>32</v>
      </c>
      <c r="Q35" s="727">
        <v>8.4994284765714276</v>
      </c>
      <c r="R35" s="727">
        <v>4.8781427315714287</v>
      </c>
      <c r="S35" s="727">
        <v>54.703428540000004</v>
      </c>
      <c r="T35" s="727">
        <v>52.946428571428569</v>
      </c>
      <c r="U35" s="727">
        <v>10.739857128857144</v>
      </c>
      <c r="V35" s="727">
        <v>10.850328444285712</v>
      </c>
      <c r="W35" s="727">
        <v>2.0667142697142857</v>
      </c>
      <c r="X35" s="727">
        <v>50.460713522857141</v>
      </c>
      <c r="Y35" s="727">
        <v>9.7962856299999999</v>
      </c>
    </row>
    <row r="36" spans="1:25" ht="11.25" customHeight="1">
      <c r="A36" s="136"/>
      <c r="B36" s="138"/>
      <c r="C36" s="138"/>
      <c r="D36" s="138"/>
      <c r="E36" s="138"/>
      <c r="F36" s="138"/>
      <c r="G36" s="138"/>
      <c r="H36" s="138"/>
      <c r="I36" s="138"/>
      <c r="J36" s="25"/>
      <c r="K36" s="29"/>
      <c r="L36" s="22"/>
      <c r="P36" s="623">
        <v>33</v>
      </c>
      <c r="Q36" s="727">
        <v>7.8117142411428571</v>
      </c>
      <c r="R36" s="727">
        <v>4.5999999999999996</v>
      </c>
      <c r="S36" s="727">
        <v>59.066285269999995</v>
      </c>
      <c r="T36" s="727">
        <v>47.13</v>
      </c>
      <c r="U36" s="727">
        <v>9.23</v>
      </c>
      <c r="V36" s="727">
        <v>10.84</v>
      </c>
      <c r="W36" s="727">
        <v>2.0499999999999998</v>
      </c>
      <c r="X36" s="727">
        <v>44.64</v>
      </c>
      <c r="Y36" s="727">
        <v>8.7822855541428577</v>
      </c>
    </row>
    <row r="37" spans="1:25" ht="11.25" customHeight="1">
      <c r="A37" s="136"/>
      <c r="B37" s="138"/>
      <c r="C37" s="138"/>
      <c r="D37" s="138"/>
      <c r="E37" s="138"/>
      <c r="F37" s="138"/>
      <c r="G37" s="138"/>
      <c r="H37" s="138"/>
      <c r="I37" s="138"/>
      <c r="J37" s="25"/>
      <c r="K37" s="29"/>
      <c r="L37" s="22"/>
      <c r="P37" s="623">
        <v>34</v>
      </c>
      <c r="Q37" s="727">
        <v>6.44</v>
      </c>
      <c r="R37" s="727">
        <v>5.1568571165714285</v>
      </c>
      <c r="S37" s="727">
        <v>82.033571515714272</v>
      </c>
      <c r="T37" s="727">
        <v>63.892999920000001</v>
      </c>
      <c r="U37" s="727">
        <v>10.917285918714287</v>
      </c>
      <c r="V37" s="727">
        <v>10.534582955714285</v>
      </c>
      <c r="W37" s="727">
        <v>1.8788571358571429</v>
      </c>
      <c r="X37" s="727">
        <v>35.627857751428571</v>
      </c>
      <c r="Y37" s="727">
        <v>11.383714402571428</v>
      </c>
    </row>
    <row r="38" spans="1:25" ht="11.25" customHeight="1">
      <c r="A38" s="136"/>
      <c r="B38" s="138"/>
      <c r="C38" s="138"/>
      <c r="D38" s="138"/>
      <c r="E38" s="138"/>
      <c r="F38" s="138"/>
      <c r="G38" s="138"/>
      <c r="H38" s="138"/>
      <c r="I38" s="138"/>
      <c r="J38" s="25"/>
      <c r="K38" s="29"/>
      <c r="L38" s="22"/>
      <c r="P38" s="623">
        <v>35</v>
      </c>
      <c r="Q38" s="727">
        <v>7.5428571428571427</v>
      </c>
      <c r="R38" s="727">
        <v>2.15</v>
      </c>
      <c r="S38" s="727">
        <v>71.48</v>
      </c>
      <c r="T38" s="727">
        <v>45.64</v>
      </c>
      <c r="U38" s="727">
        <v>9.4700000000000006</v>
      </c>
      <c r="V38" s="727">
        <v>10.92</v>
      </c>
      <c r="W38" s="727">
        <v>1.88</v>
      </c>
      <c r="X38" s="727">
        <v>32.979999999999997</v>
      </c>
      <c r="Y38" s="727">
        <v>7.88</v>
      </c>
    </row>
    <row r="39" spans="1:25" ht="11.25" customHeight="1">
      <c r="P39" s="623">
        <v>36</v>
      </c>
      <c r="Q39" s="727">
        <v>7.1671427998571433</v>
      </c>
      <c r="R39" s="727">
        <v>4.8342857142857136</v>
      </c>
      <c r="S39" s="727">
        <v>63.092857142857149</v>
      </c>
      <c r="T39" s="727">
        <v>34.571428571428569</v>
      </c>
      <c r="U39" s="727">
        <v>7.5942857142857134</v>
      </c>
      <c r="V39" s="727">
        <v>11.091428571428571</v>
      </c>
      <c r="W39" s="727">
        <v>1.8442857142857143</v>
      </c>
      <c r="X39" s="727">
        <v>31.20428571428571</v>
      </c>
      <c r="Y39" s="727">
        <v>8.0857142857142854</v>
      </c>
    </row>
    <row r="40" spans="1:25" ht="11.25" customHeight="1">
      <c r="A40" s="883" t="s">
        <v>510</v>
      </c>
      <c r="B40" s="883"/>
      <c r="C40" s="883"/>
      <c r="D40" s="883"/>
      <c r="E40" s="883"/>
      <c r="F40" s="883"/>
      <c r="G40" s="883"/>
      <c r="H40" s="883"/>
      <c r="I40" s="883"/>
      <c r="J40" s="883"/>
      <c r="K40" s="883"/>
      <c r="L40" s="883"/>
      <c r="P40" s="623">
        <v>37</v>
      </c>
      <c r="Q40" s="727">
        <v>7.1637143408571422</v>
      </c>
      <c r="R40" s="727">
        <v>3.1535714688571423</v>
      </c>
      <c r="S40" s="727">
        <v>61.141713821428574</v>
      </c>
      <c r="T40" s="727">
        <v>28.744000025714286</v>
      </c>
      <c r="U40" s="727">
        <v>6.5637142318571433</v>
      </c>
      <c r="V40" s="727">
        <v>10.825238499999999</v>
      </c>
      <c r="W40" s="727">
        <v>1.8114285809999999</v>
      </c>
      <c r="X40" s="727">
        <v>29.614285605714283</v>
      </c>
      <c r="Y40" s="727">
        <v>8.6452856064285708</v>
      </c>
    </row>
    <row r="41" spans="1:25" ht="11.25" customHeight="1">
      <c r="P41" s="623">
        <v>38</v>
      </c>
      <c r="Q41" s="727">
        <v>8.31</v>
      </c>
      <c r="R41" s="727">
        <v>3.3441428289999995</v>
      </c>
      <c r="S41" s="727">
        <v>49.664428712857145</v>
      </c>
      <c r="T41" s="727">
        <v>35.571571351428574</v>
      </c>
      <c r="U41" s="727">
        <v>7.2939999444285712</v>
      </c>
      <c r="V41" s="727">
        <v>11.159824370000001</v>
      </c>
      <c r="W41" s="727">
        <v>1.8427142925714282</v>
      </c>
      <c r="X41" s="727">
        <v>30.912857054285716</v>
      </c>
      <c r="Y41" s="727">
        <v>8.6452856064285708</v>
      </c>
    </row>
    <row r="42" spans="1:25" ht="11.25" customHeight="1">
      <c r="A42" s="136"/>
      <c r="B42" s="138"/>
      <c r="C42" s="138"/>
      <c r="D42" s="138"/>
      <c r="E42" s="138"/>
      <c r="F42" s="138"/>
      <c r="G42" s="138"/>
      <c r="H42" s="138"/>
      <c r="I42" s="138"/>
      <c r="P42" s="623">
        <v>39</v>
      </c>
      <c r="Q42" s="727">
        <v>7.621428489714285</v>
      </c>
      <c r="R42" s="727">
        <v>4.6500000000000004</v>
      </c>
      <c r="S42" s="727">
        <v>42.24</v>
      </c>
      <c r="T42" s="727">
        <v>39.39</v>
      </c>
      <c r="U42" s="727">
        <v>7.68</v>
      </c>
      <c r="V42" s="727">
        <v>11.33</v>
      </c>
      <c r="W42" s="727">
        <v>1.64</v>
      </c>
      <c r="X42" s="727">
        <v>37.200000000000003</v>
      </c>
      <c r="Y42" s="727">
        <v>7.4194285528571422</v>
      </c>
    </row>
    <row r="43" spans="1:25" ht="11.25" customHeight="1">
      <c r="A43" s="136"/>
      <c r="B43" s="138"/>
      <c r="C43" s="138"/>
      <c r="D43" s="138"/>
      <c r="E43" s="138"/>
      <c r="F43" s="138"/>
      <c r="G43" s="138"/>
      <c r="H43" s="138"/>
      <c r="I43" s="138"/>
      <c r="O43" s="278">
        <v>40</v>
      </c>
      <c r="P43" s="623">
        <v>40</v>
      </c>
      <c r="Q43" s="727">
        <v>7.621428489714285</v>
      </c>
      <c r="R43" s="727">
        <v>5.128571373571428</v>
      </c>
      <c r="S43" s="727">
        <v>38.906285422857138</v>
      </c>
      <c r="T43" s="727">
        <v>41.34000069857143</v>
      </c>
      <c r="U43" s="727">
        <v>9.112857137571428</v>
      </c>
      <c r="V43" s="727">
        <v>11.565001485714285</v>
      </c>
      <c r="W43" s="727">
        <v>1.8221428395714285</v>
      </c>
      <c r="X43" s="727">
        <v>42.197143011428572</v>
      </c>
      <c r="Y43" s="727">
        <v>9.6005713597142837</v>
      </c>
    </row>
    <row r="44" spans="1:25" ht="11.25" customHeight="1">
      <c r="A44" s="136"/>
      <c r="B44" s="138"/>
      <c r="C44" s="138"/>
      <c r="D44" s="138"/>
      <c r="E44" s="138"/>
      <c r="F44" s="138"/>
      <c r="G44" s="138"/>
      <c r="H44" s="138"/>
      <c r="I44" s="138"/>
      <c r="P44" s="623">
        <v>41</v>
      </c>
      <c r="Q44" s="727">
        <v>7.2698572022574259</v>
      </c>
      <c r="R44" s="727">
        <v>4.8594285079410948</v>
      </c>
      <c r="S44" s="727">
        <v>42.923713956560341</v>
      </c>
      <c r="T44" s="727">
        <v>56.607142857142847</v>
      </c>
      <c r="U44" s="727">
        <v>11.170142854962995</v>
      </c>
      <c r="V44" s="727">
        <v>12.740178653172041</v>
      </c>
      <c r="W44" s="727">
        <v>1.7041428429739784</v>
      </c>
      <c r="X44" s="727">
        <v>49.475714547293492</v>
      </c>
      <c r="Y44" s="727">
        <v>10.943285942077617</v>
      </c>
    </row>
    <row r="45" spans="1:25" ht="11.25" customHeight="1">
      <c r="A45" s="136"/>
      <c r="B45" s="138"/>
      <c r="C45" s="138"/>
      <c r="D45" s="138"/>
      <c r="E45" s="138"/>
      <c r="F45" s="138"/>
      <c r="G45" s="138"/>
      <c r="H45" s="138"/>
      <c r="I45" s="138"/>
      <c r="P45" s="623">
        <v>42</v>
      </c>
      <c r="Q45" s="727">
        <v>6.2732856614249064</v>
      </c>
      <c r="R45" s="727">
        <v>4.00314286776951</v>
      </c>
      <c r="S45" s="727">
        <v>73.976001194545148</v>
      </c>
      <c r="T45" s="727">
        <v>89.232285635811792</v>
      </c>
      <c r="U45" s="727">
        <v>19.282285690307582</v>
      </c>
      <c r="V45" s="727">
        <v>11.792381422860229</v>
      </c>
      <c r="W45" s="727">
        <v>1.5524285691124997</v>
      </c>
      <c r="X45" s="727">
        <v>72.350713457379968</v>
      </c>
      <c r="Y45" s="727">
        <v>17.972571236746628</v>
      </c>
    </row>
    <row r="46" spans="1:25" ht="11.25" customHeight="1">
      <c r="A46" s="136"/>
      <c r="B46" s="138"/>
      <c r="C46" s="138"/>
      <c r="D46" s="138"/>
      <c r="E46" s="138"/>
      <c r="F46" s="138"/>
      <c r="G46" s="138"/>
      <c r="H46" s="138"/>
      <c r="I46" s="138"/>
      <c r="P46" s="623">
        <v>43</v>
      </c>
      <c r="Q46" s="727">
        <v>8.3208571161542526</v>
      </c>
      <c r="R46" s="727">
        <v>6.0481427737644662</v>
      </c>
      <c r="S46" s="727">
        <v>97.234427315848038</v>
      </c>
      <c r="T46" s="727">
        <v>125.70828465052978</v>
      </c>
      <c r="U46" s="727">
        <v>26.382142475673081</v>
      </c>
      <c r="V46" s="727">
        <v>12.0416071755545</v>
      </c>
      <c r="W46" s="727">
        <v>1.585428544453207</v>
      </c>
      <c r="X46" s="727">
        <v>82.484284537179079</v>
      </c>
      <c r="Y46" s="727">
        <v>19.552571432931028</v>
      </c>
    </row>
    <row r="47" spans="1:25" ht="11.25" customHeight="1">
      <c r="A47" s="136"/>
      <c r="B47" s="138"/>
      <c r="C47" s="138"/>
      <c r="D47" s="138"/>
      <c r="E47" s="138"/>
      <c r="F47" s="138"/>
      <c r="G47" s="138"/>
      <c r="H47" s="138"/>
      <c r="I47" s="138"/>
      <c r="P47" s="623">
        <v>44</v>
      </c>
      <c r="Q47" s="727">
        <v>9.2941429947142868</v>
      </c>
      <c r="R47" s="727">
        <v>7.6531428608571428</v>
      </c>
      <c r="S47" s="727">
        <v>120.62971387142855</v>
      </c>
      <c r="T47" s="727">
        <v>157.60714285714286</v>
      </c>
      <c r="U47" s="727">
        <v>33.364427840000005</v>
      </c>
      <c r="V47" s="727">
        <v>12.188929967142856</v>
      </c>
      <c r="W47" s="727">
        <v>1.6864285471428571</v>
      </c>
      <c r="X47" s="727">
        <v>110.40928649571428</v>
      </c>
      <c r="Y47" s="727">
        <v>33.081571032857141</v>
      </c>
    </row>
    <row r="48" spans="1:25">
      <c r="A48" s="136"/>
      <c r="B48" s="138"/>
      <c r="C48" s="138"/>
      <c r="D48" s="138"/>
      <c r="E48" s="138"/>
      <c r="F48" s="138"/>
      <c r="G48" s="138"/>
      <c r="H48" s="138"/>
      <c r="I48" s="138"/>
      <c r="P48" s="623">
        <v>45</v>
      </c>
      <c r="Q48" s="727">
        <v>8.6642857274285721</v>
      </c>
      <c r="R48" s="727">
        <v>4.2061428341428568</v>
      </c>
      <c r="S48" s="727">
        <v>125.43157086857143</v>
      </c>
      <c r="T48" s="727">
        <v>105.63685608857143</v>
      </c>
      <c r="U48" s="727">
        <v>18.735571588571428</v>
      </c>
      <c r="V48" s="727">
        <v>13</v>
      </c>
      <c r="W48" s="727">
        <v>1.7397142818571427</v>
      </c>
      <c r="X48" s="727">
        <v>114.14357212285714</v>
      </c>
      <c r="Y48" s="727">
        <v>39.80185754</v>
      </c>
    </row>
    <row r="49" spans="1:25">
      <c r="A49" s="136"/>
      <c r="B49" s="138"/>
      <c r="C49" s="138"/>
      <c r="D49" s="138"/>
      <c r="E49" s="138"/>
      <c r="F49" s="138"/>
      <c r="G49" s="138"/>
      <c r="H49" s="138"/>
      <c r="I49" s="138"/>
      <c r="P49" s="623">
        <v>46</v>
      </c>
      <c r="Q49" s="727">
        <v>8.5371428571428574</v>
      </c>
      <c r="R49" s="727">
        <v>5.9</v>
      </c>
      <c r="S49" s="727">
        <v>78.757142857142853</v>
      </c>
      <c r="T49" s="727">
        <v>79.304285714285712</v>
      </c>
      <c r="U49" s="727">
        <v>13.16</v>
      </c>
      <c r="V49" s="727">
        <v>13.001428571428571</v>
      </c>
      <c r="W49" s="727">
        <v>1.5</v>
      </c>
      <c r="X49" s="727">
        <v>93.457142857142841</v>
      </c>
      <c r="Y49" s="727">
        <v>37.212857142857146</v>
      </c>
    </row>
    <row r="50" spans="1:25">
      <c r="A50" s="136"/>
      <c r="B50" s="138"/>
      <c r="C50" s="138"/>
      <c r="D50" s="138"/>
      <c r="E50" s="138"/>
      <c r="F50" s="138"/>
      <c r="G50" s="138"/>
      <c r="H50" s="138"/>
      <c r="I50" s="138"/>
      <c r="P50" s="623">
        <v>47</v>
      </c>
      <c r="Q50" s="727">
        <v>9.0094285692857135</v>
      </c>
      <c r="R50" s="727">
        <v>7.1015714912857133</v>
      </c>
      <c r="S50" s="727">
        <v>88.111712864285735</v>
      </c>
      <c r="T50" s="727">
        <v>74.684428622857141</v>
      </c>
      <c r="U50" s="727">
        <v>13.483142988571428</v>
      </c>
      <c r="V50" s="727">
        <v>12.142405645714286</v>
      </c>
      <c r="W50" s="727">
        <v>1.5</v>
      </c>
      <c r="X50" s="727">
        <v>104.10500007571429</v>
      </c>
      <c r="Y50" s="727">
        <v>35.055428368571434</v>
      </c>
    </row>
    <row r="51" spans="1:25">
      <c r="A51" s="136"/>
      <c r="B51" s="138"/>
      <c r="C51" s="138"/>
      <c r="D51" s="138"/>
      <c r="E51" s="138"/>
      <c r="F51" s="138"/>
      <c r="G51" s="138"/>
      <c r="H51" s="138"/>
      <c r="I51" s="138"/>
      <c r="O51" s="278">
        <v>48</v>
      </c>
      <c r="P51" s="623">
        <v>48</v>
      </c>
      <c r="Q51" s="727">
        <v>8.5042856081428582</v>
      </c>
      <c r="R51" s="727">
        <v>4.3617142950000005</v>
      </c>
      <c r="S51" s="727">
        <v>80.151286534285717</v>
      </c>
      <c r="T51" s="727">
        <v>95.303570342857142</v>
      </c>
      <c r="U51" s="727">
        <v>12.543571337142859</v>
      </c>
      <c r="V51" s="727">
        <v>11.975262778571429</v>
      </c>
      <c r="W51" s="727">
        <v>1.5</v>
      </c>
      <c r="X51" s="727">
        <v>91.569999695714287</v>
      </c>
      <c r="Y51" s="727">
        <v>28.370000294285713</v>
      </c>
    </row>
    <row r="52" spans="1:25">
      <c r="A52" s="136"/>
      <c r="B52" s="138"/>
      <c r="C52" s="138"/>
      <c r="D52" s="138"/>
      <c r="E52" s="138"/>
      <c r="F52" s="138"/>
      <c r="G52" s="138"/>
      <c r="H52" s="138"/>
      <c r="I52" s="138"/>
      <c r="P52" s="623">
        <v>49</v>
      </c>
      <c r="Q52" s="727">
        <v>8.27</v>
      </c>
      <c r="R52" s="727">
        <v>6.9099999999999993</v>
      </c>
      <c r="S52" s="727">
        <v>66.555714285714288</v>
      </c>
      <c r="T52" s="727">
        <v>54.31</v>
      </c>
      <c r="U52" s="727">
        <v>8.99</v>
      </c>
      <c r="V52" s="727">
        <v>12.26</v>
      </c>
      <c r="W52" s="727">
        <v>1.5</v>
      </c>
      <c r="X52" s="727">
        <v>62.974285714285706</v>
      </c>
      <c r="Y52" s="727">
        <v>22.919999999999998</v>
      </c>
    </row>
    <row r="53" spans="1:25">
      <c r="A53" s="136"/>
      <c r="B53" s="138"/>
      <c r="C53" s="138"/>
      <c r="D53" s="138"/>
      <c r="E53" s="138"/>
      <c r="F53" s="138"/>
      <c r="G53" s="138"/>
      <c r="H53" s="138"/>
      <c r="I53" s="138"/>
      <c r="P53" s="623">
        <v>50</v>
      </c>
      <c r="Q53" s="727">
        <v>8.1765714374285707</v>
      </c>
      <c r="R53" s="727">
        <v>6.5639999597142857</v>
      </c>
      <c r="S53" s="727">
        <v>61.602715082857152</v>
      </c>
      <c r="T53" s="727">
        <v>52.47614288285714</v>
      </c>
      <c r="U53" s="727">
        <v>10.909571511285714</v>
      </c>
      <c r="V53" s="727">
        <v>13.001428604285715</v>
      </c>
      <c r="W53" s="727">
        <v>1.457142846857143</v>
      </c>
      <c r="X53" s="727">
        <v>52.244286674285718</v>
      </c>
      <c r="Y53" s="727">
        <v>17.695714271428571</v>
      </c>
    </row>
    <row r="54" spans="1:25">
      <c r="A54" s="136"/>
      <c r="B54" s="138"/>
      <c r="C54" s="138"/>
      <c r="D54" s="138"/>
      <c r="E54" s="138"/>
      <c r="F54" s="138"/>
      <c r="G54" s="138"/>
      <c r="H54" s="138"/>
      <c r="I54" s="138"/>
      <c r="P54" s="623">
        <v>51</v>
      </c>
      <c r="Q54" s="727">
        <v>10.342857142857142</v>
      </c>
      <c r="R54" s="727">
        <v>7.3285714285714283</v>
      </c>
      <c r="S54" s="727">
        <v>53.9</v>
      </c>
      <c r="T54" s="727">
        <v>126.14285714285714</v>
      </c>
      <c r="U54" s="727">
        <v>16.8</v>
      </c>
      <c r="V54" s="727">
        <v>12.257142857142856</v>
      </c>
      <c r="W54" s="727">
        <v>1.3857142857142859</v>
      </c>
      <c r="X54" s="727">
        <v>86.528571428571439</v>
      </c>
      <c r="Y54" s="727">
        <v>33.51428571428572</v>
      </c>
    </row>
    <row r="55" spans="1:25">
      <c r="A55" s="136"/>
      <c r="B55" s="138"/>
      <c r="C55" s="138"/>
      <c r="D55" s="138"/>
      <c r="E55" s="138"/>
      <c r="F55" s="138"/>
      <c r="G55" s="138"/>
      <c r="H55" s="138"/>
      <c r="I55" s="138"/>
      <c r="O55" s="278">
        <v>52</v>
      </c>
      <c r="P55" s="623">
        <v>52</v>
      </c>
      <c r="Q55" s="727">
        <v>10.661999840142856</v>
      </c>
      <c r="R55" s="727">
        <v>7.4820000789999996</v>
      </c>
      <c r="S55" s="727">
        <v>57.504999978571433</v>
      </c>
      <c r="T55" s="727">
        <v>100.38085719714286</v>
      </c>
      <c r="U55" s="727">
        <v>16.435142652857145</v>
      </c>
      <c r="V55" s="727">
        <v>12.222315514285714</v>
      </c>
      <c r="W55" s="727">
        <v>1.2999999520000001</v>
      </c>
      <c r="X55" s="727">
        <v>103.53357153142858</v>
      </c>
      <c r="Y55" s="727">
        <v>52.753143308571431</v>
      </c>
    </row>
    <row r="56" spans="1:25">
      <c r="A56" s="136"/>
      <c r="B56" s="138"/>
      <c r="C56" s="138"/>
      <c r="D56" s="138"/>
      <c r="E56" s="138"/>
      <c r="F56" s="138"/>
      <c r="G56" s="138"/>
      <c r="H56" s="138"/>
      <c r="I56" s="138"/>
      <c r="N56" s="278">
        <v>2019</v>
      </c>
      <c r="O56" s="278">
        <v>1</v>
      </c>
      <c r="P56" s="623">
        <v>1</v>
      </c>
      <c r="Q56" s="727">
        <v>8.992857251428573</v>
      </c>
      <c r="R56" s="727">
        <v>4.4642857141428571</v>
      </c>
      <c r="S56" s="727">
        <v>57.514999934285704</v>
      </c>
      <c r="T56" s="727">
        <v>79.871427261428579</v>
      </c>
      <c r="U56" s="727">
        <v>13.115714484285716</v>
      </c>
      <c r="V56" s="727">
        <v>11.571904317142856</v>
      </c>
      <c r="W56" s="727">
        <v>1.2999999520000001</v>
      </c>
      <c r="X56" s="727">
        <v>121.75642612857142</v>
      </c>
      <c r="Y56" s="727">
        <v>64.398429325714275</v>
      </c>
    </row>
    <row r="57" spans="1:25">
      <c r="A57" s="136"/>
      <c r="B57" s="138"/>
      <c r="C57" s="138"/>
      <c r="D57" s="138"/>
      <c r="E57" s="138"/>
      <c r="F57" s="138"/>
      <c r="G57" s="138"/>
      <c r="H57" s="138"/>
      <c r="I57" s="138"/>
      <c r="P57" s="623">
        <v>2</v>
      </c>
      <c r="Q57" s="727">
        <v>7.4904285157142843</v>
      </c>
      <c r="R57" s="727">
        <v>3.3685714177142856</v>
      </c>
      <c r="S57" s="727">
        <v>63.363856724285711</v>
      </c>
      <c r="T57" s="727">
        <v>84.184571402857145</v>
      </c>
      <c r="U57" s="727">
        <v>16.11014284285714</v>
      </c>
      <c r="V57" s="727">
        <v>11.570298602857141</v>
      </c>
      <c r="W57" s="727">
        <v>1.2999999520000001</v>
      </c>
      <c r="X57" s="727">
        <v>180.32999965714288</v>
      </c>
      <c r="Y57" s="727">
        <v>70.997858864285703</v>
      </c>
    </row>
    <row r="58" spans="1:25">
      <c r="A58" s="136"/>
      <c r="B58" s="138"/>
      <c r="C58" s="138"/>
      <c r="D58" s="138"/>
      <c r="E58" s="138"/>
      <c r="F58" s="138"/>
      <c r="G58" s="138"/>
      <c r="H58" s="138"/>
      <c r="I58" s="138"/>
      <c r="P58" s="623">
        <v>3</v>
      </c>
      <c r="Q58" s="727">
        <v>14.36</v>
      </c>
      <c r="R58" s="727">
        <v>10.74</v>
      </c>
      <c r="S58" s="727">
        <v>80.75</v>
      </c>
      <c r="T58" s="727">
        <v>149.30000000000001</v>
      </c>
      <c r="U58" s="727">
        <v>29.23</v>
      </c>
      <c r="V58" s="727">
        <v>11.28</v>
      </c>
      <c r="W58" s="727">
        <v>1.33</v>
      </c>
      <c r="X58" s="727">
        <v>167.22</v>
      </c>
      <c r="Y58" s="727">
        <v>68.83</v>
      </c>
    </row>
    <row r="59" spans="1:25">
      <c r="A59" s="136"/>
      <c r="B59" s="138"/>
      <c r="C59" s="138"/>
      <c r="D59" s="138"/>
      <c r="E59" s="138"/>
      <c r="F59" s="138"/>
      <c r="G59" s="138"/>
      <c r="H59" s="138"/>
      <c r="I59" s="138"/>
      <c r="P59" s="623">
        <v>4</v>
      </c>
      <c r="Q59" s="727">
        <v>17.131428719999999</v>
      </c>
      <c r="R59" s="727">
        <v>11.155714580142858</v>
      </c>
      <c r="S59" s="727">
        <v>85.689570837142853</v>
      </c>
      <c r="T59" s="727">
        <v>168.80999974285714</v>
      </c>
      <c r="U59" s="727">
        <v>36.200000218571425</v>
      </c>
      <c r="V59" s="727">
        <v>11.843988554285716</v>
      </c>
      <c r="W59" s="727">
        <v>3.0287143159999999</v>
      </c>
      <c r="X59" s="727">
        <v>185.51500375714286</v>
      </c>
      <c r="Y59" s="727">
        <v>70.089428494285713</v>
      </c>
    </row>
    <row r="60" spans="1:25">
      <c r="A60" s="136"/>
      <c r="B60" s="138"/>
      <c r="C60" s="138"/>
      <c r="D60" s="138"/>
      <c r="E60" s="138"/>
      <c r="F60" s="138"/>
      <c r="G60" s="138"/>
      <c r="H60" s="138"/>
      <c r="I60" s="138"/>
      <c r="P60" s="623">
        <v>5</v>
      </c>
      <c r="Q60" s="727">
        <v>30.592286245714288</v>
      </c>
      <c r="R60" s="727">
        <v>16.463000024285716</v>
      </c>
      <c r="S60" s="727">
        <v>416.48700821428571</v>
      </c>
      <c r="T60" s="727">
        <v>195.24999782857142</v>
      </c>
      <c r="U60" s="727">
        <v>36.703999928571427</v>
      </c>
      <c r="V60" s="727">
        <v>12.496724401428571</v>
      </c>
      <c r="W60" s="727">
        <v>6.6928571292857146</v>
      </c>
      <c r="X60" s="727">
        <v>199.03571430000002</v>
      </c>
      <c r="Y60" s="727">
        <v>74.655428748571438</v>
      </c>
    </row>
    <row r="61" spans="1:25">
      <c r="A61" s="136"/>
      <c r="B61" s="138"/>
      <c r="C61" s="138"/>
      <c r="D61" s="138"/>
      <c r="E61" s="138"/>
      <c r="F61" s="138"/>
      <c r="G61" s="138"/>
      <c r="H61" s="138"/>
      <c r="I61" s="138"/>
      <c r="P61" s="623">
        <v>6</v>
      </c>
      <c r="Q61" s="727">
        <v>20.372857142857146</v>
      </c>
      <c r="R61" s="727">
        <v>17.05857142857143</v>
      </c>
      <c r="S61" s="727">
        <v>426.67142857142863</v>
      </c>
      <c r="T61" s="727">
        <v>265.28000000000003</v>
      </c>
      <c r="U61" s="727">
        <v>51.29</v>
      </c>
      <c r="V61" s="727">
        <v>12.744285714285715</v>
      </c>
      <c r="W61" s="727">
        <v>14.464285714285714</v>
      </c>
      <c r="X61" s="727">
        <v>338.89857142857142</v>
      </c>
      <c r="Y61" s="727">
        <v>117.82857142857142</v>
      </c>
    </row>
    <row r="62" spans="1:25" ht="19.2" customHeight="1">
      <c r="A62" s="136"/>
      <c r="B62" s="138"/>
      <c r="C62" s="138"/>
      <c r="D62" s="138"/>
      <c r="E62" s="138"/>
      <c r="F62" s="138"/>
      <c r="G62" s="138"/>
      <c r="H62" s="138"/>
      <c r="I62" s="138"/>
      <c r="P62" s="623">
        <v>7</v>
      </c>
      <c r="Q62" s="727">
        <v>28.837571554285717</v>
      </c>
      <c r="R62" s="727">
        <v>18.065285818571429</v>
      </c>
      <c r="S62" s="727">
        <v>581.62514822857145</v>
      </c>
      <c r="T62" s="727">
        <v>230.7322888857143</v>
      </c>
      <c r="U62" s="727">
        <v>46.224000658571427</v>
      </c>
      <c r="V62" s="727">
        <v>23.841369902857146</v>
      </c>
      <c r="W62" s="727">
        <v>21.059571402857141</v>
      </c>
      <c r="X62" s="727">
        <v>288.0957205571429</v>
      </c>
      <c r="Y62" s="727">
        <v>118.07871352857144</v>
      </c>
    </row>
    <row r="63" spans="1:25">
      <c r="A63" s="136"/>
      <c r="B63" s="138"/>
      <c r="C63" s="138"/>
      <c r="D63" s="138"/>
      <c r="E63" s="138"/>
      <c r="F63" s="138"/>
      <c r="G63" s="138"/>
      <c r="H63" s="138"/>
      <c r="I63" s="138"/>
      <c r="O63" s="278">
        <v>8</v>
      </c>
      <c r="P63" s="623">
        <v>8</v>
      </c>
      <c r="Q63" s="727">
        <v>20.077857700000003</v>
      </c>
      <c r="R63" s="727">
        <v>14.531571660571432</v>
      </c>
      <c r="S63" s="727">
        <v>439.74099729999995</v>
      </c>
      <c r="T63" s="727">
        <v>219.37485614285717</v>
      </c>
      <c r="U63" s="727">
        <v>42.94585745571429</v>
      </c>
      <c r="V63" s="727">
        <v>23.894881112857146</v>
      </c>
      <c r="W63" s="727">
        <v>6.8928571428571432</v>
      </c>
      <c r="X63" s="727">
        <v>411.75142995714288</v>
      </c>
      <c r="Y63" s="727">
        <v>98.32</v>
      </c>
    </row>
    <row r="64" spans="1:25" ht="6" customHeight="1">
      <c r="A64" s="136"/>
      <c r="B64" s="138"/>
      <c r="C64" s="138"/>
      <c r="D64" s="138"/>
      <c r="E64" s="138"/>
      <c r="F64" s="138"/>
      <c r="G64" s="138"/>
      <c r="H64" s="138"/>
      <c r="I64" s="138"/>
      <c r="P64" s="623">
        <v>9</v>
      </c>
      <c r="Q64" s="727">
        <v>26.317999977142858</v>
      </c>
      <c r="R64" s="727">
        <v>19.520428521428574</v>
      </c>
      <c r="S64" s="727">
        <v>316.26999772857147</v>
      </c>
      <c r="T64" s="727">
        <v>191.17842539999998</v>
      </c>
      <c r="U64" s="727">
        <v>34.696428571428569</v>
      </c>
      <c r="V64" s="727">
        <v>22.406962801428573</v>
      </c>
      <c r="W64" s="727">
        <v>3.3807143142857146</v>
      </c>
      <c r="X64" s="727">
        <v>249.46285358571427</v>
      </c>
      <c r="Y64" s="727">
        <v>120.90099988571428</v>
      </c>
    </row>
    <row r="65" spans="1:25" ht="24.75" customHeight="1">
      <c r="A65" s="856" t="s">
        <v>511</v>
      </c>
      <c r="B65" s="856"/>
      <c r="C65" s="856"/>
      <c r="D65" s="856"/>
      <c r="E65" s="856"/>
      <c r="F65" s="856"/>
      <c r="G65" s="856"/>
      <c r="H65" s="856"/>
      <c r="I65" s="856"/>
      <c r="J65" s="856"/>
      <c r="K65" s="856"/>
      <c r="L65" s="856"/>
      <c r="P65" s="623">
        <v>10</v>
      </c>
      <c r="Q65" s="727">
        <v>27.959571565714288</v>
      </c>
      <c r="R65" s="727">
        <v>20.831714628571426</v>
      </c>
      <c r="S65" s="727">
        <v>326.63642664285715</v>
      </c>
      <c r="T65" s="727">
        <v>184.08928571428572</v>
      </c>
      <c r="U65" s="727">
        <v>38.680999754285715</v>
      </c>
      <c r="V65" s="727">
        <v>23.828572680000001</v>
      </c>
      <c r="W65" s="727">
        <v>2.3840000118571427</v>
      </c>
      <c r="X65" s="727">
        <v>225.10000174285716</v>
      </c>
      <c r="Y65" s="727">
        <v>78.177285328571429</v>
      </c>
    </row>
    <row r="66" spans="1:25" ht="20.25" customHeight="1">
      <c r="P66" s="623">
        <v>11</v>
      </c>
      <c r="Q66" s="727">
        <v>27.959571565714288</v>
      </c>
      <c r="R66" s="727">
        <v>22.247142927987216</v>
      </c>
      <c r="S66" s="727">
        <v>416.08099801199745</v>
      </c>
      <c r="T66" s="727">
        <v>226.88085501534573</v>
      </c>
      <c r="U66" s="727">
        <v>42.633285522460888</v>
      </c>
      <c r="V66" s="727">
        <v>23.809881482805473</v>
      </c>
      <c r="W66" s="727">
        <v>1.9291428668158341</v>
      </c>
      <c r="X66" s="727">
        <v>217.45642525809117</v>
      </c>
      <c r="Y66" s="727">
        <v>44.638999938964801</v>
      </c>
    </row>
    <row r="67" spans="1:25">
      <c r="P67" s="623">
        <v>12</v>
      </c>
      <c r="Q67" s="727">
        <v>28.476714270455457</v>
      </c>
      <c r="R67" s="727">
        <v>21.707857131428572</v>
      </c>
      <c r="S67" s="727">
        <v>394.13957431428571</v>
      </c>
      <c r="T67" s="727">
        <v>203.44642857142858</v>
      </c>
      <c r="U67" s="727">
        <v>43.529285431428569</v>
      </c>
      <c r="V67" s="727">
        <v>19.572964258571432</v>
      </c>
      <c r="W67" s="727">
        <v>1.7968571012857144</v>
      </c>
      <c r="X67" s="727">
        <v>327.82142857142861</v>
      </c>
      <c r="Y67" s="727">
        <v>98.4</v>
      </c>
    </row>
    <row r="68" spans="1:25">
      <c r="P68" s="623">
        <v>13</v>
      </c>
      <c r="Q68" s="727">
        <v>24.844714028571435</v>
      </c>
      <c r="R68" s="727">
        <v>20.569142751428576</v>
      </c>
      <c r="S68" s="727">
        <v>522.42285592857138</v>
      </c>
      <c r="T68" s="727">
        <v>225.26185825714285</v>
      </c>
      <c r="U68" s="727">
        <v>57.974427901428569</v>
      </c>
      <c r="V68" s="727">
        <v>12.582738467142859</v>
      </c>
      <c r="W68" s="727">
        <v>1.6904285634285714</v>
      </c>
      <c r="X68" s="727">
        <v>339.04356602857143</v>
      </c>
      <c r="Y68" s="727">
        <v>92.103571201428579</v>
      </c>
    </row>
    <row r="69" spans="1:25">
      <c r="P69" s="623">
        <v>14</v>
      </c>
      <c r="Q69" s="727">
        <v>29.483285902857141</v>
      </c>
      <c r="R69" s="727">
        <v>18.767857142857142</v>
      </c>
      <c r="S69" s="727">
        <v>316.33943394285717</v>
      </c>
      <c r="T69" s="727">
        <v>152.47643277142856</v>
      </c>
      <c r="U69" s="727">
        <v>55.119428907142868</v>
      </c>
      <c r="V69" s="727">
        <v>21.303751674285714</v>
      </c>
      <c r="W69" s="727">
        <v>1.6808571647142858</v>
      </c>
      <c r="X69" s="727">
        <v>250.08571298571431</v>
      </c>
      <c r="Y69" s="727">
        <v>65.665856497142855</v>
      </c>
    </row>
    <row r="70" spans="1:25">
      <c r="P70" s="623">
        <v>15</v>
      </c>
      <c r="Q70" s="727">
        <v>20.040428705714284</v>
      </c>
      <c r="R70" s="727">
        <v>14.275999887714287</v>
      </c>
      <c r="S70" s="727">
        <v>168.45457024285716</v>
      </c>
      <c r="T70" s="727">
        <v>98.160714291428576</v>
      </c>
      <c r="U70" s="727">
        <v>27.713714872857139</v>
      </c>
      <c r="V70" s="727">
        <v>17.810774395714287</v>
      </c>
      <c r="W70" s="727">
        <v>1.7205714498571432</v>
      </c>
      <c r="X70" s="727">
        <v>148.48785617142858</v>
      </c>
      <c r="Y70" s="727">
        <v>49.633285522857136</v>
      </c>
    </row>
    <row r="71" spans="1:25">
      <c r="O71" s="278">
        <v>16</v>
      </c>
      <c r="P71" s="623">
        <v>16</v>
      </c>
      <c r="Q71" s="727">
        <v>16.072142737142858</v>
      </c>
      <c r="R71" s="727">
        <v>10.180143014285713</v>
      </c>
      <c r="S71" s="727">
        <v>131.80142647142856</v>
      </c>
      <c r="T71" s="727">
        <v>98.279714314285712</v>
      </c>
      <c r="U71" s="727">
        <v>22.869143077142859</v>
      </c>
      <c r="V71" s="727">
        <v>12.210951395714286</v>
      </c>
      <c r="W71" s="727">
        <v>1.789857131857143</v>
      </c>
      <c r="X71" s="727">
        <v>105.47928511571429</v>
      </c>
      <c r="Y71" s="727">
        <v>31.291000095714285</v>
      </c>
    </row>
    <row r="72" spans="1:25">
      <c r="P72" s="623">
        <v>17</v>
      </c>
      <c r="Q72" s="727">
        <v>15.383999960000001</v>
      </c>
      <c r="R72" s="727">
        <v>12.121571608857142</v>
      </c>
      <c r="S72" s="727">
        <v>143.84128789999997</v>
      </c>
      <c r="T72" s="727">
        <v>83.547571454285716</v>
      </c>
      <c r="U72" s="727">
        <v>20.273857388571425</v>
      </c>
      <c r="V72" s="727">
        <v>12.949641501428573</v>
      </c>
      <c r="W72" s="727">
        <v>1.6648571664285714</v>
      </c>
      <c r="X72" s="727">
        <v>103.81928579571429</v>
      </c>
      <c r="Y72" s="727">
        <v>25.921857015714284</v>
      </c>
    </row>
    <row r="73" spans="1:25">
      <c r="P73" s="623">
        <v>18</v>
      </c>
      <c r="Q73" s="727">
        <v>16.026142665714286</v>
      </c>
      <c r="R73" s="727">
        <v>11.996285711571428</v>
      </c>
      <c r="S73" s="727">
        <v>111.12314277285714</v>
      </c>
      <c r="T73" s="727">
        <v>74.392857142857139</v>
      </c>
      <c r="U73" s="727">
        <v>18.103142875714287</v>
      </c>
      <c r="V73" s="727">
        <v>11.493274145714285</v>
      </c>
      <c r="W73" s="727">
        <v>1.55</v>
      </c>
      <c r="X73" s="727">
        <v>91.532855442857141</v>
      </c>
      <c r="Y73" s="727">
        <v>22.190428595714284</v>
      </c>
    </row>
    <row r="74" spans="1:25">
      <c r="P74" s="623">
        <v>19</v>
      </c>
      <c r="Q74" s="727">
        <v>14.769714355714287</v>
      </c>
      <c r="R74" s="727">
        <v>10.123285769857144</v>
      </c>
      <c r="S74" s="727">
        <v>89.41828482428572</v>
      </c>
      <c r="T74" s="727">
        <v>60.613000051428571</v>
      </c>
      <c r="U74" s="727">
        <v>15.728999954285714</v>
      </c>
      <c r="V74" s="727">
        <v>10.883738517142858</v>
      </c>
      <c r="W74" s="727">
        <v>1.5914285865714286</v>
      </c>
      <c r="X74" s="727">
        <v>82.45500183</v>
      </c>
      <c r="Y74" s="727">
        <v>20.991285870000006</v>
      </c>
    </row>
    <row r="75" spans="1:25">
      <c r="P75" s="623">
        <v>20</v>
      </c>
      <c r="Q75" s="727">
        <v>13.81242861</v>
      </c>
      <c r="R75" s="727">
        <v>9.3731427190000005</v>
      </c>
      <c r="S75" s="727">
        <v>79.212427410000004</v>
      </c>
      <c r="T75" s="727">
        <v>72.321428569999995</v>
      </c>
      <c r="U75" s="727">
        <v>20.647571429999999</v>
      </c>
      <c r="V75" s="727">
        <v>11.153748650000001</v>
      </c>
      <c r="W75" s="727">
        <v>1.5371428389999999</v>
      </c>
      <c r="X75" s="727">
        <v>76.857142859999996</v>
      </c>
      <c r="Y75" s="727">
        <v>23.085714070000002</v>
      </c>
    </row>
    <row r="76" spans="1:25">
      <c r="P76" s="623">
        <v>21</v>
      </c>
      <c r="Q76" s="727">
        <v>12.849714414285714</v>
      </c>
      <c r="R76" s="727">
        <v>7.085428442285715</v>
      </c>
      <c r="S76" s="727">
        <v>62.717000688571432</v>
      </c>
      <c r="T76" s="727">
        <v>52.565571377142859</v>
      </c>
      <c r="U76" s="727">
        <v>14.46171447</v>
      </c>
      <c r="V76" s="727">
        <v>12</v>
      </c>
      <c r="W76" s="727">
        <v>1.5128571304285714</v>
      </c>
      <c r="X76" s="727">
        <v>58.057856968571436</v>
      </c>
      <c r="Y76" s="727">
        <v>17.858285902857144</v>
      </c>
    </row>
    <row r="77" spans="1:25">
      <c r="P77" s="623">
        <v>22</v>
      </c>
      <c r="Q77" s="727">
        <v>12.105428559999998</v>
      </c>
      <c r="R77" s="727">
        <v>7.3308571058571435</v>
      </c>
      <c r="S77" s="727">
        <v>41.633143151428598</v>
      </c>
      <c r="T77" s="727">
        <v>49.261999948571429</v>
      </c>
      <c r="U77" s="727">
        <v>12.621714454285712</v>
      </c>
      <c r="V77" s="727">
        <v>10.442797251571431</v>
      </c>
      <c r="W77" s="727">
        <v>1.5</v>
      </c>
      <c r="X77" s="727">
        <v>51.520714895714285</v>
      </c>
      <c r="Y77" s="727">
        <v>15.324571202857143</v>
      </c>
    </row>
    <row r="78" spans="1:25">
      <c r="P78" s="623">
        <v>23</v>
      </c>
      <c r="Q78" s="727">
        <v>11.272714207142856</v>
      </c>
      <c r="R78" s="727">
        <v>7.7242857718571427</v>
      </c>
      <c r="S78" s="727">
        <v>41.633143151428598</v>
      </c>
      <c r="T78" s="727">
        <v>40.500142779999997</v>
      </c>
      <c r="U78" s="727">
        <v>10.571857179142857</v>
      </c>
      <c r="V78" s="727">
        <v>10.979225701428572</v>
      </c>
      <c r="W78" s="727">
        <v>1.5</v>
      </c>
      <c r="X78" s="727">
        <v>46.520714351428573</v>
      </c>
      <c r="Y78" s="727">
        <v>13.868142808571431</v>
      </c>
    </row>
    <row r="79" spans="1:25">
      <c r="P79" s="623">
        <v>24</v>
      </c>
      <c r="Q79" s="727">
        <v>10.867999894285715</v>
      </c>
      <c r="R79" s="727">
        <v>8.8337143495714301</v>
      </c>
      <c r="S79" s="727">
        <v>78.434000150000003</v>
      </c>
      <c r="T79" s="727">
        <v>35.785857065714289</v>
      </c>
      <c r="U79" s="727">
        <v>9.2180000031428584</v>
      </c>
      <c r="V79" s="727">
        <v>11.096784181428571</v>
      </c>
      <c r="W79" s="727">
        <v>1.5</v>
      </c>
      <c r="X79" s="727">
        <v>42.473571777142858</v>
      </c>
      <c r="Y79" s="727">
        <v>12.512571334285715</v>
      </c>
    </row>
    <row r="80" spans="1:25">
      <c r="P80" s="623">
        <v>25</v>
      </c>
      <c r="Q80" s="727">
        <v>10.167285918857143</v>
      </c>
      <c r="R80" s="727">
        <v>7.6592858184285708</v>
      </c>
      <c r="S80" s="727">
        <v>77.872000559999989</v>
      </c>
      <c r="T80" s="727">
        <v>33.357000077142857</v>
      </c>
      <c r="U80" s="727">
        <v>8.9321429390000002</v>
      </c>
      <c r="V80" s="727">
        <v>10.461965969999998</v>
      </c>
      <c r="W80" s="727">
        <v>1.5</v>
      </c>
      <c r="X80" s="727">
        <v>43.729285104285715</v>
      </c>
      <c r="Y80" s="727">
        <v>11.450428658571429</v>
      </c>
    </row>
    <row r="81" spans="15:25">
      <c r="O81" s="278">
        <v>26</v>
      </c>
      <c r="P81" s="623">
        <v>26</v>
      </c>
      <c r="Q81" s="727">
        <v>9.3535717554285718</v>
      </c>
      <c r="R81" s="727">
        <v>6.2751428064285708</v>
      </c>
      <c r="S81" s="727">
        <v>76.447856358571428</v>
      </c>
      <c r="T81" s="727">
        <v>29.154571531428569</v>
      </c>
      <c r="U81" s="727">
        <v>8.3007144928571428</v>
      </c>
      <c r="V81" s="727">
        <v>11.259941372857144</v>
      </c>
      <c r="W81" s="727">
        <v>1.5</v>
      </c>
      <c r="X81" s="727">
        <v>44.616428919999997</v>
      </c>
      <c r="Y81" s="727">
        <v>9.6660000944285702</v>
      </c>
    </row>
    <row r="82" spans="15:25">
      <c r="P82" s="623">
        <v>27</v>
      </c>
      <c r="Q82" s="727">
        <v>8.86</v>
      </c>
      <c r="R82" s="727">
        <v>7.15</v>
      </c>
      <c r="S82" s="727">
        <v>77.430000000000007</v>
      </c>
      <c r="T82" s="727">
        <v>30.35</v>
      </c>
      <c r="U82" s="727">
        <v>8.59</v>
      </c>
      <c r="V82" s="727">
        <v>10.758154460361988</v>
      </c>
      <c r="W82" s="727">
        <v>1.59</v>
      </c>
      <c r="X82" s="727">
        <v>43.84</v>
      </c>
      <c r="Y82" s="727">
        <v>8.27</v>
      </c>
    </row>
    <row r="83" spans="15:25">
      <c r="P83" s="623">
        <v>28</v>
      </c>
      <c r="Q83" s="727">
        <v>8.9135712215714289</v>
      </c>
      <c r="R83" s="727">
        <v>5.7058570728571425</v>
      </c>
      <c r="S83" s="727">
        <v>76.24514443428572</v>
      </c>
      <c r="T83" s="727">
        <v>27.702285765714286</v>
      </c>
      <c r="U83" s="727">
        <v>7.8261427880000003</v>
      </c>
      <c r="V83" s="727">
        <v>11.139168601428571</v>
      </c>
      <c r="W83" s="727">
        <v>1.6000000240000001</v>
      </c>
      <c r="X83" s="727">
        <v>39.995714458571435</v>
      </c>
      <c r="Y83" s="727">
        <v>7.4899999752857136</v>
      </c>
    </row>
    <row r="84" spans="15:25">
      <c r="P84" s="623">
        <v>29</v>
      </c>
      <c r="Q84" s="727">
        <v>9.1244284766060932</v>
      </c>
      <c r="R84" s="727">
        <v>6.4564285959516052</v>
      </c>
      <c r="S84" s="727">
        <v>66.31271307809007</v>
      </c>
      <c r="T84" s="727">
        <v>29.940428597586454</v>
      </c>
      <c r="U84" s="727">
        <v>7.6488569804600273</v>
      </c>
      <c r="V84" s="727">
        <v>10.810358456202879</v>
      </c>
      <c r="W84" s="727">
        <v>1.6000000238418504</v>
      </c>
      <c r="X84" s="727">
        <v>42.704285757882197</v>
      </c>
      <c r="Y84" s="727">
        <v>6.46428571428571</v>
      </c>
    </row>
    <row r="85" spans="15:25">
      <c r="P85" s="623">
        <v>30</v>
      </c>
      <c r="Q85" s="727">
        <v>8.5528571428571407</v>
      </c>
      <c r="R85" s="727">
        <v>4.6828571428571433</v>
      </c>
      <c r="S85" s="727">
        <v>72.048571428571435</v>
      </c>
      <c r="T85" s="727">
        <v>36.729999999999997</v>
      </c>
      <c r="U85" s="727">
        <v>8.18</v>
      </c>
      <c r="V85" s="727">
        <v>12.61</v>
      </c>
      <c r="W85" s="727">
        <v>1.6285714285714283</v>
      </c>
      <c r="X85" s="727">
        <v>44.611428571428576</v>
      </c>
      <c r="Y85" s="727">
        <v>8.2285714285714295</v>
      </c>
    </row>
    <row r="86" spans="15:25">
      <c r="P86" s="623">
        <v>31</v>
      </c>
      <c r="Q86" s="727">
        <v>8.6655714172857152</v>
      </c>
      <c r="R86" s="727">
        <v>6.0697142064285714</v>
      </c>
      <c r="S86" s="727">
        <v>71.543143134285714</v>
      </c>
      <c r="T86" s="727">
        <v>31.720428468571431</v>
      </c>
      <c r="U86" s="727">
        <v>7.0618571554285712</v>
      </c>
      <c r="V86" s="727">
        <v>12.322975702857141</v>
      </c>
      <c r="W86" s="727">
        <v>1.7000000479999999</v>
      </c>
      <c r="X86" s="727">
        <v>43.444999694285706</v>
      </c>
      <c r="Y86" s="727">
        <v>6.7562857354285706</v>
      </c>
    </row>
    <row r="87" spans="15:25">
      <c r="P87" s="623">
        <v>32</v>
      </c>
      <c r="Q87" s="727">
        <v>8.8231430052857132</v>
      </c>
      <c r="R87" s="727">
        <v>7.5088570807142858</v>
      </c>
      <c r="S87" s="727">
        <v>73.754999434285722</v>
      </c>
      <c r="T87" s="727">
        <v>23.255857194285714</v>
      </c>
      <c r="U87" s="727">
        <v>6.2595714159999991</v>
      </c>
      <c r="V87" s="727">
        <v>12.551451548571427</v>
      </c>
      <c r="W87" s="727">
        <v>1.7214285988571427</v>
      </c>
      <c r="X87" s="727">
        <v>38.432857512857147</v>
      </c>
      <c r="Y87" s="727">
        <v>6.4201429230000002</v>
      </c>
    </row>
    <row r="88" spans="15:25">
      <c r="P88" s="623">
        <v>33</v>
      </c>
      <c r="Q88" s="727">
        <v>7.5077142715714285</v>
      </c>
      <c r="R88" s="727">
        <v>3.2121428764285715</v>
      </c>
      <c r="S88" s="727">
        <v>68.878572191428574</v>
      </c>
      <c r="T88" s="727">
        <v>21.297428674285715</v>
      </c>
      <c r="U88" s="727">
        <v>6.3691428730000004</v>
      </c>
      <c r="V88" s="727">
        <v>12.137084417142857</v>
      </c>
      <c r="W88" s="727">
        <v>1.7482857022857143</v>
      </c>
      <c r="X88" s="727">
        <v>36.690713608571421</v>
      </c>
      <c r="Y88" s="727">
        <v>4.7154285567142855</v>
      </c>
    </row>
    <row r="89" spans="15:25">
      <c r="P89" s="623">
        <v>34</v>
      </c>
      <c r="Q89" s="727">
        <v>7.6147142817142859</v>
      </c>
      <c r="R89" s="727">
        <v>3.3949999810000002</v>
      </c>
      <c r="S89" s="727">
        <v>65.663999831428569</v>
      </c>
      <c r="T89" s="727">
        <v>20.922428674285715</v>
      </c>
      <c r="U89" s="727">
        <v>6.115428584</v>
      </c>
      <c r="V89" s="727">
        <v>12.034524235714285</v>
      </c>
      <c r="W89" s="727">
        <v>1.7482857022857143</v>
      </c>
      <c r="X89" s="727">
        <v>34.872856138571429</v>
      </c>
      <c r="Y89" s="727">
        <v>5.7421428814285713</v>
      </c>
    </row>
    <row r="90" spans="15:25">
      <c r="P90" s="623">
        <v>35</v>
      </c>
      <c r="Q90" s="727">
        <v>8.7815715245714294</v>
      </c>
      <c r="R90" s="727">
        <v>7.1025714534285722</v>
      </c>
      <c r="S90" s="727">
        <v>65.224427905714279</v>
      </c>
      <c r="T90" s="727">
        <v>19.458285740000001</v>
      </c>
      <c r="U90" s="727">
        <v>6.3137143680000003</v>
      </c>
      <c r="V90" s="727">
        <v>12.041607177142856</v>
      </c>
      <c r="W90" s="727">
        <v>1.75</v>
      </c>
      <c r="X90" s="727">
        <v>34.16142872428572</v>
      </c>
      <c r="Y90" s="727">
        <v>6.5945714541428577</v>
      </c>
    </row>
    <row r="91" spans="15:25">
      <c r="O91" s="278">
        <v>36</v>
      </c>
      <c r="P91" s="623">
        <v>36</v>
      </c>
      <c r="Q91" s="727">
        <v>8.2851428302857144</v>
      </c>
      <c r="R91" s="727">
        <v>6.7619999824285708</v>
      </c>
      <c r="S91" s="727">
        <v>60.719142914285719</v>
      </c>
      <c r="T91" s="727">
        <v>25.369000025714286</v>
      </c>
      <c r="U91" s="727">
        <v>5.8737142427142857</v>
      </c>
      <c r="V91" s="727">
        <v>12.055594308571429</v>
      </c>
      <c r="W91" s="727">
        <v>1.6425714154285713</v>
      </c>
      <c r="X91" s="727">
        <v>35.968571799999999</v>
      </c>
      <c r="Y91" s="727">
        <v>4.9847143037142851</v>
      </c>
    </row>
    <row r="92" spans="15:25">
      <c r="P92" s="623">
        <v>37</v>
      </c>
      <c r="Q92" s="727">
        <v>7.6475714954285712</v>
      </c>
      <c r="R92" s="727">
        <v>6.5272856442857137</v>
      </c>
      <c r="S92" s="727">
        <v>62.679428645714289</v>
      </c>
      <c r="T92" s="727">
        <v>28.136857168571428</v>
      </c>
      <c r="U92" s="727">
        <v>6.1154285838571436</v>
      </c>
      <c r="V92" s="727">
        <v>12.130952835714286</v>
      </c>
      <c r="W92" s="727">
        <v>1.6457142658571429</v>
      </c>
      <c r="X92" s="727">
        <v>34.324999674285714</v>
      </c>
      <c r="Y92" s="727">
        <v>5.502714293285714</v>
      </c>
    </row>
    <row r="93" spans="15:25">
      <c r="P93" s="623">
        <v>38</v>
      </c>
      <c r="Q93" s="727">
        <v>7.6971428571428575</v>
      </c>
      <c r="R93" s="727">
        <v>5.444285714285714</v>
      </c>
      <c r="S93" s="727">
        <v>65.47</v>
      </c>
      <c r="T93" s="727">
        <v>29.351428571428567</v>
      </c>
      <c r="U93" s="727">
        <v>6.8328571428571419</v>
      </c>
      <c r="V93" s="727">
        <v>12.194285714285716</v>
      </c>
      <c r="W93" s="727">
        <v>1.6014285714285712</v>
      </c>
      <c r="X93" s="727">
        <v>33.131428571428572</v>
      </c>
      <c r="Y93" s="727">
        <v>6.8414285714285716</v>
      </c>
    </row>
    <row r="94" spans="15:25">
      <c r="P94" s="623">
        <v>39</v>
      </c>
      <c r="Q94" s="727">
        <v>7.6702859061104887</v>
      </c>
      <c r="R94" s="727">
        <v>5.896142857415323</v>
      </c>
      <c r="S94" s="727">
        <v>72.930715288434641</v>
      </c>
      <c r="T94" s="727">
        <v>26.470285688127774</v>
      </c>
      <c r="U94" s="727">
        <v>9.2337144442966927</v>
      </c>
      <c r="V94" s="727">
        <v>12.167024339948341</v>
      </c>
      <c r="W94" s="727">
        <v>1.4285714115415273</v>
      </c>
      <c r="X94" s="727">
        <v>32.532142911638481</v>
      </c>
      <c r="Y94" s="727">
        <v>5.5879999569484111</v>
      </c>
    </row>
    <row r="95" spans="15:25">
      <c r="P95" s="623">
        <v>40</v>
      </c>
      <c r="Q95" s="727">
        <v>6.5494285314285721</v>
      </c>
      <c r="R95" s="727">
        <v>3.8238571030000004</v>
      </c>
      <c r="S95" s="727">
        <v>70.661287578571418</v>
      </c>
      <c r="T95" s="727">
        <v>28.190571377142856</v>
      </c>
      <c r="U95" s="727">
        <v>9.6928569934285722</v>
      </c>
      <c r="V95" s="727">
        <v>12.594642775714282</v>
      </c>
      <c r="W95" s="727">
        <v>1.3999999759999999</v>
      </c>
      <c r="X95" s="727">
        <v>36.384999957142853</v>
      </c>
      <c r="Y95" s="727">
        <v>8.0550000327142861</v>
      </c>
    </row>
    <row r="96" spans="15:25">
      <c r="P96" s="623">
        <v>41</v>
      </c>
      <c r="Q96" s="727">
        <v>8.096428529999999</v>
      </c>
      <c r="R96" s="727">
        <v>4.0404286040000006</v>
      </c>
      <c r="S96" s="727">
        <v>65.047571455714291</v>
      </c>
      <c r="T96" s="727">
        <v>47.010571615714284</v>
      </c>
      <c r="U96" s="727">
        <v>10.709857054714286</v>
      </c>
      <c r="V96" s="727">
        <v>13.274107117142858</v>
      </c>
      <c r="W96" s="727">
        <v>1.3785714251428571</v>
      </c>
      <c r="X96" s="727">
        <v>40.987143380000006</v>
      </c>
      <c r="Y96" s="727">
        <v>6.9969999451428562</v>
      </c>
    </row>
    <row r="97" spans="14:25">
      <c r="P97" s="623">
        <v>42</v>
      </c>
      <c r="Q97" s="727">
        <v>7.4685714285714289</v>
      </c>
      <c r="R97" s="727">
        <v>4.8257142857142856</v>
      </c>
      <c r="S97" s="727">
        <v>67.597142857142856</v>
      </c>
      <c r="T97" s="727">
        <v>47.291428571428575</v>
      </c>
      <c r="U97" s="727">
        <v>8.5642857142857132</v>
      </c>
      <c r="V97" s="727">
        <v>13.001428571428571</v>
      </c>
      <c r="W97" s="727">
        <v>1.3499999999999999</v>
      </c>
      <c r="X97" s="727">
        <v>37.554285714285712</v>
      </c>
      <c r="Y97" s="727">
        <v>6.2985714285714289</v>
      </c>
    </row>
    <row r="98" spans="14:25">
      <c r="P98" s="623">
        <v>43</v>
      </c>
      <c r="Q98" s="727">
        <v>8.9041427881428579</v>
      </c>
      <c r="R98" s="727">
        <v>7.354714223857143</v>
      </c>
      <c r="S98" s="727">
        <v>80.445570807142857</v>
      </c>
      <c r="T98" s="727">
        <v>71.934570317142857</v>
      </c>
      <c r="U98" s="727">
        <v>12.279142925142859</v>
      </c>
      <c r="V98" s="727">
        <v>13.139822822857143</v>
      </c>
      <c r="W98" s="727">
        <v>1.2642857177142857</v>
      </c>
      <c r="X98" s="727">
        <v>52.87071446142857</v>
      </c>
      <c r="Y98" s="727">
        <v>11.989999907285712</v>
      </c>
    </row>
    <row r="99" spans="14:25">
      <c r="O99" s="278">
        <v>44</v>
      </c>
      <c r="P99" s="623">
        <v>44</v>
      </c>
      <c r="Q99" s="727">
        <v>7.8245713370000001</v>
      </c>
      <c r="R99" s="727">
        <v>6.0929999348571409</v>
      </c>
      <c r="S99" s="727">
        <v>68.079284669999993</v>
      </c>
      <c r="T99" s="727">
        <v>33.011999948571429</v>
      </c>
      <c r="U99" s="727">
        <v>8.685571329857142</v>
      </c>
      <c r="V99" s="727">
        <v>13.275356975714287</v>
      </c>
      <c r="W99" s="727">
        <v>1.1857142621428574</v>
      </c>
      <c r="X99" s="727">
        <v>36.208572388571426</v>
      </c>
      <c r="Y99" s="727">
        <v>7.9394285338571438</v>
      </c>
    </row>
    <row r="100" spans="14:25">
      <c r="P100" s="623">
        <v>45</v>
      </c>
      <c r="Q100" s="727">
        <v>9.4607142031428566</v>
      </c>
      <c r="R100" s="727">
        <v>6.8107141777142859</v>
      </c>
      <c r="S100" s="727">
        <v>71.555715832857132</v>
      </c>
      <c r="T100" s="727">
        <v>77.119000028571435</v>
      </c>
      <c r="U100" s="727">
        <v>11.169571467285715</v>
      </c>
      <c r="V100" s="727">
        <v>14</v>
      </c>
      <c r="W100" s="727">
        <v>1.1200000049999999</v>
      </c>
      <c r="X100" s="727">
        <v>61.867856707142856</v>
      </c>
      <c r="Y100" s="727">
        <v>10.621285710571428</v>
      </c>
    </row>
    <row r="101" spans="14:25">
      <c r="P101" s="623">
        <v>46</v>
      </c>
      <c r="Q101" s="727">
        <v>9.3077141910000005</v>
      </c>
      <c r="R101" s="727">
        <v>7.0327142307142854</v>
      </c>
      <c r="S101" s="727">
        <v>91.077428547142858</v>
      </c>
      <c r="T101" s="727">
        <v>102.37485722571429</v>
      </c>
      <c r="U101" s="727">
        <v>13.601000102857142</v>
      </c>
      <c r="V101" s="727">
        <v>14.050535747142858</v>
      </c>
      <c r="W101" s="727">
        <v>1.1085714441428569</v>
      </c>
      <c r="X101" s="727">
        <v>108.26642826857143</v>
      </c>
      <c r="Y101" s="727">
        <v>19.484428541428574</v>
      </c>
    </row>
    <row r="102" spans="14:25">
      <c r="P102" s="623">
        <v>47</v>
      </c>
      <c r="Q102" s="727">
        <v>9.4625713492857138</v>
      </c>
      <c r="R102" s="727">
        <v>5.5844285494285719</v>
      </c>
      <c r="S102" s="727">
        <v>81.972856794285704</v>
      </c>
      <c r="T102" s="727">
        <v>82.511857174285723</v>
      </c>
      <c r="U102" s="727">
        <v>10.628571509714286</v>
      </c>
      <c r="V102" s="727">
        <v>13.985775811428573</v>
      </c>
      <c r="W102" s="727">
        <v>1.1000000240000001</v>
      </c>
      <c r="X102" s="727">
        <v>123.16000039999999</v>
      </c>
      <c r="Y102" s="727">
        <v>19.475428171428575</v>
      </c>
    </row>
    <row r="103" spans="14:25">
      <c r="P103" s="623">
        <v>48</v>
      </c>
      <c r="Q103" s="727">
        <v>10.788142817999999</v>
      </c>
      <c r="R103" s="727">
        <v>7.5644286014285722</v>
      </c>
      <c r="S103" s="727">
        <v>84.626999989999987</v>
      </c>
      <c r="T103" s="727">
        <v>67.75</v>
      </c>
      <c r="U103" s="727">
        <v>8.4404285975714277</v>
      </c>
      <c r="V103" s="727">
        <v>13.781128474285714</v>
      </c>
      <c r="W103" s="727">
        <v>1.1000000240000001</v>
      </c>
      <c r="X103" s="727">
        <v>94.382143292857137</v>
      </c>
      <c r="Y103" s="727">
        <v>16.918428555714282</v>
      </c>
    </row>
    <row r="104" spans="14:25">
      <c r="P104" s="623">
        <v>49</v>
      </c>
      <c r="Q104" s="727">
        <v>12.195857184142856</v>
      </c>
      <c r="R104" s="727">
        <v>8.7971429828571424</v>
      </c>
      <c r="S104" s="727">
        <v>127.52371543</v>
      </c>
      <c r="T104" s="727">
        <v>92.821572431428564</v>
      </c>
      <c r="U104" s="727">
        <v>12.563142707428572</v>
      </c>
      <c r="V104" s="727">
        <v>13.148691448571428</v>
      </c>
      <c r="W104" s="727">
        <v>1.1000000000000001</v>
      </c>
      <c r="X104" s="727">
        <v>134.38285718142859</v>
      </c>
      <c r="Y104" s="727">
        <v>23.580285755714289</v>
      </c>
    </row>
    <row r="105" spans="14:25">
      <c r="P105" s="623">
        <v>50</v>
      </c>
      <c r="Q105" s="727">
        <v>12.195857184142856</v>
      </c>
      <c r="R105" s="727">
        <v>8.7971429828571424</v>
      </c>
      <c r="S105" s="727">
        <v>183.5428575857143</v>
      </c>
      <c r="T105" s="727">
        <v>117.73200008285714</v>
      </c>
      <c r="U105" s="727">
        <v>21.506999832857144</v>
      </c>
      <c r="V105" s="727">
        <v>12.61392865857143</v>
      </c>
      <c r="W105" s="727">
        <v>1.1014285939999999</v>
      </c>
      <c r="X105" s="727">
        <v>210.99928282857144</v>
      </c>
      <c r="Y105" s="727">
        <v>41.892142702857143</v>
      </c>
    </row>
    <row r="106" spans="14:25">
      <c r="P106" s="623">
        <v>51</v>
      </c>
      <c r="Q106" s="727">
        <v>18.622142792857144</v>
      </c>
      <c r="R106" s="727">
        <v>18.057571141428571</v>
      </c>
      <c r="S106" s="727">
        <v>292.95071844285718</v>
      </c>
      <c r="T106" s="727">
        <v>180.44057028571427</v>
      </c>
      <c r="U106" s="727">
        <v>47.032857078571432</v>
      </c>
      <c r="V106" s="727">
        <v>12.600475584285714</v>
      </c>
      <c r="W106" s="727">
        <v>1.1000000240000001</v>
      </c>
      <c r="X106" s="727">
        <v>166.85428727142857</v>
      </c>
      <c r="Y106" s="727">
        <v>39.827428544285716</v>
      </c>
    </row>
    <row r="107" spans="14:25">
      <c r="P107" s="623">
        <v>52</v>
      </c>
      <c r="Q107" s="727">
        <v>29.98</v>
      </c>
      <c r="R107" s="727">
        <v>19.592142921428572</v>
      </c>
      <c r="S107" s="727">
        <v>381.11599999999993</v>
      </c>
      <c r="T107" s="727">
        <v>222.82728794285717</v>
      </c>
      <c r="U107" s="727">
        <v>45.963714052857135</v>
      </c>
      <c r="V107" s="727">
        <v>12.617798667142859</v>
      </c>
      <c r="W107" s="727">
        <v>1.4000000274285713</v>
      </c>
      <c r="X107" s="727">
        <v>293.28928701428578</v>
      </c>
      <c r="Y107" s="727">
        <v>62.57285690285714</v>
      </c>
    </row>
    <row r="108" spans="14:25">
      <c r="O108" s="278">
        <v>53</v>
      </c>
      <c r="P108" s="623">
        <v>53</v>
      </c>
      <c r="Q108" s="727">
        <v>16.182714325714286</v>
      </c>
      <c r="R108" s="727">
        <v>8.7855713015714283</v>
      </c>
      <c r="S108" s="727">
        <v>271.83385794285715</v>
      </c>
      <c r="T108" s="727">
        <v>172.15485925714285</v>
      </c>
      <c r="U108" s="727">
        <v>29.933428355714284</v>
      </c>
      <c r="V108" s="727">
        <v>12.85226127</v>
      </c>
      <c r="W108" s="727">
        <v>1.4571428811428571</v>
      </c>
      <c r="X108" s="727">
        <v>278.16286141428571</v>
      </c>
      <c r="Y108" s="727">
        <v>97.806430279999987</v>
      </c>
    </row>
    <row r="109" spans="14:25">
      <c r="N109" s="278">
        <v>2020</v>
      </c>
      <c r="P109" s="623">
        <v>1</v>
      </c>
      <c r="Q109" s="727">
        <v>12.763571330479184</v>
      </c>
      <c r="R109" s="727">
        <v>7.4842857292720009</v>
      </c>
      <c r="S109" s="727">
        <v>176.20814078194715</v>
      </c>
      <c r="T109" s="727">
        <v>130.2321406773155</v>
      </c>
      <c r="U109" s="727">
        <v>24.27742849077493</v>
      </c>
      <c r="V109" s="727">
        <v>14.514315741402715</v>
      </c>
      <c r="W109" s="727">
        <v>2.278571367263786</v>
      </c>
      <c r="X109" s="727">
        <v>468.15499877929659</v>
      </c>
      <c r="Y109" s="727">
        <v>152.80385916573601</v>
      </c>
    </row>
    <row r="110" spans="14:25">
      <c r="P110" s="623">
        <v>2</v>
      </c>
      <c r="Q110" s="727">
        <v>13.386285781428571</v>
      </c>
      <c r="R110" s="727">
        <v>6.9174285272857139</v>
      </c>
      <c r="S110" s="727">
        <v>159.75199889999999</v>
      </c>
      <c r="T110" s="727">
        <v>106.97614288285715</v>
      </c>
      <c r="U110" s="727">
        <v>30.680286678571431</v>
      </c>
      <c r="V110" s="727">
        <v>13.21958133142857</v>
      </c>
      <c r="W110" s="727">
        <v>1.8857142757142857</v>
      </c>
      <c r="X110" s="727">
        <v>213.59428187142859</v>
      </c>
      <c r="Y110" s="727">
        <v>97.949856347142855</v>
      </c>
    </row>
    <row r="111" spans="14:25">
      <c r="P111" s="623">
        <v>3</v>
      </c>
      <c r="Q111" s="727">
        <v>15.196428435714285</v>
      </c>
      <c r="R111" s="727">
        <v>11.330428599714283</v>
      </c>
      <c r="S111" s="727">
        <v>243.87700107142857</v>
      </c>
      <c r="T111" s="727">
        <v>137.04186028571428</v>
      </c>
      <c r="U111" s="727">
        <v>40.240000044285715</v>
      </c>
      <c r="V111" s="727">
        <v>16.855534282857143</v>
      </c>
      <c r="W111" s="727">
        <v>6.3075712748571418</v>
      </c>
      <c r="X111" s="727">
        <v>247.26214164285713</v>
      </c>
      <c r="Y111" s="727">
        <v>78.131857190000005</v>
      </c>
    </row>
    <row r="112" spans="14:25">
      <c r="P112" s="623">
        <v>4</v>
      </c>
      <c r="Q112" s="727">
        <v>16.57199968714286</v>
      </c>
      <c r="R112" s="727">
        <v>12.821999958571428</v>
      </c>
      <c r="S112" s="727">
        <v>236.61043005714285</v>
      </c>
      <c r="T112" s="727">
        <v>121.29742760000001</v>
      </c>
      <c r="U112" s="727">
        <v>26.470714297142855</v>
      </c>
      <c r="V112" s="727">
        <v>22.011848449999999</v>
      </c>
      <c r="W112" s="727">
        <v>4.3669999327142861</v>
      </c>
      <c r="X112" s="727">
        <v>212.78856985714287</v>
      </c>
      <c r="Y112" s="727">
        <v>52.875</v>
      </c>
    </row>
    <row r="113" spans="15:25">
      <c r="P113" s="623">
        <v>5</v>
      </c>
      <c r="Q113" s="727">
        <v>25.675428661428576</v>
      </c>
      <c r="R113" s="727">
        <v>18.254856927142857</v>
      </c>
      <c r="S113" s="727">
        <v>392.82542635714287</v>
      </c>
      <c r="T113" s="727">
        <v>216.11300005714287</v>
      </c>
      <c r="U113" s="727">
        <v>48.707714625714289</v>
      </c>
      <c r="V113" s="727">
        <v>14.496191432857142</v>
      </c>
      <c r="W113" s="727">
        <v>2.6891428574285712</v>
      </c>
      <c r="X113" s="727">
        <v>410.15428595714286</v>
      </c>
      <c r="Y113" s="727">
        <v>99.128998899999985</v>
      </c>
    </row>
    <row r="114" spans="15:25">
      <c r="P114" s="623">
        <v>6</v>
      </c>
      <c r="Q114" s="727">
        <v>22.638571330479174</v>
      </c>
      <c r="R114" s="727">
        <v>17.332571574619813</v>
      </c>
      <c r="S114" s="727">
        <v>448.59157017299066</v>
      </c>
      <c r="T114" s="727">
        <v>221.35714285714261</v>
      </c>
      <c r="U114" s="727">
        <v>51.925000326974022</v>
      </c>
      <c r="V114" s="727">
        <v>17.659045491899729</v>
      </c>
      <c r="W114" s="727">
        <v>9.7964284079415354</v>
      </c>
      <c r="X114" s="727">
        <v>622.45499965122758</v>
      </c>
      <c r="Y114" s="727">
        <v>151.47385733468144</v>
      </c>
    </row>
    <row r="115" spans="15:25">
      <c r="P115" s="623">
        <v>7</v>
      </c>
      <c r="Q115" s="727">
        <v>24.818285805714286</v>
      </c>
      <c r="R115" s="727">
        <v>19.436000279999998</v>
      </c>
      <c r="S115" s="727">
        <v>374.25799560000002</v>
      </c>
      <c r="T115" s="727">
        <v>142.54771639999998</v>
      </c>
      <c r="U115" s="727">
        <v>37.997142247142854</v>
      </c>
      <c r="V115" s="727">
        <v>23.642735891428568</v>
      </c>
      <c r="W115" s="727">
        <v>10.810714449000001</v>
      </c>
      <c r="X115" s="727">
        <v>434.32357352857144</v>
      </c>
      <c r="Y115" s="727">
        <v>148.12728554285715</v>
      </c>
    </row>
    <row r="116" spans="15:25">
      <c r="O116" s="278">
        <v>8</v>
      </c>
      <c r="P116" s="623">
        <v>8</v>
      </c>
      <c r="Q116" s="727">
        <v>16.877285957336387</v>
      </c>
      <c r="R116" s="727">
        <v>13.084142684936484</v>
      </c>
      <c r="S116" s="727">
        <v>289.19357081821948</v>
      </c>
      <c r="T116" s="727">
        <v>162.01200212751087</v>
      </c>
      <c r="U116" s="727">
        <v>30.780285699026873</v>
      </c>
      <c r="V116" s="727">
        <v>23.681545802525072</v>
      </c>
      <c r="W116" s="727">
        <v>21.290571621486073</v>
      </c>
      <c r="X116" s="727">
        <v>403.40571376255542</v>
      </c>
      <c r="Y116" s="727">
        <v>143.28899928501644</v>
      </c>
    </row>
    <row r="117" spans="15:25">
      <c r="P117" s="623">
        <v>9</v>
      </c>
      <c r="Q117" s="727">
        <v>20.463000162857146</v>
      </c>
      <c r="R117" s="727">
        <v>16.131428717142857</v>
      </c>
      <c r="S117" s="727">
        <v>302.38613892857137</v>
      </c>
      <c r="T117" s="727">
        <v>174.72028894285717</v>
      </c>
      <c r="U117" s="727">
        <v>36.13400023285714</v>
      </c>
      <c r="V117" s="727">
        <v>23.625475747142854</v>
      </c>
      <c r="W117" s="727">
        <v>11.064000130142858</v>
      </c>
      <c r="X117" s="727">
        <v>388.35356794285718</v>
      </c>
      <c r="Y117" s="727">
        <v>84.357999531428575</v>
      </c>
    </row>
    <row r="118" spans="15:25">
      <c r="P118" s="623">
        <v>10</v>
      </c>
      <c r="Q118" s="727">
        <v>20.001714159999999</v>
      </c>
      <c r="R118" s="727">
        <v>16.133428572857145</v>
      </c>
      <c r="S118" s="727">
        <v>219.49971445714283</v>
      </c>
      <c r="T118" s="727">
        <v>118.91071428571429</v>
      </c>
      <c r="U118" s="727">
        <v>22.61842863857143</v>
      </c>
      <c r="V118" s="727">
        <v>23.72583552857143</v>
      </c>
      <c r="W118" s="727">
        <v>5.0324285712857142</v>
      </c>
      <c r="X118" s="727">
        <v>317.96785625714284</v>
      </c>
      <c r="Y118" s="727">
        <v>76.472572329999977</v>
      </c>
    </row>
    <row r="119" spans="15:25">
      <c r="P119" s="623">
        <v>11</v>
      </c>
      <c r="Q119" s="727">
        <v>20.464285714285715</v>
      </c>
      <c r="R119" s="727">
        <v>16.275285719999999</v>
      </c>
      <c r="S119" s="727">
        <v>210.39014761428572</v>
      </c>
      <c r="T119" s="727">
        <v>145.36899785714286</v>
      </c>
      <c r="U119" s="727">
        <v>39.343428748571434</v>
      </c>
      <c r="V119" s="727">
        <v>23.714347295714287</v>
      </c>
      <c r="W119" s="727">
        <v>12.165999821428571</v>
      </c>
      <c r="X119" s="727">
        <v>377.62500435714281</v>
      </c>
      <c r="Y119" s="727">
        <v>110.78628649857141</v>
      </c>
    </row>
    <row r="120" spans="15:25">
      <c r="P120" s="623">
        <v>12</v>
      </c>
      <c r="Q120" s="727">
        <v>23.032714026314846</v>
      </c>
      <c r="R120" s="727">
        <v>20.180714198521169</v>
      </c>
      <c r="S120" s="727">
        <v>335.19785417829189</v>
      </c>
      <c r="T120" s="727">
        <v>171.26185716901472</v>
      </c>
      <c r="U120" s="727">
        <v>46.286999838692772</v>
      </c>
      <c r="V120" s="727">
        <v>23.623331614903002</v>
      </c>
      <c r="W120" s="727">
        <v>11.119714055742502</v>
      </c>
      <c r="X120" s="727">
        <v>380.85929216657314</v>
      </c>
      <c r="Y120" s="727">
        <v>113.32999965122723</v>
      </c>
    </row>
    <row r="121" spans="15:25">
      <c r="P121" s="623">
        <v>13</v>
      </c>
      <c r="Q121" s="727">
        <v>27.558857236589642</v>
      </c>
      <c r="R121" s="727">
        <v>21.319143022809669</v>
      </c>
      <c r="S121" s="727">
        <v>569.31741768973188</v>
      </c>
      <c r="T121" s="727">
        <v>241.59529113769531</v>
      </c>
      <c r="U121" s="727">
        <v>63.414285387311629</v>
      </c>
      <c r="V121" s="727">
        <v>22.128154209681874</v>
      </c>
      <c r="W121" s="727">
        <v>6.0048571995326432</v>
      </c>
      <c r="X121" s="727">
        <v>332.15285818917374</v>
      </c>
      <c r="Y121" s="727">
        <v>97.158571515764294</v>
      </c>
    </row>
    <row r="122" spans="15:25">
      <c r="P122" s="623">
        <v>14</v>
      </c>
      <c r="Q122" s="727">
        <v>18.795857294285714</v>
      </c>
      <c r="R122" s="727">
        <v>18.168000220000003</v>
      </c>
      <c r="S122" s="727">
        <v>298.48543221428571</v>
      </c>
      <c r="T122" s="727">
        <v>156.28586031428571</v>
      </c>
      <c r="U122" s="727">
        <v>40.567142485714285</v>
      </c>
      <c r="V122" s="727">
        <v>21.36</v>
      </c>
      <c r="W122" s="727">
        <v>4.6619999238571435</v>
      </c>
      <c r="X122" s="727">
        <v>272.16142927142863</v>
      </c>
      <c r="Y122" s="727">
        <v>87.023999895714283</v>
      </c>
    </row>
    <row r="123" spans="15:25">
      <c r="P123" s="623">
        <v>15</v>
      </c>
      <c r="Q123" s="624">
        <v>16.380999974285714</v>
      </c>
      <c r="R123" s="624">
        <v>14.786285537142858</v>
      </c>
      <c r="S123" s="624">
        <v>196.30642698571427</v>
      </c>
      <c r="T123" s="624">
        <v>126.20242854857143</v>
      </c>
      <c r="U123" s="624">
        <v>27.609000341428576</v>
      </c>
      <c r="V123" s="624">
        <v>23.601429802857144</v>
      </c>
      <c r="W123" s="624">
        <v>2.5870000464285714</v>
      </c>
      <c r="X123" s="624">
        <v>174.17928642857143</v>
      </c>
      <c r="Y123" s="624">
        <v>56.692000798571428</v>
      </c>
    </row>
    <row r="124" spans="15:25">
      <c r="O124" s="278">
        <v>16</v>
      </c>
      <c r="P124" s="623">
        <v>16</v>
      </c>
      <c r="Q124" s="727">
        <v>15.142857142857142</v>
      </c>
      <c r="R124" s="727">
        <v>11.113285608857142</v>
      </c>
      <c r="S124" s="727">
        <v>144.25785718571427</v>
      </c>
      <c r="T124" s="727">
        <v>112.32742854857143</v>
      </c>
      <c r="U124" s="727">
        <v>23.319143022857144</v>
      </c>
      <c r="V124" s="727">
        <v>16.145714351428573</v>
      </c>
      <c r="W124" s="727">
        <v>1.9568571534285717</v>
      </c>
      <c r="X124" s="727">
        <v>124.01500048571428</v>
      </c>
      <c r="Y124" s="727">
        <v>41.578285762857142</v>
      </c>
    </row>
    <row r="125" spans="15:25">
      <c r="P125" s="623">
        <v>17</v>
      </c>
      <c r="Q125" s="727">
        <v>14.535142626081141</v>
      </c>
      <c r="R125" s="727">
        <v>7.95871441704886</v>
      </c>
      <c r="S125" s="727">
        <v>118.61742946079741</v>
      </c>
      <c r="T125" s="727">
        <v>86.636999947684131</v>
      </c>
      <c r="U125" s="727">
        <v>19.662570953369116</v>
      </c>
      <c r="V125" s="727">
        <v>14.007261548723459</v>
      </c>
      <c r="W125" s="727">
        <v>2.0897142546517471</v>
      </c>
      <c r="X125" s="727">
        <v>109.72071402413471</v>
      </c>
      <c r="Y125" s="727">
        <v>32.277857099260544</v>
      </c>
    </row>
    <row r="126" spans="15:25">
      <c r="P126" s="623">
        <v>18</v>
      </c>
      <c r="Q126" s="727">
        <v>15.919285638571427</v>
      </c>
      <c r="R126" s="727">
        <v>12.133857388142859</v>
      </c>
      <c r="S126" s="727">
        <v>119.46943012857146</v>
      </c>
      <c r="T126" s="727">
        <v>95.79771531714286</v>
      </c>
      <c r="U126" s="727">
        <v>21.329571314285715</v>
      </c>
      <c r="V126" s="727">
        <v>12.484048571428572</v>
      </c>
      <c r="W126" s="727">
        <v>2.074857081857143</v>
      </c>
      <c r="X126" s="727">
        <v>121.69785745714287</v>
      </c>
      <c r="Y126" s="727">
        <v>27.218570980000003</v>
      </c>
    </row>
    <row r="127" spans="15:25">
      <c r="P127" s="623">
        <v>19</v>
      </c>
      <c r="Q127" s="727">
        <v>16.148714472857144</v>
      </c>
      <c r="R127" s="727">
        <v>14.776714189999998</v>
      </c>
      <c r="S127" s="727">
        <v>179.62085941428572</v>
      </c>
      <c r="T127" s="727">
        <v>63.654857091428575</v>
      </c>
      <c r="U127" s="727">
        <v>18.961428234285709</v>
      </c>
      <c r="V127" s="727">
        <v>11.436902861999998</v>
      </c>
      <c r="W127" s="727">
        <v>1.6491428614285712</v>
      </c>
      <c r="X127" s="727">
        <v>98.23285565285714</v>
      </c>
      <c r="Y127" s="727">
        <v>23.996714454285712</v>
      </c>
    </row>
    <row r="128" spans="15:25">
      <c r="P128" s="623">
        <v>20</v>
      </c>
      <c r="Q128" s="727">
        <v>13.91285719</v>
      </c>
      <c r="R128" s="727">
        <v>10.484285559</v>
      </c>
      <c r="S128" s="727">
        <v>132.41042655714287</v>
      </c>
      <c r="T128" s="727">
        <v>63.017857142857146</v>
      </c>
      <c r="U128" s="727">
        <v>17.724285941428572</v>
      </c>
      <c r="V128" s="727">
        <v>12.01881</v>
      </c>
      <c r="W128" s="727">
        <v>1.6491428614285712</v>
      </c>
      <c r="X128" s="727">
        <v>74.486427307142861</v>
      </c>
      <c r="Y128" s="727">
        <v>27.218570980000003</v>
      </c>
    </row>
    <row r="129" spans="15:26">
      <c r="P129" s="623">
        <v>21</v>
      </c>
      <c r="Q129" s="727">
        <v>12.832571710859</v>
      </c>
      <c r="R129" s="727">
        <v>8.7072857448032899</v>
      </c>
      <c r="S129" s="727">
        <v>118.96285901750787</v>
      </c>
      <c r="T129" s="727">
        <v>55.553428649902308</v>
      </c>
      <c r="U129" s="727">
        <v>14.547714369637587</v>
      </c>
      <c r="V129" s="727">
        <v>11.963334356035457</v>
      </c>
      <c r="W129" s="727">
        <v>1.6175714560917398</v>
      </c>
      <c r="X129" s="727">
        <v>66.354285648890865</v>
      </c>
      <c r="Y129" s="727">
        <v>17.639571326119512</v>
      </c>
    </row>
    <row r="130" spans="15:26">
      <c r="P130" s="623">
        <v>22</v>
      </c>
      <c r="Q130" s="727">
        <v>11.589857237142857</v>
      </c>
      <c r="R130" s="727">
        <v>7.6087141037142851</v>
      </c>
      <c r="S130" s="727">
        <v>92.527713229999989</v>
      </c>
      <c r="T130" s="727">
        <v>48.85114288285714</v>
      </c>
      <c r="U130" s="727">
        <v>12.851142882857143</v>
      </c>
      <c r="V130" s="727">
        <v>11.972144264285713</v>
      </c>
      <c r="W130" s="727">
        <v>1.7258571555714286</v>
      </c>
      <c r="X130" s="727">
        <v>60.742857795714293</v>
      </c>
      <c r="Y130" s="727">
        <v>13.389714241428573</v>
      </c>
    </row>
    <row r="131" spans="15:26">
      <c r="P131" s="623">
        <v>23</v>
      </c>
      <c r="Q131" s="727">
        <v>10.866000038571428</v>
      </c>
      <c r="R131" s="727">
        <v>6.6898570742857144</v>
      </c>
      <c r="S131" s="727">
        <v>86.262142725714284</v>
      </c>
      <c r="T131" s="727">
        <v>49.02971431142857</v>
      </c>
      <c r="U131" s="727">
        <v>13.300571305714286</v>
      </c>
      <c r="V131" s="727">
        <v>12.060297148571431</v>
      </c>
      <c r="W131" s="727">
        <v>2.2755714314285713</v>
      </c>
      <c r="X131" s="727">
        <v>60.932143074285719</v>
      </c>
      <c r="Y131" s="727">
        <v>13.06000001</v>
      </c>
    </row>
    <row r="132" spans="15:26">
      <c r="O132" s="278">
        <v>24</v>
      </c>
      <c r="P132" s="549">
        <v>24</v>
      </c>
      <c r="Q132" s="727">
        <v>10.893428530011814</v>
      </c>
      <c r="R132" s="727">
        <v>6.3937142235892095</v>
      </c>
      <c r="S132" s="727">
        <v>80.154999869210343</v>
      </c>
      <c r="T132" s="727">
        <v>39.363000052315797</v>
      </c>
      <c r="U132" s="727">
        <v>11.205857140677287</v>
      </c>
      <c r="V132" s="727">
        <v>12.025059972490542</v>
      </c>
      <c r="W132" s="727">
        <v>2.2755714314324473</v>
      </c>
      <c r="X132" s="727">
        <v>56.771429334367994</v>
      </c>
      <c r="Y132" s="727">
        <v>10.094714164733857</v>
      </c>
    </row>
    <row r="133" spans="15:26">
      <c r="P133" s="549">
        <v>25</v>
      </c>
      <c r="Q133" s="727">
        <v>9.7685713087142858</v>
      </c>
      <c r="R133" s="727">
        <v>5.4858571460000007</v>
      </c>
      <c r="S133" s="727">
        <v>71.438000270000003</v>
      </c>
      <c r="T133" s="727">
        <v>31.88514287142857</v>
      </c>
      <c r="U133" s="727">
        <v>9.1724285395714276</v>
      </c>
      <c r="V133" s="727">
        <v>11.867550168571428</v>
      </c>
      <c r="W133" s="727">
        <v>1.7577142885714285</v>
      </c>
      <c r="X133" s="727">
        <v>51.780714305714291</v>
      </c>
      <c r="Y133" s="727">
        <v>9.1595716474285691</v>
      </c>
    </row>
    <row r="134" spans="15:26">
      <c r="P134" s="549">
        <v>26</v>
      </c>
      <c r="Q134" s="727">
        <v>9.3011428291428579</v>
      </c>
      <c r="R134" s="727">
        <v>5.6422856875714285</v>
      </c>
      <c r="S134" s="727">
        <v>70.798141479999998</v>
      </c>
      <c r="T134" s="727">
        <v>29.80342864857143</v>
      </c>
      <c r="U134" s="727">
        <v>8.6642858641428564</v>
      </c>
      <c r="V134" s="727">
        <v>11.961507115714285</v>
      </c>
      <c r="W134" s="727">
        <v>1.7387143204285713</v>
      </c>
      <c r="X134" s="727">
        <v>47.265713828571435</v>
      </c>
      <c r="Y134" s="727">
        <v>8.8348572594285706</v>
      </c>
    </row>
    <row r="135" spans="15:26">
      <c r="P135" s="549">
        <v>27</v>
      </c>
      <c r="Q135" s="727">
        <v>9.0898572376796078</v>
      </c>
      <c r="R135" s="727">
        <v>4.8411428587777223</v>
      </c>
      <c r="S135" s="727">
        <v>72.323284694126613</v>
      </c>
      <c r="T135" s="727">
        <v>28.875142778669062</v>
      </c>
      <c r="U135" s="727">
        <v>8.3150001253400507</v>
      </c>
      <c r="V135" s="727">
        <v>12.125935554504371</v>
      </c>
      <c r="W135" s="727">
        <v>2.0545714242117699</v>
      </c>
      <c r="X135" s="727">
        <v>44.601428440638877</v>
      </c>
      <c r="Y135" s="727">
        <v>8.4665715353829452</v>
      </c>
    </row>
    <row r="136" spans="15:26">
      <c r="P136" s="549">
        <v>28</v>
      </c>
      <c r="Q136" s="727">
        <v>8.3315715788571421</v>
      </c>
      <c r="R136" s="727">
        <v>4.0902857780000001</v>
      </c>
      <c r="S136" s="727">
        <v>70.352427891428562</v>
      </c>
      <c r="T136" s="727">
        <v>27.071428571428573</v>
      </c>
      <c r="U136" s="727">
        <v>7.9792855807142846</v>
      </c>
      <c r="V136" s="727">
        <v>12.036131450000001</v>
      </c>
      <c r="W136" s="727">
        <v>1.862857103571429</v>
      </c>
      <c r="X136" s="727">
        <v>42.742857252857149</v>
      </c>
      <c r="Y136" s="727">
        <v>7.6952857290000001</v>
      </c>
    </row>
    <row r="137" spans="15:26">
      <c r="P137" s="549">
        <v>29</v>
      </c>
      <c r="Q137" s="727">
        <v>8.7399999755714273</v>
      </c>
      <c r="R137" s="727">
        <v>3.3690000857142857</v>
      </c>
      <c r="S137" s="727">
        <v>69.363000051428585</v>
      </c>
      <c r="T137" s="727">
        <v>26.369142805714286</v>
      </c>
      <c r="U137" s="727">
        <v>7.2952857698571441</v>
      </c>
      <c r="V137" s="727">
        <v>12.01250158142857</v>
      </c>
      <c r="W137" s="727">
        <v>2.1428571427142855</v>
      </c>
      <c r="X137" s="727">
        <v>40.262857164285712</v>
      </c>
      <c r="Y137" s="727">
        <v>7.1297142847142867</v>
      </c>
    </row>
    <row r="138" spans="15:26">
      <c r="P138" s="549">
        <v>30</v>
      </c>
      <c r="Q138" s="727">
        <v>8.2612857819999999</v>
      </c>
      <c r="R138" s="727">
        <v>3.9334286622857135</v>
      </c>
      <c r="S138" s="727">
        <v>68.101856775714282</v>
      </c>
      <c r="T138" s="727">
        <v>23.077571325714285</v>
      </c>
      <c r="U138" s="727">
        <v>7.5452858379999999</v>
      </c>
      <c r="V138" s="727">
        <v>12.065415654285715</v>
      </c>
      <c r="W138" s="727">
        <v>2.0148571899999999</v>
      </c>
      <c r="X138" s="727">
        <v>39.827141895714291</v>
      </c>
      <c r="Y138" s="727">
        <v>8.1214285577142853</v>
      </c>
    </row>
    <row r="139" spans="15:26">
      <c r="P139" s="549">
        <v>31</v>
      </c>
      <c r="Q139" s="727">
        <v>7.5295715331428577</v>
      </c>
      <c r="R139" s="727">
        <v>3.8718570981428577</v>
      </c>
      <c r="S139" s="727">
        <v>66.163572037142856</v>
      </c>
      <c r="T139" s="727">
        <v>20.36314283098493</v>
      </c>
      <c r="U139" s="727">
        <v>7.1267142297142865</v>
      </c>
      <c r="V139" s="727">
        <v>12.064045632857143</v>
      </c>
      <c r="W139" s="727">
        <v>2.0708571672857143</v>
      </c>
      <c r="X139" s="727">
        <v>37.761428834285709</v>
      </c>
      <c r="Y139" s="727">
        <v>8.1097143717142863</v>
      </c>
    </row>
    <row r="140" spans="15:26">
      <c r="O140" s="278">
        <v>32</v>
      </c>
      <c r="P140" s="549">
        <v>32</v>
      </c>
      <c r="Q140" s="727">
        <v>7.1332857268197154</v>
      </c>
      <c r="R140" s="727">
        <v>3.9694285733359158</v>
      </c>
      <c r="S140" s="727">
        <v>69.589143480573355</v>
      </c>
      <c r="T140" s="727">
        <v>20.36</v>
      </c>
      <c r="U140" s="727">
        <v>6.828428472791396</v>
      </c>
      <c r="V140" s="727">
        <v>11.89809417724604</v>
      </c>
      <c r="W140" s="727">
        <v>1.7728571551186658</v>
      </c>
      <c r="X140" s="727">
        <v>37.760714394705587</v>
      </c>
      <c r="Y140" s="727">
        <v>10.538714272635294</v>
      </c>
    </row>
    <row r="141" spans="15:26">
      <c r="P141" s="549">
        <v>33</v>
      </c>
      <c r="Q141" s="727">
        <v>7.307000092</v>
      </c>
      <c r="R141" s="727">
        <v>4.0542857307142848</v>
      </c>
      <c r="S141" s="727">
        <v>67.52914374142857</v>
      </c>
      <c r="T141" s="727">
        <v>23.369000025714286</v>
      </c>
      <c r="U141" s="727">
        <v>6.6690000125714279</v>
      </c>
      <c r="V141" s="727">
        <v>11.954105787142856</v>
      </c>
      <c r="W141" s="727">
        <v>1.7154285907142857</v>
      </c>
      <c r="X141" s="727">
        <v>38.402142115714284</v>
      </c>
      <c r="Y141" s="727">
        <v>6.1292857952857149</v>
      </c>
    </row>
    <row r="142" spans="15:26">
      <c r="P142" s="549">
        <v>34</v>
      </c>
      <c r="Q142" s="727">
        <v>6.8864285605714288</v>
      </c>
      <c r="R142" s="727">
        <v>3.8852857181428568</v>
      </c>
      <c r="S142" s="727">
        <v>67.307859692857136</v>
      </c>
      <c r="T142" s="727">
        <v>24.434428622857144</v>
      </c>
      <c r="U142" s="727">
        <v>6.6477142742857138</v>
      </c>
      <c r="V142" s="727">
        <v>11.958392961428572</v>
      </c>
      <c r="W142" s="727">
        <v>2.26100002</v>
      </c>
      <c r="X142" s="727">
        <v>36.792856487142856</v>
      </c>
      <c r="Y142" s="727">
        <v>6.0765714645714288</v>
      </c>
    </row>
    <row r="143" spans="15:26">
      <c r="P143" s="549">
        <v>35</v>
      </c>
      <c r="Q143" s="727">
        <v>6.9537143707275364</v>
      </c>
      <c r="R143" s="727">
        <v>3.3560000147138283</v>
      </c>
      <c r="S143" s="727">
        <v>62.870428357805473</v>
      </c>
      <c r="T143" s="727">
        <v>21.077428545270632</v>
      </c>
      <c r="U143" s="727">
        <v>6.0071428843906904</v>
      </c>
      <c r="V143" s="727">
        <v>12.309941428048228</v>
      </c>
      <c r="W143" s="727">
        <v>1.5178571258272411</v>
      </c>
      <c r="X143" s="727">
        <v>37.991428375244077</v>
      </c>
      <c r="Y143" s="727">
        <v>5.9287142923900031</v>
      </c>
      <c r="Z143" s="761"/>
    </row>
    <row r="144" spans="15:26">
      <c r="P144" s="549">
        <v>36</v>
      </c>
      <c r="Q144" s="727">
        <v>6.8990000316074882</v>
      </c>
      <c r="R144" s="727">
        <v>3.1212857110159686</v>
      </c>
      <c r="S144" s="727">
        <v>65.621286119733483</v>
      </c>
      <c r="T144" s="727">
        <v>23.857142857142815</v>
      </c>
      <c r="U144" s="727">
        <v>6.0528572627476231</v>
      </c>
      <c r="V144" s="727">
        <v>12.697084290640644</v>
      </c>
      <c r="W144" s="727">
        <v>1.0650000040020247</v>
      </c>
      <c r="X144" s="727">
        <v>40.24999999999995</v>
      </c>
      <c r="Y144" s="727">
        <v>6.6625714302062962</v>
      </c>
    </row>
    <row r="145" spans="15:25">
      <c r="P145" s="549">
        <v>37</v>
      </c>
      <c r="Q145" s="727">
        <v>6.6838571003505107</v>
      </c>
      <c r="R145" s="727">
        <v>3.6978571414947474</v>
      </c>
      <c r="S145" s="727">
        <v>65.927430289132204</v>
      </c>
      <c r="T145" s="727">
        <v>21.696428571428545</v>
      </c>
      <c r="U145" s="727">
        <v>5.992857115609298</v>
      </c>
      <c r="V145" s="727">
        <v>12.722499983651257</v>
      </c>
      <c r="W145" s="727">
        <v>1.5737142903464156</v>
      </c>
      <c r="X145" s="727">
        <v>41.220714024135006</v>
      </c>
      <c r="Y145" s="727">
        <v>6.7525714465549971</v>
      </c>
    </row>
    <row r="146" spans="15:25">
      <c r="P146" s="549">
        <v>38</v>
      </c>
      <c r="Q146" s="727">
        <v>7.5399999618530247</v>
      </c>
      <c r="R146" s="727">
        <v>4.336428608285714</v>
      </c>
      <c r="S146" s="727">
        <v>68.259427751813561</v>
      </c>
      <c r="T146" s="727">
        <v>32.958285740443614</v>
      </c>
      <c r="U146" s="727">
        <v>6.3054285049438423</v>
      </c>
      <c r="V146" s="727">
        <v>12.757261548723429</v>
      </c>
      <c r="W146" s="727">
        <v>1.6808571304593714</v>
      </c>
      <c r="X146" s="727">
        <v>38.451428549630243</v>
      </c>
      <c r="Y146" s="727">
        <v>6.3287143026079411</v>
      </c>
    </row>
    <row r="147" spans="15:25">
      <c r="P147" s="549">
        <v>39</v>
      </c>
      <c r="Q147" s="727">
        <v>6.875</v>
      </c>
      <c r="R147" s="727">
        <v>3.7</v>
      </c>
      <c r="S147" s="727">
        <v>75.159429278571437</v>
      </c>
      <c r="T147" s="727">
        <v>41.827428545714284</v>
      </c>
      <c r="U147" s="727">
        <v>7.6855713981428568</v>
      </c>
      <c r="V147" s="727">
        <v>12.744882855714284</v>
      </c>
      <c r="W147" s="727">
        <v>1.6871428661428571</v>
      </c>
      <c r="X147" s="727">
        <v>41.307143075714286</v>
      </c>
      <c r="Y147" s="727">
        <v>7.4534285069999999</v>
      </c>
    </row>
    <row r="148" spans="15:25">
      <c r="O148" s="278">
        <v>40</v>
      </c>
      <c r="P148" s="549">
        <v>40</v>
      </c>
      <c r="Q148" s="727">
        <v>6.0911429268571426</v>
      </c>
      <c r="R148" s="727">
        <v>3.501428569857143</v>
      </c>
      <c r="S148" s="727">
        <v>73.523286004285723</v>
      </c>
      <c r="T148" s="727">
        <v>30.178571428571427</v>
      </c>
      <c r="U148" s="727">
        <v>7.8047143392857157</v>
      </c>
      <c r="V148" s="727">
        <v>13.59601129857143</v>
      </c>
      <c r="W148" s="727">
        <v>1.6130000010000001</v>
      </c>
      <c r="X148" s="727">
        <v>45.036428724285713</v>
      </c>
      <c r="Y148" s="727">
        <v>6.0369999748571432</v>
      </c>
    </row>
    <row r="149" spans="15:25">
      <c r="P149" s="549">
        <v>41</v>
      </c>
      <c r="Q149" s="727">
        <v>5.8652857372857152</v>
      </c>
      <c r="R149" s="727">
        <v>4.2169999735714283</v>
      </c>
      <c r="S149" s="727">
        <v>67.761285509999993</v>
      </c>
      <c r="T149" s="727">
        <v>24.547571454285713</v>
      </c>
      <c r="U149" s="727">
        <v>6.762428624428571</v>
      </c>
      <c r="V149" s="727">
        <v>13.258037294285714</v>
      </c>
      <c r="W149" s="727">
        <v>1.8452857051428571</v>
      </c>
      <c r="X149" s="727">
        <v>44.255714417142862</v>
      </c>
      <c r="Y149" s="727">
        <v>6.8767141612857143</v>
      </c>
    </row>
    <row r="150" spans="15:25">
      <c r="P150" s="549">
        <v>42</v>
      </c>
      <c r="Q150" s="727">
        <v>6.6280000550406255</v>
      </c>
      <c r="R150" s="727">
        <v>4.7599999564034556</v>
      </c>
      <c r="S150" s="727">
        <v>71.132857186453606</v>
      </c>
      <c r="T150" s="727">
        <v>41.773857116699205</v>
      </c>
      <c r="U150" s="727">
        <v>7.8334286553519048</v>
      </c>
      <c r="V150" s="727">
        <v>12.748987061636742</v>
      </c>
      <c r="W150" s="727">
        <v>1.9990000043596503</v>
      </c>
      <c r="X150" s="727">
        <v>49.407857077462303</v>
      </c>
      <c r="Y150" s="727">
        <v>6.4478571755545433</v>
      </c>
    </row>
    <row r="151" spans="15:25">
      <c r="P151" s="549">
        <v>43</v>
      </c>
      <c r="Q151" s="727">
        <v>7.1351429394285715</v>
      </c>
      <c r="R151" s="727">
        <v>5.693714175857143</v>
      </c>
      <c r="S151" s="727">
        <v>76.869857788571409</v>
      </c>
      <c r="T151" s="727">
        <v>39.60114288285714</v>
      </c>
      <c r="U151" s="727">
        <v>6.4934286387142857</v>
      </c>
      <c r="V151" s="727">
        <v>12.771309988571426</v>
      </c>
      <c r="W151" s="727">
        <v>1.5481428758571429</v>
      </c>
      <c r="X151" s="727">
        <v>49.056428090000004</v>
      </c>
      <c r="Y151" s="727">
        <v>6.2457143240000006</v>
      </c>
    </row>
    <row r="152" spans="15:25">
      <c r="P152" s="549">
        <v>44</v>
      </c>
      <c r="Q152" s="727">
        <v>6.1070000102857147</v>
      </c>
      <c r="R152" s="727">
        <v>4.3958570957142857</v>
      </c>
      <c r="S152" s="727">
        <v>68.664999825714276</v>
      </c>
      <c r="T152" s="727">
        <v>36.702285765714286</v>
      </c>
      <c r="U152" s="727">
        <v>5.6301428931428577</v>
      </c>
      <c r="V152" s="727">
        <v>13.156308445714286</v>
      </c>
      <c r="W152" s="727">
        <v>1.4392857041428573</v>
      </c>
      <c r="X152" s="727">
        <v>48.241428374285711</v>
      </c>
      <c r="Y152" s="727">
        <v>6.5374285491428568</v>
      </c>
    </row>
    <row r="153" spans="15:25">
      <c r="P153" s="549">
        <v>45</v>
      </c>
      <c r="Q153" s="727">
        <v>5.6735714502857144</v>
      </c>
      <c r="R153" s="727">
        <v>4.5134285178571432</v>
      </c>
      <c r="S153" s="727">
        <v>62.049999781428575</v>
      </c>
      <c r="T153" s="727">
        <v>27.797571454285713</v>
      </c>
      <c r="U153" s="727">
        <v>5.3054286411428562</v>
      </c>
      <c r="V153" s="727">
        <v>12.687737055714285</v>
      </c>
      <c r="W153" s="727">
        <v>1.380714297142857</v>
      </c>
      <c r="X153" s="727">
        <v>46.33071463571428</v>
      </c>
      <c r="Y153" s="727">
        <v>6.183142798285715</v>
      </c>
    </row>
    <row r="154" spans="15:25">
      <c r="P154" s="549">
        <v>46</v>
      </c>
      <c r="Q154" s="727">
        <v>5.9637143271428581</v>
      </c>
      <c r="R154" s="727">
        <v>5.3014286587142854</v>
      </c>
      <c r="S154" s="727">
        <v>57.546571460000003</v>
      </c>
      <c r="T154" s="727">
        <v>32.208285740000001</v>
      </c>
      <c r="U154" s="727">
        <v>5.1785714285714288</v>
      </c>
      <c r="V154" s="727">
        <v>13.157975741428572</v>
      </c>
      <c r="W154" s="727">
        <v>1.3845714331428574</v>
      </c>
      <c r="X154" s="727">
        <v>44.693571362857142</v>
      </c>
      <c r="Y154" s="727">
        <v>7.3267143794285712</v>
      </c>
    </row>
    <row r="155" spans="15:25">
      <c r="P155" s="549">
        <v>47</v>
      </c>
      <c r="Q155" s="727">
        <v>6.7792857034285712</v>
      </c>
      <c r="R155" s="727">
        <v>3.8094285555714285</v>
      </c>
      <c r="S155" s="727">
        <v>56.944714135714285</v>
      </c>
      <c r="T155" s="727">
        <v>25.351285662857144</v>
      </c>
      <c r="U155" s="727">
        <v>6.1274285315714279</v>
      </c>
      <c r="V155" s="727">
        <v>12.246785572857144</v>
      </c>
      <c r="W155" s="727">
        <v>1.5065714290000003</v>
      </c>
      <c r="X155" s="727">
        <v>42.967857361428564</v>
      </c>
      <c r="Y155" s="727">
        <v>9.6325714934285713</v>
      </c>
    </row>
    <row r="156" spans="15:25">
      <c r="P156" s="549">
        <v>48</v>
      </c>
      <c r="Q156" s="727">
        <v>8.2138571738571429</v>
      </c>
      <c r="R156" s="727">
        <v>5.0787143024285717</v>
      </c>
      <c r="S156" s="727">
        <v>56.829999651428572</v>
      </c>
      <c r="T156" s="727">
        <v>37.994142805714283</v>
      </c>
      <c r="U156" s="727">
        <v>8.188285623714286</v>
      </c>
      <c r="V156" s="727">
        <v>13.367501529999998</v>
      </c>
      <c r="W156" s="727">
        <v>1.0268571504285715</v>
      </c>
      <c r="X156" s="727">
        <v>63.644285474285716</v>
      </c>
      <c r="Y156" s="727">
        <v>13.102857045714286</v>
      </c>
    </row>
    <row r="157" spans="15:25">
      <c r="P157" s="549">
        <v>49</v>
      </c>
      <c r="Q157" s="727">
        <v>17.68042864142857</v>
      </c>
      <c r="R157" s="727">
        <v>12.998142924285714</v>
      </c>
      <c r="S157" s="727">
        <v>90.966000160000007</v>
      </c>
      <c r="T157" s="727">
        <v>88.630856108571422</v>
      </c>
      <c r="U157" s="727">
        <v>14.530285971857142</v>
      </c>
      <c r="V157" s="727">
        <v>13.053452899999998</v>
      </c>
      <c r="W157" s="727">
        <v>1.0737142817142857</v>
      </c>
      <c r="X157" s="727">
        <v>90.734285625714293</v>
      </c>
      <c r="Y157" s="727">
        <v>17.667142595714285</v>
      </c>
    </row>
    <row r="158" spans="15:25">
      <c r="P158" s="549">
        <v>50</v>
      </c>
      <c r="Q158" s="727">
        <v>12.617142812857141</v>
      </c>
      <c r="R158" s="727">
        <v>11.908142771714285</v>
      </c>
      <c r="S158" s="727">
        <v>83.198000225714296</v>
      </c>
      <c r="T158" s="727">
        <v>44.297571454285716</v>
      </c>
      <c r="U158" s="727">
        <v>9.220428467142856</v>
      </c>
      <c r="V158" s="727">
        <v>13.068511554285712</v>
      </c>
      <c r="W158" s="727">
        <v>1.2921428212857144</v>
      </c>
      <c r="X158" s="727">
        <v>57.20714296714285</v>
      </c>
      <c r="Y158" s="727">
        <v>14.238999775714285</v>
      </c>
    </row>
    <row r="159" spans="15:25">
      <c r="P159" s="549">
        <v>51</v>
      </c>
      <c r="Q159" s="727">
        <v>19.502285685714288</v>
      </c>
      <c r="R159" s="727">
        <v>17.91042859142857</v>
      </c>
      <c r="S159" s="727">
        <v>93.582571842857163</v>
      </c>
      <c r="T159" s="727">
        <v>77.60742949714286</v>
      </c>
      <c r="U159" s="727">
        <v>9.7118571817142847</v>
      </c>
      <c r="V159" s="727">
        <v>12.987917082857143</v>
      </c>
      <c r="W159" s="727">
        <v>1.2780000142857142</v>
      </c>
      <c r="X159" s="727">
        <v>76.025713785714288</v>
      </c>
      <c r="Y159" s="727">
        <v>17.224714688571428</v>
      </c>
    </row>
    <row r="160" spans="15:25">
      <c r="O160" s="278">
        <v>52</v>
      </c>
      <c r="P160" s="549">
        <v>52</v>
      </c>
      <c r="Q160" s="727">
        <v>24.478714262857146</v>
      </c>
      <c r="R160" s="727">
        <v>20.052142824285713</v>
      </c>
      <c r="S160" s="727">
        <v>198.89756992857141</v>
      </c>
      <c r="T160" s="727">
        <v>158.34513965714288</v>
      </c>
      <c r="U160" s="727">
        <v>34.910285677142852</v>
      </c>
      <c r="V160" s="727">
        <v>18.967856814285714</v>
      </c>
      <c r="W160" s="727">
        <v>7.1757142371428566</v>
      </c>
      <c r="X160" s="727">
        <v>180.25785610000003</v>
      </c>
      <c r="Y160" s="727">
        <v>54.019857132857133</v>
      </c>
    </row>
    <row r="161" spans="13:32">
      <c r="N161" s="278">
        <v>2021</v>
      </c>
      <c r="P161" s="623">
        <v>1</v>
      </c>
      <c r="Q161" s="727">
        <v>32.471142904285713</v>
      </c>
      <c r="R161" s="727">
        <v>23.040428705714284</v>
      </c>
      <c r="S161" s="624">
        <v>363.19999692857135</v>
      </c>
      <c r="T161" s="624">
        <v>212.58328465714288</v>
      </c>
      <c r="U161" s="727">
        <v>44.205428261428565</v>
      </c>
      <c r="V161" s="727">
        <v>22.357858387142851</v>
      </c>
      <c r="W161" s="727">
        <v>6.7241427552857145</v>
      </c>
      <c r="X161" s="727">
        <v>233.42357307142856</v>
      </c>
      <c r="Y161" s="727">
        <v>70.259001594285721</v>
      </c>
    </row>
    <row r="162" spans="13:32">
      <c r="P162" s="623">
        <v>2</v>
      </c>
      <c r="Q162" s="727">
        <v>29.357571737142859</v>
      </c>
      <c r="R162" s="727">
        <v>22.506999971428574</v>
      </c>
      <c r="S162" s="624">
        <v>323.79400198571426</v>
      </c>
      <c r="T162" s="624">
        <v>154.41086031428571</v>
      </c>
      <c r="U162" s="727">
        <v>27.91428565857143</v>
      </c>
      <c r="V162" s="727">
        <v>16.044107027142857</v>
      </c>
      <c r="W162" s="727">
        <v>3.2384286270000002</v>
      </c>
      <c r="X162" s="727">
        <v>199.51214380000002</v>
      </c>
      <c r="Y162" s="727">
        <v>58.126999447142857</v>
      </c>
    </row>
    <row r="163" spans="13:32">
      <c r="P163" s="623">
        <v>3</v>
      </c>
      <c r="Q163" s="727">
        <v>27.718428745714288</v>
      </c>
      <c r="R163" s="727">
        <v>21.345142638571424</v>
      </c>
      <c r="S163" s="624">
        <v>401.6544320142857</v>
      </c>
      <c r="T163" s="624">
        <v>185.14285714285714</v>
      </c>
      <c r="U163" s="727">
        <v>39.37385668142857</v>
      </c>
      <c r="V163" s="727">
        <v>18.835116929999998</v>
      </c>
      <c r="W163" s="727">
        <v>6.560571466571429</v>
      </c>
      <c r="X163" s="727">
        <v>380.69428361428572</v>
      </c>
      <c r="Y163" s="727">
        <v>74.927428108571434</v>
      </c>
    </row>
    <row r="164" spans="13:32">
      <c r="P164" s="623">
        <v>4</v>
      </c>
      <c r="Q164" s="727">
        <v>30.739285877142859</v>
      </c>
      <c r="R164" s="727">
        <v>24.126143047142854</v>
      </c>
      <c r="S164" s="624">
        <v>367.00971765714274</v>
      </c>
      <c r="T164" s="624">
        <v>156.14856614285716</v>
      </c>
      <c r="U164" s="727">
        <v>23.497714179999999</v>
      </c>
      <c r="V164" s="727">
        <v>16.004641395714284</v>
      </c>
      <c r="W164" s="727">
        <v>5.1067142825714296</v>
      </c>
      <c r="X164" s="727">
        <v>322.4650006857143</v>
      </c>
      <c r="Y164" s="727">
        <v>68.394571574285706</v>
      </c>
    </row>
    <row r="165" spans="13:32" s="574" customFormat="1">
      <c r="M165" s="514"/>
      <c r="N165" s="278"/>
      <c r="O165" s="278">
        <v>5</v>
      </c>
      <c r="P165" s="623">
        <v>5</v>
      </c>
      <c r="Q165" s="727">
        <v>25.584571565714288</v>
      </c>
      <c r="R165" s="727">
        <v>22.874571391428567</v>
      </c>
      <c r="S165" s="624">
        <v>260.95085362857145</v>
      </c>
      <c r="T165" s="624">
        <v>108.66671425714286</v>
      </c>
      <c r="U165" s="727">
        <v>21.321428571428573</v>
      </c>
      <c r="V165" s="727">
        <v>16.024463924285715</v>
      </c>
      <c r="W165" s="727">
        <v>3.1654285022857147</v>
      </c>
      <c r="X165" s="727">
        <v>203.94785854285715</v>
      </c>
      <c r="Y165" s="727">
        <v>56.864572254285704</v>
      </c>
      <c r="Z165" s="514"/>
      <c r="AA165" s="514"/>
      <c r="AB165" s="514"/>
      <c r="AC165" s="290"/>
      <c r="AD165" s="290"/>
      <c r="AE165" s="278"/>
      <c r="AF165" s="278"/>
    </row>
    <row r="166" spans="13:32" s="574" customFormat="1">
      <c r="M166" s="514"/>
      <c r="N166" s="278"/>
      <c r="O166" s="278"/>
      <c r="P166" s="623">
        <v>6</v>
      </c>
      <c r="Q166" s="727">
        <v>18.677976190476191</v>
      </c>
      <c r="R166" s="727">
        <v>19.115142824285716</v>
      </c>
      <c r="S166" s="624">
        <v>266.1391427142857</v>
      </c>
      <c r="T166" s="624">
        <v>132.98228671428572</v>
      </c>
      <c r="U166" s="727">
        <v>30.396999359999999</v>
      </c>
      <c r="V166" s="727">
        <v>15.963094302857142</v>
      </c>
      <c r="W166" s="727">
        <v>5.8411428927142861</v>
      </c>
      <c r="X166" s="727">
        <v>317.90785435714287</v>
      </c>
      <c r="Y166" s="727">
        <v>60.405000412857149</v>
      </c>
      <c r="Z166" s="514"/>
      <c r="AA166" s="514"/>
      <c r="AB166" s="514"/>
      <c r="AC166" s="290"/>
      <c r="AD166" s="290"/>
      <c r="AE166" s="278"/>
      <c r="AF166" s="278"/>
    </row>
    <row r="167" spans="13:32" s="574" customFormat="1">
      <c r="M167" s="514"/>
      <c r="N167" s="278"/>
      <c r="O167" s="278"/>
      <c r="P167" s="623">
        <v>7</v>
      </c>
      <c r="Q167" s="727">
        <v>18.677976190476191</v>
      </c>
      <c r="R167" s="727">
        <v>18.677976190476191</v>
      </c>
      <c r="S167" s="624">
        <v>231.286666666667</v>
      </c>
      <c r="T167" s="624">
        <v>91.321428571428569</v>
      </c>
      <c r="U167" s="727">
        <v>18.5625</v>
      </c>
      <c r="V167" s="727">
        <v>14.07</v>
      </c>
      <c r="W167" s="727">
        <v>3.3580000000000001</v>
      </c>
      <c r="X167" s="727">
        <v>339.78</v>
      </c>
      <c r="Y167" s="727">
        <v>76.87</v>
      </c>
      <c r="Z167" s="514"/>
      <c r="AA167" s="514"/>
      <c r="AB167" s="514"/>
      <c r="AC167" s="290"/>
      <c r="AD167" s="290"/>
      <c r="AE167" s="278"/>
      <c r="AF167" s="278"/>
    </row>
    <row r="168" spans="13:32" s="574" customFormat="1">
      <c r="M168" s="514"/>
      <c r="N168" s="278"/>
      <c r="O168" s="278"/>
      <c r="P168" s="623">
        <v>8</v>
      </c>
      <c r="Q168" s="727">
        <v>15.895833333333314</v>
      </c>
      <c r="R168" s="727">
        <v>8.1069999999999993</v>
      </c>
      <c r="S168" s="624">
        <v>131.62660714285707</v>
      </c>
      <c r="T168" s="624">
        <v>104.375</v>
      </c>
      <c r="U168" s="727">
        <v>21.619</v>
      </c>
      <c r="V168" s="727">
        <v>13.162619047619055</v>
      </c>
      <c r="W168" s="727">
        <v>2.181</v>
      </c>
      <c r="X168" s="727">
        <v>264.85700000000003</v>
      </c>
      <c r="Y168" s="727">
        <v>119.958</v>
      </c>
      <c r="Z168" s="514"/>
      <c r="AA168" s="514"/>
      <c r="AB168" s="514"/>
      <c r="AC168" s="290"/>
      <c r="AD168" s="290"/>
      <c r="AE168" s="278"/>
      <c r="AF168" s="278"/>
    </row>
    <row r="169" spans="13:32" s="574" customFormat="1">
      <c r="M169" s="514"/>
      <c r="N169" s="278"/>
      <c r="O169" s="278">
        <v>9</v>
      </c>
      <c r="P169" s="623">
        <v>9</v>
      </c>
      <c r="Q169" s="727">
        <v>16.03157152448377</v>
      </c>
      <c r="R169" s="727">
        <v>10.70885712759833</v>
      </c>
      <c r="S169" s="624">
        <v>115.81614358084498</v>
      </c>
      <c r="T169" s="624">
        <v>81.571428571428527</v>
      </c>
      <c r="U169" s="727">
        <v>19.778999873570012</v>
      </c>
      <c r="V169" s="727">
        <v>11.839642660958372</v>
      </c>
      <c r="W169" s="727">
        <v>2.5798570939472714</v>
      </c>
      <c r="X169" s="727">
        <v>195.40928431919602</v>
      </c>
      <c r="Y169" s="727">
        <v>71.76285661969861</v>
      </c>
      <c r="Z169" s="514"/>
      <c r="AA169" s="514"/>
      <c r="AB169" s="514"/>
      <c r="AC169" s="290"/>
      <c r="AD169" s="290"/>
      <c r="AE169" s="278"/>
      <c r="AF169" s="278"/>
    </row>
    <row r="170" spans="13:32" s="574" customFormat="1">
      <c r="M170" s="514"/>
      <c r="N170" s="278"/>
      <c r="O170" s="278"/>
      <c r="P170" s="623">
        <v>10</v>
      </c>
      <c r="Q170" s="727">
        <v>28.276142392857142</v>
      </c>
      <c r="R170" s="727">
        <v>21.731714248571429</v>
      </c>
      <c r="S170" s="624">
        <v>254.39099884285716</v>
      </c>
      <c r="T170" s="624">
        <v>146.17256928571427</v>
      </c>
      <c r="U170" s="727">
        <v>29.352285658571429</v>
      </c>
      <c r="V170" s="727">
        <v>10.568511418142858</v>
      </c>
      <c r="W170" s="727">
        <v>2.1962857415714288</v>
      </c>
      <c r="X170" s="727">
        <v>212.2000013</v>
      </c>
      <c r="Y170" s="727">
        <v>56.04871422714286</v>
      </c>
      <c r="Z170" s="514"/>
      <c r="AA170" s="514"/>
      <c r="AB170" s="514"/>
      <c r="AC170" s="290"/>
      <c r="AD170" s="290"/>
      <c r="AE170" s="278"/>
      <c r="AF170" s="278"/>
    </row>
    <row r="171" spans="13:32" s="574" customFormat="1">
      <c r="M171" s="514"/>
      <c r="N171" s="278"/>
      <c r="O171" s="278"/>
      <c r="P171" s="623">
        <v>11</v>
      </c>
      <c r="Q171" s="727">
        <v>28.634571619999999</v>
      </c>
      <c r="R171" s="727">
        <v>21.524857657142856</v>
      </c>
      <c r="S171" s="624">
        <v>320.82542418571427</v>
      </c>
      <c r="T171" s="624">
        <v>138.12514602857144</v>
      </c>
      <c r="U171" s="727">
        <v>28.100000654285715</v>
      </c>
      <c r="V171" s="727">
        <v>11.367022922857142</v>
      </c>
      <c r="W171" s="727">
        <v>2.7152857098571426</v>
      </c>
      <c r="X171" s="727">
        <v>229.93857247142856</v>
      </c>
      <c r="Y171" s="727">
        <v>63.309571402857145</v>
      </c>
      <c r="Z171" s="514"/>
      <c r="AA171" s="514"/>
      <c r="AB171" s="514"/>
      <c r="AC171" s="290"/>
      <c r="AD171" s="290"/>
      <c r="AE171" s="278"/>
      <c r="AF171" s="278"/>
    </row>
    <row r="172" spans="13:32" s="574" customFormat="1">
      <c r="M172" s="514"/>
      <c r="N172" s="278"/>
      <c r="O172" s="278"/>
      <c r="P172" s="623">
        <v>12</v>
      </c>
      <c r="Q172" s="727">
        <v>28.223285404285715</v>
      </c>
      <c r="R172" s="727">
        <v>22.087285995714286</v>
      </c>
      <c r="S172" s="624">
        <v>295.67700197142852</v>
      </c>
      <c r="T172" s="624">
        <v>176.22028785714286</v>
      </c>
      <c r="U172" s="727">
        <v>43.393999101428577</v>
      </c>
      <c r="V172" s="727">
        <v>14.060239925714285</v>
      </c>
      <c r="W172" s="727">
        <v>3.625</v>
      </c>
      <c r="X172" s="727">
        <v>287.37429152857146</v>
      </c>
      <c r="Y172" s="727">
        <v>68.27</v>
      </c>
      <c r="Z172" s="514"/>
      <c r="AA172" s="514"/>
      <c r="AB172" s="514"/>
      <c r="AC172" s="290"/>
      <c r="AD172" s="290"/>
      <c r="AE172" s="278"/>
      <c r="AF172" s="278"/>
    </row>
    <row r="173" spans="13:32" s="574" customFormat="1">
      <c r="M173" s="514"/>
      <c r="N173" s="278"/>
      <c r="O173" s="278">
        <v>13</v>
      </c>
      <c r="P173" s="623">
        <v>13</v>
      </c>
      <c r="Q173" s="727">
        <v>27.516571317142855</v>
      </c>
      <c r="R173" s="727">
        <v>23.321285792857143</v>
      </c>
      <c r="S173" s="624">
        <v>358.4028538428571</v>
      </c>
      <c r="T173" s="624">
        <v>161.61914497142857</v>
      </c>
      <c r="U173" s="727">
        <v>39.082286288571431</v>
      </c>
      <c r="V173" s="727">
        <v>20.107797215142853</v>
      </c>
      <c r="W173" s="727">
        <v>4.0744285582857147</v>
      </c>
      <c r="X173" s="727">
        <v>292.37857055714284</v>
      </c>
      <c r="Y173" s="727">
        <v>61.654713765714291</v>
      </c>
      <c r="Z173" s="514"/>
      <c r="AA173" s="514"/>
      <c r="AB173" s="514"/>
      <c r="AC173" s="290"/>
      <c r="AD173" s="290"/>
      <c r="AE173" s="278"/>
      <c r="AF173" s="278"/>
    </row>
    <row r="174" spans="13:32" s="574" customFormat="1">
      <c r="M174" s="514"/>
      <c r="N174" s="278"/>
      <c r="O174" s="278"/>
      <c r="P174" s="623">
        <v>14</v>
      </c>
      <c r="Q174" s="727">
        <v>29.126714707142856</v>
      </c>
      <c r="R174" s="727">
        <v>26.810000011428574</v>
      </c>
      <c r="S174" s="624">
        <v>415.37771607142855</v>
      </c>
      <c r="T174" s="624">
        <v>180.97614180000002</v>
      </c>
      <c r="U174" s="727">
        <v>40.325571332857145</v>
      </c>
      <c r="V174" s="727">
        <v>23.453333172857139</v>
      </c>
      <c r="W174" s="727">
        <v>2.8194285800000003</v>
      </c>
      <c r="X174" s="727">
        <v>281.81714740000001</v>
      </c>
      <c r="Y174" s="727">
        <v>68.710573468571425</v>
      </c>
      <c r="Z174" s="514"/>
      <c r="AA174" s="514"/>
      <c r="AB174" s="514"/>
      <c r="AC174" s="290"/>
      <c r="AD174" s="290"/>
      <c r="AE174" s="278"/>
      <c r="AF174" s="278"/>
    </row>
    <row r="175" spans="13:32" s="574" customFormat="1">
      <c r="M175" s="514"/>
      <c r="N175" s="278"/>
      <c r="O175" s="278"/>
      <c r="P175" s="623">
        <v>15</v>
      </c>
      <c r="Q175" s="727">
        <v>28.420428685714288</v>
      </c>
      <c r="R175" s="727">
        <v>22.159857068571426</v>
      </c>
      <c r="S175" s="624">
        <v>388.02957154285713</v>
      </c>
      <c r="T175" s="624">
        <v>187.79186137142855</v>
      </c>
      <c r="U175" s="727">
        <v>52.19757080285715</v>
      </c>
      <c r="V175" s="727">
        <v>23.194762912857147</v>
      </c>
      <c r="W175" s="727">
        <v>2.7518571105714291</v>
      </c>
      <c r="X175" s="727">
        <v>319.64357211428575</v>
      </c>
      <c r="Y175" s="727">
        <v>74.239000592857138</v>
      </c>
      <c r="Z175" s="514"/>
      <c r="AA175" s="514"/>
      <c r="AB175" s="514"/>
      <c r="AC175" s="290"/>
      <c r="AD175" s="290"/>
      <c r="AE175" s="278"/>
      <c r="AF175" s="278"/>
    </row>
    <row r="176" spans="13:32" s="574" customFormat="1">
      <c r="M176" s="514"/>
      <c r="N176" s="278"/>
      <c r="O176" s="278"/>
      <c r="P176" s="623">
        <v>16</v>
      </c>
      <c r="Q176" s="727">
        <v>21.880999702857146</v>
      </c>
      <c r="R176" s="727">
        <v>20.447000231428571</v>
      </c>
      <c r="S176" s="624">
        <v>189.56900242857142</v>
      </c>
      <c r="T176" s="624">
        <v>107.50585611428572</v>
      </c>
      <c r="U176" s="727">
        <v>28.65042877285714</v>
      </c>
      <c r="V176" s="727">
        <v>18.780238424285709</v>
      </c>
      <c r="W176" s="727">
        <v>1.8839999778571432</v>
      </c>
      <c r="X176" s="727">
        <v>174.665717</v>
      </c>
      <c r="Y176" s="727">
        <v>39.415857042857148</v>
      </c>
      <c r="Z176" s="514"/>
      <c r="AA176" s="514"/>
      <c r="AB176" s="514"/>
      <c r="AC176" s="290"/>
      <c r="AD176" s="290"/>
      <c r="AE176" s="278"/>
      <c r="AF176" s="278"/>
    </row>
    <row r="177" spans="13:32" s="574" customFormat="1">
      <c r="M177" s="514"/>
      <c r="N177" s="278"/>
      <c r="O177" s="278"/>
      <c r="P177" s="623">
        <v>17</v>
      </c>
      <c r="Q177" s="727">
        <v>18.000999994285714</v>
      </c>
      <c r="R177" s="727">
        <v>14.095428602857144</v>
      </c>
      <c r="S177" s="624">
        <v>140.97214290000002</v>
      </c>
      <c r="T177" s="624">
        <v>90.738142825714277</v>
      </c>
      <c r="U177" s="727">
        <v>20.563142504285715</v>
      </c>
      <c r="V177" s="727">
        <v>13.920417241428572</v>
      </c>
      <c r="W177" s="727">
        <v>1.7985714162857143</v>
      </c>
      <c r="X177" s="727">
        <v>112.05499922142857</v>
      </c>
      <c r="Y177" s="727">
        <v>25.886856898571434</v>
      </c>
      <c r="Z177" s="514"/>
      <c r="AA177" s="514"/>
      <c r="AB177" s="514"/>
      <c r="AC177" s="290"/>
      <c r="AD177" s="290"/>
      <c r="AE177" s="278"/>
      <c r="AF177" s="278"/>
    </row>
    <row r="178" spans="13:32" s="574" customFormat="1">
      <c r="M178" s="514"/>
      <c r="N178" s="278"/>
      <c r="O178" s="278">
        <v>18</v>
      </c>
      <c r="P178" s="623">
        <v>18</v>
      </c>
      <c r="Q178" s="727">
        <v>16.076714378571427</v>
      </c>
      <c r="R178" s="727">
        <v>12.509142604285715</v>
      </c>
      <c r="S178" s="624">
        <v>114.69700078571428</v>
      </c>
      <c r="T178" s="624">
        <v>67.130999974285714</v>
      </c>
      <c r="U178" s="727">
        <v>16.68214280285714</v>
      </c>
      <c r="V178" s="727">
        <v>10.773084301857143</v>
      </c>
      <c r="W178" s="727">
        <v>1.8058571475714285</v>
      </c>
      <c r="X178" s="727">
        <v>79.242856705714289</v>
      </c>
      <c r="Y178" s="727">
        <v>19.646428789999998</v>
      </c>
      <c r="Z178" s="514"/>
      <c r="AA178" s="514"/>
      <c r="AB178" s="514"/>
      <c r="AC178" s="290"/>
      <c r="AD178" s="290"/>
      <c r="AE178" s="278"/>
      <c r="AF178" s="278"/>
    </row>
    <row r="179" spans="13:32" s="574" customFormat="1">
      <c r="M179" s="514"/>
      <c r="N179" s="278"/>
      <c r="O179" s="278"/>
      <c r="P179" s="623">
        <v>19</v>
      </c>
      <c r="Q179" s="727">
        <v>15.213571411428573</v>
      </c>
      <c r="R179" s="727">
        <v>8.5715713499999993</v>
      </c>
      <c r="S179" s="624">
        <v>99.656284881428547</v>
      </c>
      <c r="T179" s="624">
        <v>64.428571428571431</v>
      </c>
      <c r="U179" s="727">
        <v>17.039285524285713</v>
      </c>
      <c r="V179" s="727">
        <v>11.989167077142856</v>
      </c>
      <c r="W179" s="727">
        <v>1.8551428488571429</v>
      </c>
      <c r="X179" s="727">
        <v>73.040000915714288</v>
      </c>
      <c r="Y179" s="727">
        <v>16.286999974285717</v>
      </c>
      <c r="Z179" s="514"/>
      <c r="AA179" s="514"/>
      <c r="AB179" s="514"/>
      <c r="AC179" s="290"/>
      <c r="AD179" s="290"/>
      <c r="AE179" s="278"/>
      <c r="AF179" s="278"/>
    </row>
    <row r="180" spans="13:32" s="574" customFormat="1">
      <c r="M180" s="514"/>
      <c r="N180" s="278"/>
      <c r="O180" s="278"/>
      <c r="P180" s="623">
        <v>20</v>
      </c>
      <c r="Q180" s="727">
        <v>14.241714205714286</v>
      </c>
      <c r="R180" s="727">
        <v>7.0702857972857149</v>
      </c>
      <c r="S180" s="624">
        <v>88.480572290000026</v>
      </c>
      <c r="T180" s="624">
        <v>61.482142857142854</v>
      </c>
      <c r="U180" s="727">
        <v>13.813714164285713</v>
      </c>
      <c r="V180" s="727">
        <v>12.071368352857144</v>
      </c>
      <c r="W180" s="727">
        <v>1.7121428761428572</v>
      </c>
      <c r="X180" s="727">
        <v>68.874286108571425</v>
      </c>
      <c r="Y180" s="727">
        <v>14.018428667142857</v>
      </c>
      <c r="Z180" s="514"/>
      <c r="AA180" s="514"/>
      <c r="AB180" s="514"/>
      <c r="AC180" s="290"/>
      <c r="AD180" s="290"/>
      <c r="AE180" s="278"/>
      <c r="AF180" s="278"/>
    </row>
    <row r="181" spans="13:32" s="574" customFormat="1">
      <c r="M181" s="514"/>
      <c r="N181" s="278"/>
      <c r="O181" s="278"/>
      <c r="P181" s="623">
        <v>21</v>
      </c>
      <c r="Q181" s="727">
        <v>14.091571398571428</v>
      </c>
      <c r="R181" s="727">
        <v>7.0830000470000005</v>
      </c>
      <c r="S181" s="624">
        <v>98.34657178714285</v>
      </c>
      <c r="T181" s="624">
        <v>63.72614288285714</v>
      </c>
      <c r="U181" s="727">
        <v>14.927285738571429</v>
      </c>
      <c r="V181" s="727">
        <v>12.066725457142857</v>
      </c>
      <c r="W181" s="727">
        <v>1.9470000094285715</v>
      </c>
      <c r="X181" s="727">
        <v>68.332856858571418</v>
      </c>
      <c r="Y181" s="727">
        <v>14.466285705714286</v>
      </c>
      <c r="Z181" s="514"/>
      <c r="AA181" s="514"/>
      <c r="AB181" s="514"/>
      <c r="AC181" s="290"/>
      <c r="AD181" s="290"/>
      <c r="AE181" s="278"/>
      <c r="AF181" s="278"/>
    </row>
    <row r="182" spans="13:32" s="574" customFormat="1">
      <c r="M182" s="514"/>
      <c r="N182" s="278"/>
      <c r="O182" s="278">
        <v>22</v>
      </c>
      <c r="P182" s="623">
        <v>22</v>
      </c>
      <c r="Q182" s="727">
        <v>12.206428662857144</v>
      </c>
      <c r="R182" s="727">
        <v>6.5260000228571426</v>
      </c>
      <c r="S182" s="624">
        <v>88.19400133428573</v>
      </c>
      <c r="T182" s="624">
        <v>49.041857040000004</v>
      </c>
      <c r="U182" s="727">
        <v>12.11642851</v>
      </c>
      <c r="V182" s="727">
        <v>12.046847342857143</v>
      </c>
      <c r="W182" s="727">
        <v>1.9281428372857143</v>
      </c>
      <c r="X182" s="727">
        <v>60.234999522857144</v>
      </c>
      <c r="Y182" s="727">
        <v>11.637142864285716</v>
      </c>
      <c r="Z182" s="514"/>
      <c r="AA182" s="514"/>
      <c r="AB182" s="514"/>
      <c r="AC182" s="290"/>
      <c r="AD182" s="290"/>
      <c r="AE182" s="278"/>
      <c r="AF182" s="278"/>
    </row>
    <row r="183" spans="13:32" s="574" customFormat="1">
      <c r="M183" s="514"/>
      <c r="N183" s="278"/>
      <c r="O183" s="278"/>
      <c r="P183" s="623">
        <v>23</v>
      </c>
      <c r="Q183" s="727">
        <v>10.714285714285714</v>
      </c>
      <c r="R183" s="727">
        <v>6.0984286581428568</v>
      </c>
      <c r="S183" s="624">
        <v>67.392570495714281</v>
      </c>
      <c r="T183" s="624">
        <v>49.232000077142857</v>
      </c>
      <c r="U183" s="727">
        <v>10.973142897142859</v>
      </c>
      <c r="V183" s="727">
        <v>12.030653000000001</v>
      </c>
      <c r="W183" s="727">
        <v>1.8262857195714286</v>
      </c>
      <c r="X183" s="727">
        <v>55.279285977142862</v>
      </c>
      <c r="Y183" s="727">
        <v>10.373285701857142</v>
      </c>
      <c r="Z183" s="514"/>
      <c r="AA183" s="514"/>
      <c r="AB183" s="514"/>
      <c r="AC183" s="290"/>
      <c r="AD183" s="290"/>
      <c r="AE183" s="278"/>
      <c r="AF183" s="278"/>
    </row>
    <row r="184" spans="13:32" s="574" customFormat="1">
      <c r="M184" s="514"/>
      <c r="N184" s="278"/>
      <c r="O184" s="278"/>
      <c r="P184" s="623">
        <v>24</v>
      </c>
      <c r="Q184" s="727">
        <v>10.648285731428571</v>
      </c>
      <c r="R184" s="727">
        <v>5.3554284574285722</v>
      </c>
      <c r="S184" s="624">
        <v>74.302856445714283</v>
      </c>
      <c r="T184" s="624">
        <v>54.952285765714286</v>
      </c>
      <c r="U184" s="727">
        <v>10.649856976285715</v>
      </c>
      <c r="V184" s="727">
        <v>11.902322768571427</v>
      </c>
      <c r="W184" s="727">
        <v>1.3272857154285713</v>
      </c>
      <c r="X184" s="727">
        <v>49.072856904285722</v>
      </c>
      <c r="Y184" s="727">
        <v>9.3365716934285707</v>
      </c>
      <c r="Z184" s="514"/>
      <c r="AA184" s="514"/>
      <c r="AB184" s="514"/>
      <c r="AC184" s="290"/>
      <c r="AD184" s="290"/>
      <c r="AE184" s="278"/>
      <c r="AF184" s="278"/>
    </row>
    <row r="185" spans="13:32" s="574" customFormat="1">
      <c r="M185" s="514"/>
      <c r="N185" s="278"/>
      <c r="O185" s="278"/>
      <c r="P185" s="623">
        <v>25</v>
      </c>
      <c r="Q185" s="727">
        <v>10.931000164428569</v>
      </c>
      <c r="R185" s="727">
        <v>6.0032857149999996</v>
      </c>
      <c r="S185" s="624">
        <v>70.370715551428574</v>
      </c>
      <c r="T185" s="624">
        <v>39.565571377142859</v>
      </c>
      <c r="U185" s="727">
        <v>8.8067141942857141</v>
      </c>
      <c r="V185" s="727">
        <v>11.966488567142857</v>
      </c>
      <c r="W185" s="727">
        <v>1.2890000087142857</v>
      </c>
      <c r="X185" s="727">
        <v>43.960000174285717</v>
      </c>
      <c r="Y185" s="727">
        <v>8.5024284634285721</v>
      </c>
      <c r="Z185" s="514"/>
      <c r="AA185" s="514"/>
      <c r="AB185" s="514"/>
      <c r="AC185" s="290"/>
      <c r="AD185" s="290"/>
      <c r="AE185" s="278"/>
      <c r="AF185" s="278"/>
    </row>
    <row r="186" spans="13:32">
      <c r="O186" s="278">
        <v>26</v>
      </c>
      <c r="P186" s="623">
        <v>26</v>
      </c>
      <c r="Q186" s="727">
        <v>9.871286118714286</v>
      </c>
      <c r="R186" s="727">
        <v>4.9715714455714286</v>
      </c>
      <c r="S186" s="624">
        <v>60.400571005714291</v>
      </c>
      <c r="T186" s="624">
        <v>43.083285740000001</v>
      </c>
      <c r="U186" s="727">
        <v>8.6310001098571423</v>
      </c>
      <c r="V186" s="727">
        <v>11.885477065714285</v>
      </c>
      <c r="W186" s="727">
        <v>1.732857125</v>
      </c>
      <c r="X186" s="727">
        <v>41.416428701428572</v>
      </c>
      <c r="Y186" s="727">
        <v>7.8322857448571428</v>
      </c>
    </row>
    <row r="187" spans="13:32">
      <c r="P187" s="623"/>
    </row>
    <row r="188" spans="13:32">
      <c r="Q188" s="728" t="s">
        <v>264</v>
      </c>
      <c r="R188" s="728" t="s">
        <v>265</v>
      </c>
      <c r="S188" s="728" t="s">
        <v>266</v>
      </c>
      <c r="T188" s="728" t="s">
        <v>267</v>
      </c>
      <c r="U188" s="728" t="s">
        <v>268</v>
      </c>
      <c r="V188" s="728" t="s">
        <v>269</v>
      </c>
      <c r="W188" s="728" t="s">
        <v>270</v>
      </c>
      <c r="X188" s="728" t="s">
        <v>271</v>
      </c>
      <c r="Y188" s="728" t="s">
        <v>272</v>
      </c>
    </row>
    <row r="192" spans="13:32" s="574" customFormat="1">
      <c r="M192" s="514"/>
      <c r="N192" s="278"/>
      <c r="O192" s="278"/>
      <c r="P192" s="278"/>
      <c r="Q192" s="278"/>
      <c r="R192" s="278"/>
      <c r="S192" s="278"/>
      <c r="T192" s="278"/>
      <c r="U192" s="278"/>
      <c r="V192" s="278"/>
      <c r="W192" s="278"/>
      <c r="X192" s="278"/>
      <c r="Y192" s="278"/>
      <c r="Z192" s="514"/>
      <c r="AA192" s="514"/>
      <c r="AB192" s="514"/>
      <c r="AC192" s="290"/>
      <c r="AD192" s="290"/>
      <c r="AE192" s="278"/>
      <c r="AF192" s="278"/>
    </row>
    <row r="193" spans="13:32" s="574" customFormat="1">
      <c r="M193" s="514"/>
      <c r="N193" s="278"/>
      <c r="O193" s="278"/>
      <c r="P193" s="278"/>
      <c r="Q193" s="278"/>
      <c r="R193" s="278"/>
      <c r="S193" s="278"/>
      <c r="T193" s="278"/>
      <c r="U193" s="278"/>
      <c r="V193" s="278"/>
      <c r="W193" s="278"/>
      <c r="X193" s="278"/>
      <c r="Y193" s="278"/>
      <c r="Z193" s="514"/>
      <c r="AA193" s="514"/>
      <c r="AB193" s="514"/>
      <c r="AC193" s="290"/>
      <c r="AD193" s="290"/>
      <c r="AE193" s="278"/>
      <c r="AF193" s="278"/>
    </row>
    <row r="194" spans="13:32" s="574" customFormat="1">
      <c r="M194" s="514"/>
      <c r="N194" s="278"/>
      <c r="O194" s="278"/>
      <c r="P194" s="278"/>
      <c r="Q194" s="278"/>
      <c r="R194" s="278"/>
      <c r="S194" s="278"/>
      <c r="T194" s="278"/>
      <c r="U194" s="278"/>
      <c r="V194" s="278"/>
      <c r="W194" s="278"/>
      <c r="X194" s="278"/>
      <c r="Y194" s="278"/>
      <c r="Z194" s="514"/>
      <c r="AA194" s="514"/>
      <c r="AB194" s="514"/>
      <c r="AC194" s="290"/>
      <c r="AD194" s="290"/>
      <c r="AE194" s="278"/>
      <c r="AF194" s="278"/>
    </row>
    <row r="195" spans="13:32" s="574" customFormat="1">
      <c r="M195" s="514"/>
      <c r="N195" s="278"/>
      <c r="O195" s="278"/>
      <c r="P195" s="278"/>
      <c r="Q195" s="278"/>
      <c r="R195" s="278"/>
      <c r="S195" s="278"/>
      <c r="T195" s="278"/>
      <c r="U195" s="278"/>
      <c r="V195" s="278"/>
      <c r="W195" s="278"/>
      <c r="X195" s="278"/>
      <c r="Y195" s="278"/>
      <c r="Z195" s="514"/>
      <c r="AA195" s="514"/>
      <c r="AB195" s="514"/>
      <c r="AC195" s="290"/>
      <c r="AD195" s="290"/>
      <c r="AE195" s="278"/>
      <c r="AF195" s="278"/>
    </row>
    <row r="198" spans="13:32" s="574" customFormat="1">
      <c r="M198" s="514"/>
      <c r="N198" s="278"/>
      <c r="O198" s="278"/>
      <c r="P198" s="278"/>
      <c r="Q198" s="278"/>
      <c r="R198" s="278"/>
      <c r="S198" s="278"/>
      <c r="T198" s="278"/>
      <c r="U198" s="278"/>
      <c r="V198" s="278"/>
      <c r="W198" s="278"/>
      <c r="X198" s="278"/>
      <c r="Y198" s="278"/>
      <c r="Z198" s="514"/>
      <c r="AA198" s="514"/>
      <c r="AB198" s="514"/>
      <c r="AC198" s="290"/>
      <c r="AD198" s="290"/>
      <c r="AE198" s="278"/>
      <c r="AF198" s="278"/>
    </row>
    <row r="199" spans="13:32" s="574" customFormat="1">
      <c r="M199" s="514"/>
      <c r="N199" s="278"/>
      <c r="O199" s="278"/>
      <c r="P199" s="278"/>
      <c r="Q199" s="278"/>
      <c r="R199" s="278"/>
      <c r="S199" s="278"/>
      <c r="T199" s="278"/>
      <c r="U199" s="278"/>
      <c r="V199" s="278"/>
      <c r="W199" s="278"/>
      <c r="X199" s="278"/>
      <c r="Y199" s="278"/>
      <c r="Z199" s="514"/>
      <c r="AA199" s="514"/>
      <c r="AB199" s="514"/>
      <c r="AC199" s="290"/>
      <c r="AD199" s="290"/>
      <c r="AE199" s="278"/>
      <c r="AF199" s="278"/>
    </row>
    <row r="200" spans="13:32" s="574" customFormat="1">
      <c r="M200" s="514"/>
      <c r="N200" s="278"/>
      <c r="O200" s="278"/>
      <c r="P200" s="278"/>
      <c r="Q200" s="278"/>
      <c r="R200" s="278"/>
      <c r="S200" s="278"/>
      <c r="T200" s="278"/>
      <c r="U200" s="278"/>
      <c r="V200" s="278"/>
      <c r="W200" s="278"/>
      <c r="X200" s="278"/>
      <c r="Y200" s="278"/>
      <c r="Z200" s="514"/>
      <c r="AA200" s="514"/>
      <c r="AB200" s="514"/>
      <c r="AC200" s="290"/>
      <c r="AD200" s="290"/>
      <c r="AE200" s="278"/>
      <c r="AF200" s="278"/>
    </row>
    <row r="201" spans="13:32" s="574" customFormat="1">
      <c r="M201" s="514"/>
      <c r="N201" s="278"/>
      <c r="O201" s="278"/>
      <c r="P201" s="278"/>
      <c r="Q201" s="278"/>
      <c r="R201" s="278"/>
      <c r="S201" s="278"/>
      <c r="T201" s="278"/>
      <c r="U201" s="278"/>
      <c r="V201" s="278"/>
      <c r="W201" s="278"/>
      <c r="X201" s="278"/>
      <c r="Y201" s="278"/>
      <c r="Z201" s="514"/>
      <c r="AA201" s="514"/>
      <c r="AB201" s="514"/>
      <c r="AC201" s="290"/>
      <c r="AD201" s="290"/>
      <c r="AE201" s="278"/>
      <c r="AF201" s="278"/>
    </row>
    <row r="202" spans="13:32" s="574" customFormat="1">
      <c r="M202" s="514"/>
      <c r="N202" s="278"/>
      <c r="O202" s="278"/>
      <c r="P202" s="278"/>
      <c r="Q202" s="278"/>
      <c r="R202" s="278"/>
      <c r="S202" s="278"/>
      <c r="T202" s="278"/>
      <c r="U202" s="278"/>
      <c r="V202" s="278"/>
      <c r="W202" s="278"/>
      <c r="X202" s="278"/>
      <c r="Y202" s="278"/>
      <c r="Z202" s="514"/>
      <c r="AA202" s="514"/>
      <c r="AB202" s="514"/>
      <c r="AC202" s="290"/>
      <c r="AD202" s="290"/>
      <c r="AE202" s="278"/>
      <c r="AF202" s="278"/>
    </row>
    <row r="203" spans="13:32" s="574" customFormat="1">
      <c r="M203" s="514"/>
      <c r="N203" s="278"/>
      <c r="O203" s="278"/>
      <c r="P203" s="278"/>
      <c r="Q203" s="278"/>
      <c r="R203" s="278"/>
      <c r="S203" s="278"/>
      <c r="T203" s="278"/>
      <c r="U203" s="278"/>
      <c r="V203" s="278"/>
      <c r="W203" s="278"/>
      <c r="X203" s="278"/>
      <c r="Y203" s="278"/>
      <c r="Z203" s="514"/>
      <c r="AA203" s="514"/>
      <c r="AB203" s="514"/>
      <c r="AC203" s="290"/>
      <c r="AD203" s="290"/>
      <c r="AE203" s="278"/>
      <c r="AF203" s="278"/>
    </row>
    <row r="204" spans="13:32" s="574" customFormat="1">
      <c r="M204" s="514"/>
      <c r="N204" s="278"/>
      <c r="O204" s="278"/>
      <c r="P204" s="278"/>
      <c r="Q204" s="278"/>
      <c r="R204" s="278"/>
      <c r="S204" s="278"/>
      <c r="T204" s="278"/>
      <c r="U204" s="278"/>
      <c r="V204" s="278"/>
      <c r="W204" s="278"/>
      <c r="X204" s="278"/>
      <c r="Y204" s="278"/>
      <c r="Z204" s="514"/>
      <c r="AA204" s="514"/>
      <c r="AB204" s="514"/>
      <c r="AC204" s="290"/>
      <c r="AD204" s="290"/>
      <c r="AE204" s="278"/>
      <c r="AF204" s="278"/>
    </row>
    <row r="205" spans="13:32" s="574" customFormat="1">
      <c r="M205" s="514"/>
      <c r="N205" s="278"/>
      <c r="O205" s="278"/>
      <c r="P205" s="278"/>
      <c r="Q205" s="278"/>
      <c r="R205" s="278"/>
      <c r="S205" s="278"/>
      <c r="T205" s="278"/>
      <c r="U205" s="278"/>
      <c r="V205" s="278"/>
      <c r="W205" s="278"/>
      <c r="X205" s="278"/>
      <c r="Y205" s="278"/>
      <c r="Z205" s="514"/>
      <c r="AA205" s="514"/>
      <c r="AB205" s="514"/>
      <c r="AC205" s="290"/>
      <c r="AD205" s="290"/>
      <c r="AE205" s="278"/>
      <c r="AF205" s="278"/>
    </row>
    <row r="206" spans="13:32" s="574" customFormat="1">
      <c r="M206" s="514"/>
      <c r="N206" s="278"/>
      <c r="O206" s="278"/>
      <c r="P206" s="278"/>
      <c r="Q206" s="278"/>
      <c r="R206" s="278"/>
      <c r="S206" s="278"/>
      <c r="T206" s="278"/>
      <c r="U206" s="278"/>
      <c r="V206" s="278"/>
      <c r="W206" s="278"/>
      <c r="X206" s="278"/>
      <c r="Y206" s="278"/>
      <c r="Z206" s="514"/>
      <c r="AA206" s="514"/>
      <c r="AB206" s="514"/>
      <c r="AC206" s="290"/>
      <c r="AD206" s="290"/>
      <c r="AE206" s="278"/>
      <c r="AF206" s="278"/>
    </row>
    <row r="207" spans="13:32" s="574" customFormat="1">
      <c r="M207" s="514"/>
      <c r="N207" s="278"/>
      <c r="O207" s="278"/>
      <c r="P207" s="278"/>
      <c r="Q207" s="278"/>
      <c r="R207" s="278"/>
      <c r="S207" s="278"/>
      <c r="T207" s="278"/>
      <c r="U207" s="278"/>
      <c r="V207" s="278"/>
      <c r="W207" s="278"/>
      <c r="X207" s="278"/>
      <c r="Y207" s="278"/>
      <c r="Z207" s="514"/>
      <c r="AA207" s="514"/>
      <c r="AB207" s="514"/>
      <c r="AC207" s="290"/>
      <c r="AD207" s="290"/>
      <c r="AE207" s="278"/>
      <c r="AF207" s="278"/>
    </row>
    <row r="208" spans="13:32" s="574" customFormat="1">
      <c r="M208" s="514"/>
      <c r="N208" s="278"/>
      <c r="O208" s="278"/>
      <c r="P208" s="278"/>
      <c r="Q208" s="278"/>
      <c r="R208" s="278"/>
      <c r="S208" s="278"/>
      <c r="T208" s="278"/>
      <c r="U208" s="278"/>
      <c r="V208" s="278"/>
      <c r="W208" s="278"/>
      <c r="X208" s="278"/>
      <c r="Y208" s="278"/>
      <c r="Z208" s="514"/>
      <c r="AA208" s="514"/>
      <c r="AB208" s="514"/>
      <c r="AC208" s="290"/>
      <c r="AD208" s="290"/>
      <c r="AE208" s="278"/>
      <c r="AF208" s="278"/>
    </row>
    <row r="209" spans="13:32" s="574" customFormat="1">
      <c r="M209" s="514"/>
      <c r="N209" s="278"/>
      <c r="O209" s="278"/>
      <c r="P209" s="278"/>
      <c r="Q209" s="278"/>
      <c r="R209" s="278"/>
      <c r="S209" s="278"/>
      <c r="T209" s="278"/>
      <c r="U209" s="278"/>
      <c r="V209" s="278"/>
      <c r="W209" s="278"/>
      <c r="X209" s="278"/>
      <c r="Y209" s="278"/>
      <c r="Z209" s="514"/>
      <c r="AA209" s="514"/>
      <c r="AB209" s="514"/>
      <c r="AC209" s="290"/>
      <c r="AD209" s="290"/>
      <c r="AE209" s="278"/>
      <c r="AF209" s="278"/>
    </row>
    <row r="210" spans="13:32" s="574" customFormat="1">
      <c r="M210" s="514"/>
      <c r="N210" s="278"/>
      <c r="O210" s="278"/>
      <c r="P210" s="278"/>
      <c r="Q210" s="278"/>
      <c r="R210" s="278"/>
      <c r="S210" s="278"/>
      <c r="T210" s="278"/>
      <c r="U210" s="278"/>
      <c r="V210" s="278"/>
      <c r="W210" s="278"/>
      <c r="X210" s="278"/>
      <c r="Y210" s="278"/>
      <c r="Z210" s="514"/>
      <c r="AA210" s="514"/>
      <c r="AB210" s="514"/>
      <c r="AC210" s="290"/>
      <c r="AD210" s="290"/>
      <c r="AE210" s="278"/>
      <c r="AF210" s="278"/>
    </row>
    <row r="211" spans="13:32" s="574" customFormat="1">
      <c r="M211" s="514"/>
      <c r="N211" s="278"/>
      <c r="O211" s="278"/>
      <c r="P211" s="278"/>
      <c r="Q211" s="278"/>
      <c r="R211" s="278"/>
      <c r="S211" s="278"/>
      <c r="T211" s="278"/>
      <c r="U211" s="278"/>
      <c r="V211" s="278"/>
      <c r="W211" s="278"/>
      <c r="X211" s="278"/>
      <c r="Y211" s="278"/>
      <c r="Z211" s="514"/>
      <c r="AA211" s="514"/>
      <c r="AB211" s="514"/>
      <c r="AC211" s="290"/>
      <c r="AD211" s="290"/>
      <c r="AE211" s="278"/>
      <c r="AF211" s="278"/>
    </row>
    <row r="212" spans="13:32" s="574" customFormat="1">
      <c r="M212" s="514"/>
      <c r="N212" s="278"/>
      <c r="O212" s="278"/>
      <c r="P212" s="278"/>
      <c r="Q212" s="278"/>
      <c r="R212" s="278"/>
      <c r="S212" s="278"/>
      <c r="T212" s="278"/>
      <c r="U212" s="278"/>
      <c r="V212" s="278"/>
      <c r="W212" s="278"/>
      <c r="X212" s="278"/>
      <c r="Y212" s="278"/>
      <c r="Z212" s="514"/>
      <c r="AA212" s="514"/>
      <c r="AB212" s="514"/>
      <c r="AC212" s="290"/>
      <c r="AD212" s="290"/>
      <c r="AE212" s="278"/>
      <c r="AF212" s="278"/>
    </row>
    <row r="213" spans="13:32" s="574" customFormat="1">
      <c r="M213" s="514"/>
      <c r="N213" s="278"/>
      <c r="O213" s="278"/>
      <c r="P213" s="278"/>
      <c r="Q213" s="278"/>
      <c r="R213" s="278"/>
      <c r="S213" s="278"/>
      <c r="T213" s="278"/>
      <c r="U213" s="278"/>
      <c r="V213" s="278"/>
      <c r="W213" s="278"/>
      <c r="X213" s="278"/>
      <c r="Y213" s="278"/>
      <c r="Z213" s="514"/>
      <c r="AA213" s="514"/>
      <c r="AB213" s="514"/>
      <c r="AC213" s="290"/>
      <c r="AD213" s="290"/>
      <c r="AE213" s="278"/>
      <c r="AF213" s="278"/>
    </row>
    <row r="214" spans="13:32" s="574" customFormat="1">
      <c r="M214" s="514"/>
      <c r="N214" s="278"/>
      <c r="O214" s="278"/>
      <c r="P214" s="278"/>
      <c r="Q214" s="278"/>
      <c r="R214" s="278"/>
      <c r="S214" s="278"/>
      <c r="T214" s="278"/>
      <c r="U214" s="278"/>
      <c r="V214" s="278"/>
      <c r="W214" s="278"/>
      <c r="X214" s="278"/>
      <c r="Y214" s="278"/>
      <c r="Z214" s="514"/>
      <c r="AA214" s="514"/>
      <c r="AB214" s="514"/>
      <c r="AC214" s="290"/>
      <c r="AD214" s="290"/>
      <c r="AE214" s="278"/>
      <c r="AF214" s="278"/>
    </row>
    <row r="215" spans="13:32" s="574" customFormat="1">
      <c r="M215" s="514"/>
      <c r="N215" s="278"/>
      <c r="O215" s="278"/>
      <c r="P215" s="278"/>
      <c r="Q215" s="278"/>
      <c r="R215" s="278"/>
      <c r="S215" s="278"/>
      <c r="T215" s="278"/>
      <c r="U215" s="278"/>
      <c r="V215" s="278"/>
      <c r="W215" s="278"/>
      <c r="X215" s="278"/>
      <c r="Y215" s="278"/>
      <c r="Z215" s="514"/>
      <c r="AA215" s="514"/>
      <c r="AB215" s="514"/>
      <c r="AC215" s="290"/>
      <c r="AD215" s="290"/>
      <c r="AE215" s="278"/>
      <c r="AF215" s="278"/>
    </row>
    <row r="216" spans="13:32" s="574" customFormat="1">
      <c r="M216" s="514"/>
      <c r="N216" s="278"/>
      <c r="O216" s="278"/>
      <c r="P216" s="278"/>
      <c r="Q216" s="278"/>
      <c r="R216" s="278"/>
      <c r="S216" s="278"/>
      <c r="T216" s="278"/>
      <c r="U216" s="278"/>
      <c r="V216" s="278"/>
      <c r="W216" s="278"/>
      <c r="X216" s="278"/>
      <c r="Y216" s="278"/>
      <c r="Z216" s="514"/>
      <c r="AA216" s="514"/>
      <c r="AB216" s="514"/>
      <c r="AC216" s="290"/>
      <c r="AD216" s="290"/>
      <c r="AE216" s="278"/>
      <c r="AF216" s="278"/>
    </row>
    <row r="217" spans="13:32" s="574" customFormat="1">
      <c r="M217" s="514"/>
      <c r="N217" s="278"/>
      <c r="O217" s="278"/>
      <c r="P217" s="278"/>
      <c r="Q217" s="278"/>
      <c r="R217" s="278"/>
      <c r="S217" s="278"/>
      <c r="T217" s="278"/>
      <c r="U217" s="278"/>
      <c r="V217" s="278"/>
      <c r="W217" s="278"/>
      <c r="X217" s="278"/>
      <c r="Y217" s="278"/>
      <c r="Z217" s="514"/>
      <c r="AA217" s="514"/>
      <c r="AB217" s="514"/>
      <c r="AC217" s="290"/>
      <c r="AD217" s="290"/>
      <c r="AE217" s="278"/>
      <c r="AF217" s="278"/>
    </row>
    <row r="218" spans="13:32" s="574" customFormat="1">
      <c r="M218" s="514"/>
      <c r="N218" s="278"/>
      <c r="O218" s="278"/>
      <c r="P218" s="278"/>
      <c r="Q218" s="278"/>
      <c r="R218" s="278"/>
      <c r="S218" s="278"/>
      <c r="T218" s="278"/>
      <c r="U218" s="278"/>
      <c r="V218" s="278"/>
      <c r="W218" s="278"/>
      <c r="X218" s="278"/>
      <c r="Y218" s="278"/>
      <c r="Z218" s="514"/>
      <c r="AA218" s="514"/>
      <c r="AB218" s="514"/>
      <c r="AC218" s="290"/>
      <c r="AD218" s="290"/>
      <c r="AE218" s="278"/>
      <c r="AF218" s="278"/>
    </row>
    <row r="219" spans="13:32" s="574" customFormat="1">
      <c r="M219" s="514"/>
      <c r="N219" s="278"/>
      <c r="O219" s="278"/>
      <c r="P219" s="278"/>
      <c r="Q219" s="278"/>
      <c r="R219" s="278"/>
      <c r="S219" s="278"/>
      <c r="T219" s="278"/>
      <c r="U219" s="278"/>
      <c r="V219" s="278"/>
      <c r="W219" s="278"/>
      <c r="X219" s="278"/>
      <c r="Y219" s="278"/>
      <c r="Z219" s="514"/>
      <c r="AA219" s="514"/>
      <c r="AB219" s="514"/>
      <c r="AC219" s="290"/>
      <c r="AD219" s="290"/>
      <c r="AE219" s="278"/>
      <c r="AF219" s="278"/>
    </row>
    <row r="220" spans="13:32" s="574" customFormat="1">
      <c r="M220" s="514"/>
      <c r="N220" s="278"/>
      <c r="O220" s="278"/>
      <c r="P220" s="278"/>
      <c r="Q220" s="278"/>
      <c r="R220" s="278"/>
      <c r="S220" s="278"/>
      <c r="T220" s="278"/>
      <c r="U220" s="278"/>
      <c r="V220" s="278"/>
      <c r="W220" s="278"/>
      <c r="X220" s="278"/>
      <c r="Y220" s="278"/>
      <c r="Z220" s="514"/>
      <c r="AA220" s="514"/>
      <c r="AB220" s="514"/>
      <c r="AC220" s="290"/>
      <c r="AD220" s="290"/>
      <c r="AE220" s="278"/>
      <c r="AF220" s="278"/>
    </row>
    <row r="221" spans="13:32" s="574" customFormat="1">
      <c r="M221" s="514"/>
      <c r="N221" s="278"/>
      <c r="O221" s="278"/>
      <c r="P221" s="278"/>
      <c r="Q221" s="278"/>
      <c r="R221" s="278"/>
      <c r="S221" s="278"/>
      <c r="T221" s="278"/>
      <c r="U221" s="278"/>
      <c r="V221" s="278"/>
      <c r="W221" s="278"/>
      <c r="X221" s="278"/>
      <c r="Y221" s="278"/>
      <c r="Z221" s="514"/>
      <c r="AA221" s="514"/>
      <c r="AB221" s="514"/>
      <c r="AC221" s="290"/>
      <c r="AD221" s="290"/>
      <c r="AE221" s="278"/>
      <c r="AF221" s="278"/>
    </row>
    <row r="222" spans="13:32" s="574" customFormat="1">
      <c r="M222" s="514"/>
      <c r="N222" s="278"/>
      <c r="O222" s="278"/>
      <c r="P222" s="278"/>
      <c r="Q222" s="278"/>
      <c r="R222" s="278"/>
      <c r="S222" s="278"/>
      <c r="T222" s="278"/>
      <c r="U222" s="278"/>
      <c r="V222" s="278"/>
      <c r="W222" s="278"/>
      <c r="X222" s="278"/>
      <c r="Y222" s="278"/>
      <c r="Z222" s="514"/>
      <c r="AA222" s="514"/>
      <c r="AB222" s="514"/>
      <c r="AC222" s="290"/>
      <c r="AD222" s="290"/>
      <c r="AE222" s="278"/>
      <c r="AF222" s="278"/>
    </row>
    <row r="223" spans="13:32" s="574" customFormat="1">
      <c r="M223" s="514"/>
      <c r="N223" s="278"/>
      <c r="O223" s="278"/>
      <c r="P223" s="278"/>
      <c r="Q223" s="278"/>
      <c r="R223" s="278"/>
      <c r="S223" s="278"/>
      <c r="T223" s="278"/>
      <c r="U223" s="278"/>
      <c r="V223" s="278"/>
      <c r="W223" s="278"/>
      <c r="X223" s="278"/>
      <c r="Y223" s="278"/>
      <c r="Z223" s="514"/>
      <c r="AA223" s="514"/>
      <c r="AB223" s="514"/>
      <c r="AC223" s="290"/>
      <c r="AD223" s="290"/>
      <c r="AE223" s="278"/>
      <c r="AF223" s="278"/>
    </row>
    <row r="224" spans="13:32" s="574" customFormat="1">
      <c r="M224" s="514"/>
      <c r="N224" s="278"/>
      <c r="O224" s="278"/>
      <c r="P224" s="278"/>
      <c r="Q224" s="278"/>
      <c r="R224" s="278"/>
      <c r="S224" s="278"/>
      <c r="T224" s="278"/>
      <c r="U224" s="278"/>
      <c r="V224" s="278"/>
      <c r="W224" s="278"/>
      <c r="X224" s="278"/>
      <c r="Y224" s="278"/>
      <c r="Z224" s="514"/>
      <c r="AA224" s="514"/>
      <c r="AB224" s="514"/>
      <c r="AC224" s="290"/>
      <c r="AD224" s="290"/>
      <c r="AE224" s="278"/>
      <c r="AF224" s="278"/>
    </row>
    <row r="225" spans="13:32" s="574" customFormat="1">
      <c r="M225" s="514"/>
      <c r="N225" s="278"/>
      <c r="O225" s="278"/>
      <c r="P225" s="278"/>
      <c r="Q225" s="278"/>
      <c r="R225" s="278"/>
      <c r="S225" s="278"/>
      <c r="T225" s="278"/>
      <c r="U225" s="278"/>
      <c r="V225" s="278"/>
      <c r="W225" s="278"/>
      <c r="X225" s="278"/>
      <c r="Y225" s="278"/>
      <c r="Z225" s="514"/>
      <c r="AA225" s="514"/>
      <c r="AB225" s="514"/>
      <c r="AC225" s="290"/>
      <c r="AD225" s="290"/>
      <c r="AE225" s="278"/>
      <c r="AF225" s="278"/>
    </row>
    <row r="226" spans="13:32" s="574" customFormat="1">
      <c r="M226" s="514"/>
      <c r="N226" s="278"/>
      <c r="O226" s="278"/>
      <c r="P226" s="278"/>
      <c r="Q226" s="278"/>
      <c r="R226" s="278"/>
      <c r="S226" s="278"/>
      <c r="T226" s="278"/>
      <c r="U226" s="278"/>
      <c r="V226" s="278"/>
      <c r="W226" s="278"/>
      <c r="X226" s="278"/>
      <c r="Y226" s="278"/>
      <c r="Z226" s="514"/>
      <c r="AA226" s="514"/>
      <c r="AB226" s="514"/>
      <c r="AC226" s="290"/>
      <c r="AD226" s="290"/>
      <c r="AE226" s="278"/>
      <c r="AF226" s="278"/>
    </row>
    <row r="227" spans="13:32" s="574" customFormat="1">
      <c r="M227" s="514"/>
      <c r="N227" s="278"/>
      <c r="O227" s="278"/>
      <c r="P227" s="278"/>
      <c r="Q227" s="278"/>
      <c r="R227" s="278"/>
      <c r="S227" s="278"/>
      <c r="T227" s="278"/>
      <c r="U227" s="278"/>
      <c r="V227" s="278"/>
      <c r="W227" s="278"/>
      <c r="X227" s="278"/>
      <c r="Y227" s="278"/>
      <c r="Z227" s="514"/>
      <c r="AA227" s="514"/>
      <c r="AB227" s="514"/>
      <c r="AC227" s="290"/>
      <c r="AD227" s="290"/>
      <c r="AE227" s="278"/>
      <c r="AF227" s="278"/>
    </row>
    <row r="228" spans="13:32" s="574" customFormat="1">
      <c r="M228" s="514"/>
      <c r="N228" s="278"/>
      <c r="O228" s="278"/>
      <c r="P228" s="278"/>
      <c r="Q228" s="278"/>
      <c r="R228" s="278"/>
      <c r="S228" s="278"/>
      <c r="T228" s="278"/>
      <c r="U228" s="278"/>
      <c r="V228" s="278"/>
      <c r="W228" s="278"/>
      <c r="X228" s="278"/>
      <c r="Y228" s="278"/>
      <c r="Z228" s="514"/>
      <c r="AA228" s="514"/>
      <c r="AB228" s="514"/>
      <c r="AC228" s="290"/>
      <c r="AD228" s="290"/>
      <c r="AE228" s="278"/>
      <c r="AF228" s="278"/>
    </row>
    <row r="229" spans="13:32" s="574" customFormat="1">
      <c r="M229" s="514"/>
      <c r="N229" s="278"/>
      <c r="O229" s="278"/>
      <c r="P229" s="278"/>
      <c r="Q229" s="278"/>
      <c r="R229" s="278"/>
      <c r="S229" s="278"/>
      <c r="T229" s="278"/>
      <c r="U229" s="278"/>
      <c r="V229" s="278"/>
      <c r="W229" s="278"/>
      <c r="X229" s="278"/>
      <c r="Y229" s="278"/>
      <c r="Z229" s="514"/>
      <c r="AA229" s="514"/>
      <c r="AB229" s="514"/>
      <c r="AC229" s="290"/>
      <c r="AD229" s="290"/>
      <c r="AE229" s="278"/>
      <c r="AF229" s="278"/>
    </row>
    <row r="230" spans="13:32" s="574" customFormat="1">
      <c r="M230" s="514"/>
      <c r="N230" s="278"/>
      <c r="O230" s="278"/>
      <c r="P230" s="278"/>
      <c r="Q230" s="278"/>
      <c r="R230" s="278"/>
      <c r="S230" s="278"/>
      <c r="T230" s="278"/>
      <c r="U230" s="278"/>
      <c r="V230" s="278"/>
      <c r="W230" s="278"/>
      <c r="X230" s="278"/>
      <c r="Y230" s="278"/>
      <c r="Z230" s="514"/>
      <c r="AA230" s="514"/>
      <c r="AB230" s="514"/>
      <c r="AC230" s="290"/>
      <c r="AD230" s="290"/>
      <c r="AE230" s="278"/>
      <c r="AF230" s="278"/>
    </row>
    <row r="231" spans="13:32" s="574" customFormat="1">
      <c r="M231" s="514"/>
      <c r="N231" s="278"/>
      <c r="O231" s="278"/>
      <c r="P231" s="278"/>
      <c r="Q231" s="278"/>
      <c r="R231" s="278"/>
      <c r="S231" s="278"/>
      <c r="T231" s="278"/>
      <c r="U231" s="278"/>
      <c r="V231" s="278"/>
      <c r="W231" s="278"/>
      <c r="X231" s="278"/>
      <c r="Y231" s="278"/>
      <c r="Z231" s="514"/>
      <c r="AA231" s="514"/>
      <c r="AB231" s="514"/>
      <c r="AC231" s="290"/>
      <c r="AD231" s="290"/>
      <c r="AE231" s="278"/>
      <c r="AF231" s="278"/>
    </row>
    <row r="232" spans="13:32" s="574" customFormat="1">
      <c r="M232" s="514"/>
      <c r="N232" s="278"/>
      <c r="O232" s="278"/>
      <c r="P232" s="278"/>
      <c r="Q232" s="278"/>
      <c r="R232" s="278"/>
      <c r="S232" s="278"/>
      <c r="T232" s="278"/>
      <c r="U232" s="278"/>
      <c r="V232" s="278"/>
      <c r="W232" s="278"/>
      <c r="X232" s="278"/>
      <c r="Y232" s="278"/>
      <c r="Z232" s="514"/>
      <c r="AA232" s="514"/>
      <c r="AB232" s="514"/>
      <c r="AC232" s="290"/>
      <c r="AD232" s="290"/>
      <c r="AE232" s="278"/>
      <c r="AF232" s="278"/>
    </row>
    <row r="233" spans="13:32" s="574" customFormat="1">
      <c r="M233" s="514"/>
      <c r="N233" s="278"/>
      <c r="O233" s="278"/>
      <c r="P233" s="278"/>
      <c r="Q233" s="278"/>
      <c r="R233" s="278"/>
      <c r="S233" s="278"/>
      <c r="T233" s="278"/>
      <c r="U233" s="278"/>
      <c r="V233" s="278"/>
      <c r="W233" s="278"/>
      <c r="X233" s="278"/>
      <c r="Y233" s="278"/>
      <c r="Z233" s="514"/>
      <c r="AA233" s="514"/>
      <c r="AB233" s="514"/>
      <c r="AC233" s="290"/>
      <c r="AD233" s="290"/>
      <c r="AE233" s="278"/>
      <c r="AF233" s="278"/>
    </row>
    <row r="238" spans="13:32">
      <c r="P238" s="623"/>
      <c r="Q238" s="727"/>
      <c r="R238" s="727"/>
      <c r="S238" s="727"/>
      <c r="T238" s="727"/>
      <c r="U238" s="727"/>
      <c r="V238" s="727"/>
      <c r="W238" s="727"/>
      <c r="X238" s="727"/>
      <c r="Y238" s="727"/>
    </row>
    <row r="242" spans="16:25">
      <c r="P242" s="623"/>
      <c r="Q242" s="727"/>
      <c r="R242" s="727"/>
      <c r="S242" s="727"/>
      <c r="T242" s="727"/>
      <c r="U242" s="727"/>
      <c r="V242" s="727"/>
      <c r="W242" s="727"/>
      <c r="X242" s="727"/>
      <c r="Y242" s="727"/>
    </row>
    <row r="243" spans="16:25">
      <c r="P243" s="623"/>
      <c r="Q243" s="727"/>
      <c r="R243" s="727"/>
      <c r="S243" s="727"/>
      <c r="T243" s="727"/>
      <c r="U243" s="727"/>
      <c r="V243" s="727"/>
      <c r="W243" s="727"/>
      <c r="X243" s="727"/>
      <c r="Y243" s="727"/>
    </row>
    <row r="244" spans="16:25">
      <c r="P244" s="623"/>
      <c r="Q244" s="727"/>
      <c r="R244" s="727"/>
      <c r="S244" s="727"/>
      <c r="T244" s="727"/>
      <c r="U244" s="727"/>
      <c r="V244" s="727"/>
      <c r="W244" s="727"/>
      <c r="X244" s="727"/>
      <c r="Y244" s="727"/>
    </row>
    <row r="245" spans="16:25">
      <c r="P245" s="623"/>
      <c r="Q245" s="727"/>
      <c r="R245" s="727"/>
      <c r="S245" s="727"/>
      <c r="T245" s="727"/>
      <c r="U245" s="727"/>
      <c r="V245" s="727"/>
      <c r="W245" s="727"/>
      <c r="X245" s="727"/>
      <c r="Y245" s="727"/>
    </row>
    <row r="246" spans="16:25">
      <c r="P246" s="623"/>
      <c r="Q246" s="727"/>
      <c r="R246" s="727"/>
      <c r="S246" s="729"/>
      <c r="T246" s="727"/>
      <c r="U246" s="727"/>
      <c r="V246" s="727"/>
      <c r="W246" s="727"/>
      <c r="X246" s="727"/>
      <c r="Y246" s="727"/>
    </row>
    <row r="247" spans="16:25">
      <c r="P247" s="623"/>
      <c r="Q247" s="727"/>
      <c r="R247" s="727"/>
      <c r="S247" s="729"/>
      <c r="T247" s="727"/>
      <c r="U247" s="727"/>
      <c r="V247" s="727"/>
      <c r="W247" s="727"/>
      <c r="X247" s="727"/>
      <c r="Y247" s="727"/>
    </row>
    <row r="248" spans="16:25">
      <c r="P248" s="623"/>
      <c r="Q248" s="727"/>
      <c r="R248" s="727"/>
      <c r="S248" s="729"/>
      <c r="T248" s="727"/>
      <c r="U248" s="727"/>
      <c r="V248" s="727"/>
      <c r="W248" s="727"/>
      <c r="X248" s="727"/>
      <c r="Y248" s="727"/>
    </row>
    <row r="249" spans="16:25">
      <c r="P249" s="623"/>
      <c r="Q249" s="727"/>
      <c r="R249" s="727"/>
      <c r="S249" s="729"/>
      <c r="T249" s="727"/>
      <c r="U249" s="727"/>
      <c r="V249" s="727"/>
      <c r="W249" s="727"/>
      <c r="X249" s="727"/>
      <c r="Y249" s="727"/>
    </row>
    <row r="250" spans="16:25">
      <c r="P250" s="623"/>
      <c r="Q250" s="727"/>
      <c r="R250" s="727"/>
      <c r="S250" s="729"/>
      <c r="T250" s="727"/>
      <c r="U250" s="727"/>
      <c r="V250" s="727"/>
      <c r="W250" s="727"/>
      <c r="X250" s="727"/>
      <c r="Y250" s="727"/>
    </row>
    <row r="251" spans="16:25">
      <c r="P251" s="623"/>
      <c r="Q251" s="727"/>
      <c r="R251" s="727"/>
      <c r="S251" s="727"/>
      <c r="T251" s="727"/>
      <c r="U251" s="727"/>
      <c r="V251" s="727"/>
      <c r="W251" s="727"/>
      <c r="X251" s="727"/>
      <c r="Y251" s="727"/>
    </row>
    <row r="252" spans="16:25">
      <c r="P252" s="623"/>
      <c r="Q252" s="727"/>
      <c r="R252" s="727"/>
      <c r="S252" s="727"/>
      <c r="T252" s="727"/>
      <c r="U252" s="727"/>
      <c r="V252" s="727"/>
      <c r="W252" s="727"/>
      <c r="X252" s="727"/>
      <c r="Y252" s="727"/>
    </row>
    <row r="253" spans="16:25">
      <c r="P253" s="623"/>
      <c r="Q253" s="727"/>
      <c r="R253" s="727"/>
      <c r="S253" s="727"/>
      <c r="T253" s="727"/>
      <c r="U253" s="727"/>
      <c r="V253" s="727"/>
      <c r="W253" s="727"/>
      <c r="X253" s="727"/>
      <c r="Y253" s="727"/>
    </row>
    <row r="254" spans="16:25">
      <c r="P254" s="623"/>
      <c r="Q254" s="727"/>
      <c r="R254" s="727"/>
      <c r="S254" s="727"/>
      <c r="T254" s="727"/>
      <c r="U254" s="727"/>
      <c r="V254" s="727"/>
      <c r="W254" s="727"/>
      <c r="X254" s="727"/>
      <c r="Y254" s="727"/>
    </row>
    <row r="255" spans="16:25">
      <c r="P255" s="623"/>
      <c r="Q255" s="727"/>
      <c r="R255" s="727"/>
      <c r="S255" s="727"/>
      <c r="T255" s="727"/>
      <c r="U255" s="727"/>
      <c r="V255" s="727"/>
      <c r="W255" s="727"/>
      <c r="X255" s="727"/>
      <c r="Y255" s="727"/>
    </row>
    <row r="256" spans="16:25">
      <c r="P256" s="623"/>
      <c r="Q256" s="727"/>
      <c r="R256" s="727"/>
      <c r="S256" s="727"/>
      <c r="T256" s="727"/>
      <c r="U256" s="727"/>
      <c r="V256" s="727"/>
      <c r="W256" s="727"/>
      <c r="X256" s="727"/>
      <c r="Y256" s="727"/>
    </row>
    <row r="257" spans="16:25">
      <c r="P257" s="623"/>
      <c r="Q257" s="727"/>
      <c r="R257" s="727"/>
      <c r="S257" s="727"/>
      <c r="T257" s="727"/>
      <c r="U257" s="727"/>
      <c r="V257" s="727"/>
      <c r="W257" s="727"/>
      <c r="X257" s="727"/>
      <c r="Y257" s="727"/>
    </row>
    <row r="258" spans="16:25">
      <c r="P258" s="623"/>
      <c r="Q258" s="727"/>
      <c r="R258" s="727"/>
      <c r="S258" s="727"/>
      <c r="T258" s="727"/>
      <c r="U258" s="727"/>
      <c r="V258" s="727"/>
      <c r="W258" s="727"/>
      <c r="X258" s="727"/>
      <c r="Y258" s="727"/>
    </row>
    <row r="259" spans="16:25">
      <c r="P259" s="623"/>
      <c r="Q259" s="727"/>
      <c r="R259" s="727"/>
      <c r="S259" s="727"/>
      <c r="T259" s="727"/>
      <c r="U259" s="727"/>
      <c r="V259" s="727"/>
      <c r="W259" s="727"/>
      <c r="X259" s="727"/>
      <c r="Y259" s="727"/>
    </row>
    <row r="260" spans="16:25">
      <c r="P260" s="623"/>
      <c r="Q260" s="727"/>
      <c r="R260" s="727"/>
      <c r="S260" s="727"/>
      <c r="T260" s="727"/>
      <c r="U260" s="727"/>
      <c r="V260" s="727"/>
      <c r="W260" s="727"/>
      <c r="X260" s="727"/>
      <c r="Y260" s="727"/>
    </row>
    <row r="261" spans="16:25">
      <c r="P261" s="623"/>
      <c r="Q261" s="727"/>
      <c r="R261" s="727"/>
      <c r="S261" s="727"/>
      <c r="T261" s="727"/>
      <c r="U261" s="727"/>
      <c r="V261" s="727"/>
      <c r="W261" s="727"/>
      <c r="X261" s="727"/>
      <c r="Y261" s="727"/>
    </row>
    <row r="262" spans="16:25">
      <c r="P262" s="623"/>
      <c r="Q262" s="727"/>
      <c r="R262" s="727"/>
      <c r="S262" s="727"/>
      <c r="T262" s="727"/>
      <c r="U262" s="727"/>
      <c r="V262" s="727"/>
      <c r="W262" s="727"/>
      <c r="X262" s="727"/>
      <c r="Y262" s="727"/>
    </row>
    <row r="263" spans="16:25">
      <c r="P263" s="623"/>
      <c r="Q263" s="727"/>
      <c r="R263" s="727"/>
      <c r="S263" s="727"/>
      <c r="T263" s="727"/>
      <c r="U263" s="727"/>
      <c r="V263" s="727"/>
      <c r="W263" s="727"/>
      <c r="X263" s="727"/>
      <c r="Y263" s="727"/>
    </row>
    <row r="264" spans="16:25">
      <c r="P264" s="623"/>
      <c r="Q264" s="727"/>
      <c r="R264" s="727"/>
      <c r="S264" s="727"/>
      <c r="T264" s="727"/>
      <c r="U264" s="727"/>
      <c r="V264" s="727"/>
      <c r="W264" s="727"/>
      <c r="X264" s="727"/>
      <c r="Y264" s="727"/>
    </row>
    <row r="265" spans="16:25">
      <c r="P265" s="623"/>
      <c r="Q265" s="727"/>
      <c r="R265" s="727"/>
      <c r="S265" s="727"/>
      <c r="T265" s="727"/>
      <c r="U265" s="727"/>
      <c r="V265" s="727"/>
      <c r="W265" s="727"/>
      <c r="X265" s="727"/>
      <c r="Y265" s="727"/>
    </row>
    <row r="266" spans="16:25">
      <c r="P266" s="623"/>
      <c r="Q266" s="727"/>
      <c r="R266" s="727"/>
      <c r="S266" s="727"/>
      <c r="T266" s="727"/>
      <c r="U266" s="727"/>
      <c r="V266" s="727"/>
      <c r="W266" s="727"/>
      <c r="X266" s="727"/>
      <c r="Y266" s="727"/>
    </row>
    <row r="267" spans="16:25">
      <c r="P267" s="623"/>
      <c r="Q267" s="727"/>
      <c r="R267" s="727"/>
      <c r="S267" s="727"/>
      <c r="T267" s="727"/>
      <c r="U267" s="727"/>
      <c r="V267" s="727"/>
      <c r="W267" s="727"/>
      <c r="X267" s="727"/>
      <c r="Y267" s="727"/>
    </row>
    <row r="268" spans="16:25">
      <c r="P268" s="623"/>
      <c r="Q268" s="727"/>
      <c r="R268" s="727"/>
      <c r="S268" s="727"/>
      <c r="T268" s="727"/>
      <c r="U268" s="727"/>
      <c r="V268" s="727"/>
      <c r="W268" s="727"/>
      <c r="X268" s="727"/>
      <c r="Y268" s="727"/>
    </row>
    <row r="269" spans="16:25">
      <c r="P269" s="623"/>
      <c r="Q269" s="727"/>
      <c r="R269" s="727"/>
      <c r="S269" s="727"/>
      <c r="T269" s="727"/>
      <c r="U269" s="727"/>
      <c r="V269" s="727"/>
      <c r="W269" s="727"/>
      <c r="X269" s="727"/>
      <c r="Y269" s="727"/>
    </row>
    <row r="270" spans="16:25">
      <c r="P270" s="623"/>
      <c r="Q270" s="727"/>
      <c r="R270" s="727"/>
      <c r="S270" s="727"/>
      <c r="T270" s="727"/>
      <c r="U270" s="727"/>
      <c r="V270" s="727"/>
      <c r="W270" s="727"/>
      <c r="X270" s="727"/>
      <c r="Y270" s="727"/>
    </row>
    <row r="271" spans="16:25">
      <c r="P271" s="623"/>
      <c r="Q271" s="727"/>
      <c r="R271" s="727"/>
      <c r="S271" s="727"/>
      <c r="T271" s="727"/>
      <c r="U271" s="727"/>
      <c r="V271" s="727"/>
      <c r="W271" s="727"/>
      <c r="X271" s="727"/>
      <c r="Y271" s="727"/>
    </row>
    <row r="272" spans="16:25">
      <c r="P272" s="623"/>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20" workbookViewId="0">
      <selection activeCell="F64" sqref="F6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style="514" customWidth="1"/>
    <col min="12" max="12" width="9.28515625" style="514"/>
    <col min="13" max="13" width="20.42578125" style="549" customWidth="1"/>
    <col min="14" max="21" width="9.28515625" style="583"/>
  </cols>
  <sheetData>
    <row r="1" spans="1:17" ht="11.25" customHeight="1"/>
    <row r="2" spans="1:17" ht="11.25" customHeight="1">
      <c r="A2" s="860" t="s">
        <v>446</v>
      </c>
      <c r="B2" s="860"/>
      <c r="C2" s="860"/>
      <c r="D2" s="860"/>
      <c r="E2" s="860"/>
      <c r="F2" s="860"/>
      <c r="G2" s="860"/>
      <c r="H2" s="860"/>
      <c r="I2" s="860"/>
      <c r="J2" s="860"/>
      <c r="K2" s="860"/>
    </row>
    <row r="3" spans="1:17" ht="11.25" customHeight="1">
      <c r="A3" s="18"/>
      <c r="B3" s="18"/>
      <c r="C3" s="18"/>
      <c r="D3" s="18"/>
      <c r="E3" s="18"/>
      <c r="F3" s="18"/>
      <c r="G3" s="18"/>
      <c r="H3" s="18"/>
      <c r="I3" s="18"/>
      <c r="J3" s="532"/>
      <c r="K3" s="532"/>
      <c r="L3" s="300"/>
    </row>
    <row r="4" spans="1:17" ht="11.25" customHeight="1">
      <c r="A4" s="846" t="s">
        <v>384</v>
      </c>
      <c r="B4" s="846"/>
      <c r="C4" s="846"/>
      <c r="D4" s="846"/>
      <c r="E4" s="846"/>
      <c r="F4" s="846"/>
      <c r="G4" s="846"/>
      <c r="H4" s="846"/>
      <c r="I4" s="183"/>
      <c r="J4" s="533"/>
      <c r="L4" s="300"/>
    </row>
    <row r="5" spans="1:17" ht="7.5" customHeight="1">
      <c r="A5" s="184"/>
      <c r="B5" s="184"/>
      <c r="C5" s="184"/>
      <c r="D5" s="184"/>
      <c r="E5" s="184"/>
      <c r="F5" s="184"/>
      <c r="G5" s="184"/>
      <c r="H5" s="184"/>
      <c r="I5" s="184"/>
      <c r="J5" s="534"/>
      <c r="L5" s="535"/>
    </row>
    <row r="6" spans="1:17" ht="11.25" customHeight="1">
      <c r="A6" s="184"/>
      <c r="B6" s="188" t="s">
        <v>385</v>
      </c>
      <c r="C6" s="184"/>
      <c r="D6" s="184"/>
      <c r="E6" s="184"/>
      <c r="F6" s="184"/>
      <c r="G6" s="184"/>
      <c r="H6" s="184"/>
      <c r="I6" s="184"/>
      <c r="J6" s="534"/>
      <c r="L6" s="536"/>
    </row>
    <row r="7" spans="1:17" ht="7.5" customHeight="1">
      <c r="A7" s="184"/>
      <c r="B7" s="185"/>
      <c r="C7" s="184"/>
      <c r="D7" s="184"/>
      <c r="E7" s="184"/>
      <c r="F7" s="184"/>
      <c r="G7" s="184"/>
      <c r="H7" s="184"/>
      <c r="I7" s="184"/>
      <c r="J7" s="534"/>
      <c r="L7" s="537"/>
    </row>
    <row r="8" spans="1:17" ht="21" customHeight="1">
      <c r="A8" s="184"/>
      <c r="B8" s="386" t="s">
        <v>164</v>
      </c>
      <c r="C8" s="387" t="s">
        <v>165</v>
      </c>
      <c r="D8" s="387" t="s">
        <v>166</v>
      </c>
      <c r="E8" s="387" t="s">
        <v>168</v>
      </c>
      <c r="F8" s="387" t="s">
        <v>167</v>
      </c>
      <c r="G8" s="388" t="s">
        <v>169</v>
      </c>
      <c r="H8" s="180"/>
      <c r="I8" s="180"/>
      <c r="J8" s="538"/>
      <c r="L8" s="539"/>
      <c r="M8" s="550" t="s">
        <v>165</v>
      </c>
      <c r="N8" s="584" t="str">
        <f>M8&amp;"
 ("&amp;ROUND(HLOOKUP(M8,$C$8:$G$9,2,0),2)&amp;" USD/MWh)"</f>
        <v>PIURA OESTE 220
 (14,15 USD/MWh)</v>
      </c>
      <c r="O8" s="278"/>
      <c r="P8" s="278"/>
      <c r="Q8" s="278"/>
    </row>
    <row r="9" spans="1:17" ht="18" customHeight="1">
      <c r="A9" s="184"/>
      <c r="B9" s="389" t="s">
        <v>170</v>
      </c>
      <c r="C9" s="267">
        <v>14.152450548765579</v>
      </c>
      <c r="D9" s="267">
        <v>13.999566885454428</v>
      </c>
      <c r="E9" s="267">
        <v>13.805434195012083</v>
      </c>
      <c r="F9" s="267">
        <v>13.712027349543018</v>
      </c>
      <c r="G9" s="267">
        <v>13.743584457449538</v>
      </c>
      <c r="H9" s="180"/>
      <c r="I9" s="180"/>
      <c r="J9" s="538"/>
      <c r="K9" s="538"/>
      <c r="L9" s="539"/>
      <c r="M9" s="550" t="s">
        <v>166</v>
      </c>
      <c r="N9" s="584" t="str">
        <f>M9&amp;"
("&amp;ROUND(HLOOKUP(M9,$C$8:$G$9,2,0),2)&amp;" USD/MWh)"</f>
        <v>CHICLAYO 220
(14 USD/MWh)</v>
      </c>
      <c r="O9" s="278"/>
      <c r="P9" s="278"/>
      <c r="Q9" s="278"/>
    </row>
    <row r="10" spans="1:17" ht="14.25" customHeight="1">
      <c r="A10" s="184"/>
      <c r="B10" s="884"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884"/>
      <c r="D10" s="884"/>
      <c r="E10" s="884"/>
      <c r="F10" s="884"/>
      <c r="G10" s="884"/>
      <c r="H10" s="884"/>
      <c r="I10" s="884"/>
      <c r="J10" s="538"/>
      <c r="K10" s="538"/>
      <c r="L10" s="539"/>
      <c r="M10" s="550" t="s">
        <v>168</v>
      </c>
      <c r="N10" s="584" t="str">
        <f>M10&amp;"
("&amp;ROUND(HLOOKUP(M10,$C$8:$G$9,2,0),2)&amp;" USD/MWh)"</f>
        <v>TRUJILLO 220
(13,81 USD/MWh)</v>
      </c>
      <c r="O10" s="278"/>
      <c r="P10" s="278"/>
      <c r="Q10" s="278"/>
    </row>
    <row r="11" spans="1:17" ht="11.25" customHeight="1">
      <c r="A11" s="184"/>
      <c r="B11" s="191"/>
      <c r="C11" s="180"/>
      <c r="D11" s="180"/>
      <c r="E11" s="180"/>
      <c r="F11" s="180"/>
      <c r="G11" s="180"/>
      <c r="H11" s="180"/>
      <c r="I11" s="180"/>
      <c r="J11" s="538"/>
      <c r="K11" s="538"/>
      <c r="L11" s="539"/>
      <c r="M11" s="550" t="s">
        <v>167</v>
      </c>
      <c r="N11" s="584" t="str">
        <f>M11&amp;"
("&amp;ROUND(HLOOKUP(M11,$C$8:$G$9,2,0),2)&amp;" USD/MWh)"</f>
        <v>CHIMBOTE1 138
(13,71 USD/MWh)</v>
      </c>
      <c r="O11" s="278"/>
      <c r="P11" s="278"/>
      <c r="Q11" s="278"/>
    </row>
    <row r="12" spans="1:17" ht="11.25" customHeight="1">
      <c r="A12" s="184"/>
      <c r="B12" s="180"/>
      <c r="C12" s="180"/>
      <c r="D12" s="180"/>
      <c r="E12" s="180"/>
      <c r="F12" s="180"/>
      <c r="G12" s="180"/>
      <c r="H12" s="180"/>
      <c r="I12" s="180"/>
      <c r="J12" s="538"/>
      <c r="K12" s="538"/>
      <c r="L12" s="540"/>
      <c r="M12" s="550" t="s">
        <v>169</v>
      </c>
      <c r="N12" s="584" t="str">
        <f>M12&amp;"
("&amp;ROUND(HLOOKUP(M12,$C$8:$G$9,2,0),2)&amp;" USD/MWh)"</f>
        <v>CAJAMARCA 220
(13,74 USD/MWh)</v>
      </c>
      <c r="O12" s="278"/>
      <c r="P12" s="278"/>
      <c r="Q12" s="278"/>
    </row>
    <row r="13" spans="1:17" ht="11.25" customHeight="1">
      <c r="A13" s="184"/>
      <c r="B13" s="180"/>
      <c r="C13" s="180"/>
      <c r="D13" s="180"/>
      <c r="E13" s="180"/>
      <c r="F13" s="180"/>
      <c r="G13" s="180"/>
      <c r="H13" s="180"/>
      <c r="I13" s="180"/>
      <c r="J13" s="538"/>
      <c r="K13" s="538"/>
      <c r="L13" s="539"/>
      <c r="M13" s="550"/>
      <c r="N13" s="584"/>
      <c r="O13" s="550"/>
      <c r="P13" s="278"/>
      <c r="Q13" s="278"/>
    </row>
    <row r="14" spans="1:17" ht="11.25" customHeight="1">
      <c r="A14" s="184"/>
      <c r="B14" s="180"/>
      <c r="C14" s="180"/>
      <c r="D14" s="180"/>
      <c r="E14" s="180"/>
      <c r="F14" s="180"/>
      <c r="G14" s="180"/>
      <c r="H14" s="180"/>
      <c r="I14" s="180"/>
      <c r="J14" s="538"/>
      <c r="K14" s="538"/>
      <c r="L14" s="539"/>
      <c r="M14" s="550" t="s">
        <v>440</v>
      </c>
      <c r="N14" s="584" t="str">
        <f>M14&amp;"
("&amp;ROUND(HLOOKUP(M14,$C$26:$I$27,2,0),2)&amp;" USD/MWh)"</f>
        <v>CHAVARRIA 220
(13,27 USD/MWh)</v>
      </c>
      <c r="O14" s="278"/>
      <c r="P14" s="278"/>
      <c r="Q14" s="278"/>
    </row>
    <row r="15" spans="1:17" ht="11.25" customHeight="1">
      <c r="A15" s="184"/>
      <c r="B15" s="180"/>
      <c r="C15" s="180"/>
      <c r="D15" s="180"/>
      <c r="E15" s="180"/>
      <c r="F15" s="180"/>
      <c r="G15" s="180"/>
      <c r="H15" s="180"/>
      <c r="I15" s="180"/>
      <c r="J15" s="538"/>
      <c r="K15" s="538"/>
      <c r="L15" s="539"/>
      <c r="M15" s="550" t="s">
        <v>173</v>
      </c>
      <c r="N15" s="584" t="str">
        <f t="shared" ref="N15:N20" si="0">M15&amp;"
("&amp;ROUND(HLOOKUP(M15,$C$26:$I$27,2,0),2)&amp;" USD/MWh)"</f>
        <v>INDEPENDENCIA 220
(13,34 USD/MWh)</v>
      </c>
      <c r="O15" s="278"/>
      <c r="P15" s="278"/>
      <c r="Q15" s="278"/>
    </row>
    <row r="16" spans="1:17" ht="11.25" customHeight="1">
      <c r="A16" s="184"/>
      <c r="B16" s="180"/>
      <c r="C16" s="180"/>
      <c r="D16" s="180"/>
      <c r="E16" s="180"/>
      <c r="F16" s="180"/>
      <c r="G16" s="180"/>
      <c r="H16" s="180"/>
      <c r="I16" s="180"/>
      <c r="J16" s="538"/>
      <c r="K16" s="538"/>
      <c r="L16" s="539"/>
      <c r="M16" s="550" t="s">
        <v>174</v>
      </c>
      <c r="N16" s="584" t="str">
        <f t="shared" si="0"/>
        <v>CARABAYLLO 220
(13,26 USD/MWh)</v>
      </c>
      <c r="O16" s="278"/>
      <c r="P16" s="278"/>
      <c r="Q16" s="278"/>
    </row>
    <row r="17" spans="1:17" ht="11.25" customHeight="1">
      <c r="A17" s="184"/>
      <c r="B17" s="180"/>
      <c r="C17" s="180"/>
      <c r="D17" s="180"/>
      <c r="E17" s="180"/>
      <c r="F17" s="180"/>
      <c r="G17" s="180"/>
      <c r="H17" s="180"/>
      <c r="I17" s="180"/>
      <c r="J17" s="538"/>
      <c r="K17" s="538"/>
      <c r="L17" s="539"/>
      <c r="M17" s="550" t="s">
        <v>171</v>
      </c>
      <c r="N17" s="584" t="str">
        <f t="shared" si="0"/>
        <v>SANTA ROSA 220
(13,25 USD/MWh)</v>
      </c>
      <c r="O17" s="278"/>
      <c r="P17" s="278"/>
      <c r="Q17" s="278"/>
    </row>
    <row r="18" spans="1:17" ht="11.25" customHeight="1">
      <c r="A18" s="184"/>
      <c r="B18" s="180"/>
      <c r="C18" s="180"/>
      <c r="D18" s="180"/>
      <c r="E18" s="180"/>
      <c r="F18" s="180"/>
      <c r="G18" s="180"/>
      <c r="H18" s="180"/>
      <c r="I18" s="180"/>
      <c r="J18" s="538"/>
      <c r="K18" s="538"/>
      <c r="L18" s="539"/>
      <c r="M18" s="550" t="s">
        <v>172</v>
      </c>
      <c r="N18" s="584" t="str">
        <f t="shared" si="0"/>
        <v>SAN JUAN 220
(13,07 USD/MWh)</v>
      </c>
      <c r="O18" s="278"/>
      <c r="P18" s="278"/>
      <c r="Q18" s="278"/>
    </row>
    <row r="19" spans="1:17" ht="11.25" customHeight="1">
      <c r="A19" s="184"/>
      <c r="B19" s="180"/>
      <c r="C19" s="180"/>
      <c r="D19" s="180"/>
      <c r="E19" s="180"/>
      <c r="F19" s="180"/>
      <c r="G19" s="180"/>
      <c r="H19" s="180"/>
      <c r="I19" s="180"/>
      <c r="J19" s="538"/>
      <c r="K19" s="538"/>
      <c r="L19" s="541"/>
      <c r="M19" s="550" t="s">
        <v>175</v>
      </c>
      <c r="N19" s="584" t="str">
        <f t="shared" si="0"/>
        <v>POMACOCHA 220
(13,07 USD/MWh)</v>
      </c>
      <c r="O19" s="278"/>
      <c r="P19" s="278"/>
      <c r="Q19" s="278"/>
    </row>
    <row r="20" spans="1:17" ht="11.25" customHeight="1">
      <c r="A20" s="184"/>
      <c r="B20" s="190"/>
      <c r="C20" s="190"/>
      <c r="D20" s="190"/>
      <c r="E20" s="190"/>
      <c r="F20" s="190"/>
      <c r="G20" s="180"/>
      <c r="H20" s="180"/>
      <c r="I20" s="180"/>
      <c r="J20" s="538"/>
      <c r="K20" s="538"/>
      <c r="L20" s="539"/>
      <c r="M20" s="550" t="s">
        <v>176</v>
      </c>
      <c r="N20" s="584" t="str">
        <f t="shared" si="0"/>
        <v>OROYA NUEVA 50
(13,02 USD/MWh)</v>
      </c>
      <c r="O20" s="278"/>
      <c r="P20" s="278"/>
      <c r="Q20" s="278"/>
    </row>
    <row r="21" spans="1:17" ht="11.25" customHeight="1">
      <c r="A21" s="184"/>
      <c r="B21" s="885" t="str">
        <f>"Gráfico N°20: Costos marginales medios registrados en las principales barras del área norte durante el mes de "&amp;'1. Resumen'!Q4</f>
        <v>Gráfico N°20: Costos marginales medios registrados en las principales barras del área norte durante el mes de junio</v>
      </c>
      <c r="C21" s="885"/>
      <c r="D21" s="885"/>
      <c r="E21" s="885"/>
      <c r="F21" s="885"/>
      <c r="G21" s="885"/>
      <c r="H21" s="885"/>
      <c r="I21" s="885"/>
      <c r="J21" s="538"/>
      <c r="K21" s="538"/>
      <c r="L21" s="539"/>
      <c r="M21" s="550"/>
      <c r="N21" s="584"/>
      <c r="O21" s="278"/>
      <c r="P21" s="278"/>
      <c r="Q21" s="278"/>
    </row>
    <row r="22" spans="1:17" ht="7.5" customHeight="1">
      <c r="A22" s="184"/>
      <c r="B22" s="186"/>
      <c r="C22" s="186"/>
      <c r="D22" s="186"/>
      <c r="E22" s="186"/>
      <c r="F22" s="186"/>
      <c r="G22" s="184"/>
      <c r="H22" s="184"/>
      <c r="I22" s="184"/>
      <c r="J22" s="534"/>
      <c r="K22" s="534"/>
      <c r="L22" s="536"/>
      <c r="M22" s="550"/>
      <c r="N22" s="584"/>
      <c r="O22" s="278"/>
      <c r="P22" s="278"/>
      <c r="Q22" s="278"/>
    </row>
    <row r="23" spans="1:17" ht="11.25" customHeight="1">
      <c r="A23" s="184"/>
      <c r="B23" s="186"/>
      <c r="C23" s="186"/>
      <c r="D23" s="186"/>
      <c r="E23" s="186"/>
      <c r="F23" s="186"/>
      <c r="G23" s="184"/>
      <c r="H23" s="184"/>
      <c r="I23" s="184"/>
      <c r="J23" s="534"/>
      <c r="K23" s="534"/>
      <c r="L23" s="542"/>
      <c r="M23" s="550" t="s">
        <v>177</v>
      </c>
      <c r="N23" s="584" t="str">
        <f t="shared" ref="N23:N29" si="1">M23&amp;"
("&amp;ROUND(HLOOKUP(M23,$C$45:$I$46,2,0),2)&amp;" USD/MWh)"</f>
        <v>TINTAYA NUEVA 220
(14,75 USD/MWh)</v>
      </c>
      <c r="O23" s="278"/>
      <c r="P23" s="278"/>
      <c r="Q23" s="278"/>
    </row>
    <row r="24" spans="1:17" ht="11.25" customHeight="1">
      <c r="A24" s="184"/>
      <c r="B24" s="189" t="s">
        <v>386</v>
      </c>
      <c r="C24" s="186"/>
      <c r="D24" s="186"/>
      <c r="E24" s="186"/>
      <c r="F24" s="186"/>
      <c r="G24" s="184"/>
      <c r="H24" s="184"/>
      <c r="I24" s="184"/>
      <c r="J24" s="534"/>
      <c r="K24" s="534"/>
      <c r="L24" s="536"/>
      <c r="M24" s="550" t="s">
        <v>178</v>
      </c>
      <c r="N24" s="584" t="str">
        <f t="shared" si="1"/>
        <v>PUNO 138
(14,4 USD/MWh)</v>
      </c>
      <c r="O24" s="278"/>
      <c r="P24" s="278"/>
      <c r="Q24" s="278"/>
    </row>
    <row r="25" spans="1:17" ht="6.75" customHeight="1">
      <c r="A25" s="184"/>
      <c r="B25" s="186"/>
      <c r="C25" s="186"/>
      <c r="D25" s="186"/>
      <c r="E25" s="186"/>
      <c r="F25" s="186"/>
      <c r="G25" s="184"/>
      <c r="H25" s="184"/>
      <c r="I25" s="184"/>
      <c r="J25" s="534"/>
      <c r="K25" s="534"/>
      <c r="L25" s="536"/>
      <c r="M25" s="550" t="s">
        <v>179</v>
      </c>
      <c r="N25" s="584" t="str">
        <f t="shared" si="1"/>
        <v>SOCABAYA 220
(14,19 USD/MWh)</v>
      </c>
      <c r="O25" s="278"/>
      <c r="P25" s="278"/>
      <c r="Q25" s="278"/>
    </row>
    <row r="26" spans="1:17" ht="25.5" customHeight="1">
      <c r="A26" s="184"/>
      <c r="B26" s="390" t="s">
        <v>164</v>
      </c>
      <c r="C26" s="387" t="s">
        <v>440</v>
      </c>
      <c r="D26" s="387" t="s">
        <v>171</v>
      </c>
      <c r="E26" s="387" t="s">
        <v>174</v>
      </c>
      <c r="F26" s="387" t="s">
        <v>172</v>
      </c>
      <c r="G26" s="387" t="s">
        <v>173</v>
      </c>
      <c r="H26" s="387" t="s">
        <v>175</v>
      </c>
      <c r="I26" s="388" t="s">
        <v>176</v>
      </c>
      <c r="J26" s="543"/>
      <c r="K26" s="538"/>
      <c r="L26" s="539"/>
      <c r="M26" s="550" t="s">
        <v>180</v>
      </c>
      <c r="N26" s="584" t="str">
        <f t="shared" si="1"/>
        <v>MOQUEGUA 138
(14,19 USD/MWh)</v>
      </c>
      <c r="O26" s="278"/>
      <c r="P26" s="278"/>
      <c r="Q26" s="278"/>
    </row>
    <row r="27" spans="1:17" ht="18" customHeight="1">
      <c r="A27" s="184"/>
      <c r="B27" s="391" t="s">
        <v>170</v>
      </c>
      <c r="C27" s="267">
        <v>13.272354393717301</v>
      </c>
      <c r="D27" s="267">
        <v>13.248153076500259</v>
      </c>
      <c r="E27" s="267">
        <v>13.264220436353932</v>
      </c>
      <c r="F27" s="267">
        <v>13.067840084497275</v>
      </c>
      <c r="G27" s="267">
        <v>13.337837992182564</v>
      </c>
      <c r="H27" s="267">
        <v>13.066273849298696</v>
      </c>
      <c r="I27" s="267">
        <v>13.020301282369095</v>
      </c>
      <c r="J27" s="544"/>
      <c r="K27" s="538"/>
      <c r="L27" s="539"/>
      <c r="M27" s="550" t="s">
        <v>181</v>
      </c>
      <c r="N27" s="584" t="str">
        <f t="shared" si="1"/>
        <v>DOLORESPATA 138
(13,76 USD/MWh)</v>
      </c>
      <c r="O27" s="278"/>
      <c r="P27" s="278"/>
      <c r="Q27" s="278"/>
    </row>
    <row r="28" spans="1:17" ht="19.5" customHeight="1">
      <c r="A28" s="184"/>
      <c r="B28" s="886"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886"/>
      <c r="D28" s="886"/>
      <c r="E28" s="886"/>
      <c r="F28" s="886"/>
      <c r="G28" s="886"/>
      <c r="H28" s="886"/>
      <c r="I28" s="886"/>
      <c r="J28" s="538"/>
      <c r="K28" s="538"/>
      <c r="L28" s="539"/>
      <c r="M28" s="550" t="s">
        <v>182</v>
      </c>
      <c r="N28" s="584" t="str">
        <f t="shared" si="1"/>
        <v>COTARUSE 220
(13,62 USD/MWh)</v>
      </c>
      <c r="O28" s="278"/>
      <c r="P28" s="278"/>
      <c r="Q28" s="278"/>
    </row>
    <row r="29" spans="1:17" ht="11.25" customHeight="1">
      <c r="A29" s="184"/>
      <c r="B29" s="190"/>
      <c r="C29" s="190"/>
      <c r="D29" s="190"/>
      <c r="E29" s="190"/>
      <c r="F29" s="190"/>
      <c r="G29" s="190"/>
      <c r="H29" s="190"/>
      <c r="I29" s="190"/>
      <c r="J29" s="545"/>
      <c r="K29" s="545"/>
      <c r="L29" s="539"/>
      <c r="M29" s="550" t="s">
        <v>183</v>
      </c>
      <c r="N29" s="584" t="str">
        <f t="shared" si="1"/>
        <v>SAN GABAN 138
(13,72 USD/MWh)</v>
      </c>
      <c r="O29" s="278"/>
      <c r="P29" s="278"/>
      <c r="Q29" s="278"/>
    </row>
    <row r="30" spans="1:17" ht="11.25" customHeight="1">
      <c r="A30" s="184"/>
      <c r="B30" s="190"/>
      <c r="C30" s="190"/>
      <c r="D30" s="190"/>
      <c r="E30" s="190"/>
      <c r="F30" s="190"/>
      <c r="G30" s="190"/>
      <c r="H30" s="190"/>
      <c r="I30" s="190"/>
      <c r="J30" s="545"/>
      <c r="K30" s="545"/>
      <c r="L30" s="539"/>
      <c r="M30" s="550"/>
      <c r="N30" s="585"/>
      <c r="O30" s="278"/>
      <c r="P30" s="278"/>
      <c r="Q30" s="278"/>
    </row>
    <row r="31" spans="1:17" ht="11.25" customHeight="1">
      <c r="A31" s="184"/>
      <c r="B31" s="190"/>
      <c r="C31" s="190"/>
      <c r="D31" s="190"/>
      <c r="E31" s="190"/>
      <c r="F31" s="190"/>
      <c r="G31" s="190"/>
      <c r="H31" s="190"/>
      <c r="I31" s="190"/>
      <c r="J31" s="545"/>
      <c r="K31" s="545"/>
      <c r="L31" s="539"/>
      <c r="M31" s="550"/>
      <c r="N31" s="585"/>
      <c r="O31" s="278"/>
      <c r="P31" s="278"/>
      <c r="Q31" s="278"/>
    </row>
    <row r="32" spans="1:17" ht="11.25" customHeight="1">
      <c r="A32" s="184"/>
      <c r="B32" s="190"/>
      <c r="C32" s="190"/>
      <c r="D32" s="190"/>
      <c r="E32" s="190"/>
      <c r="F32" s="190"/>
      <c r="G32" s="190"/>
      <c r="H32" s="190"/>
      <c r="I32" s="190"/>
      <c r="J32" s="545"/>
      <c r="K32" s="545"/>
      <c r="L32" s="539"/>
      <c r="M32" s="550"/>
      <c r="N32" s="278"/>
      <c r="O32" s="278"/>
      <c r="P32" s="278"/>
      <c r="Q32" s="278"/>
    </row>
    <row r="33" spans="1:17" ht="11.25" customHeight="1">
      <c r="A33" s="184"/>
      <c r="B33" s="190"/>
      <c r="C33" s="190"/>
      <c r="D33" s="190"/>
      <c r="E33" s="190"/>
      <c r="F33" s="190"/>
      <c r="G33" s="190"/>
      <c r="H33" s="190"/>
      <c r="I33" s="190"/>
      <c r="J33" s="545"/>
      <c r="K33" s="545"/>
      <c r="L33" s="539"/>
      <c r="N33" s="278"/>
      <c r="O33" s="278"/>
      <c r="P33" s="278"/>
      <c r="Q33" s="278"/>
    </row>
    <row r="34" spans="1:17" ht="11.25" customHeight="1">
      <c r="A34" s="184"/>
      <c r="B34" s="190"/>
      <c r="C34" s="190"/>
      <c r="D34" s="190"/>
      <c r="E34" s="190"/>
      <c r="F34" s="190"/>
      <c r="G34" s="190"/>
      <c r="H34" s="190"/>
      <c r="I34" s="190"/>
      <c r="J34" s="545"/>
      <c r="K34" s="545"/>
      <c r="L34" s="539"/>
      <c r="N34" s="278"/>
      <c r="O34" s="278"/>
      <c r="P34" s="278"/>
      <c r="Q34" s="278"/>
    </row>
    <row r="35" spans="1:17" ht="11.25" customHeight="1">
      <c r="A35" s="184"/>
      <c r="B35" s="190"/>
      <c r="C35" s="190"/>
      <c r="D35" s="190"/>
      <c r="E35" s="190"/>
      <c r="F35" s="190"/>
      <c r="G35" s="190"/>
      <c r="H35" s="190"/>
      <c r="I35" s="190"/>
      <c r="J35" s="545"/>
      <c r="K35" s="545"/>
      <c r="L35" s="546"/>
      <c r="N35" s="278"/>
      <c r="O35" s="278"/>
      <c r="P35" s="278"/>
      <c r="Q35" s="278"/>
    </row>
    <row r="36" spans="1:17" ht="11.25" customHeight="1">
      <c r="A36" s="184"/>
      <c r="B36" s="190"/>
      <c r="C36" s="190"/>
      <c r="D36" s="190"/>
      <c r="E36" s="190"/>
      <c r="F36" s="190"/>
      <c r="G36" s="190"/>
      <c r="H36" s="190"/>
      <c r="I36" s="190"/>
      <c r="J36" s="545"/>
      <c r="K36" s="545"/>
      <c r="L36" s="539"/>
      <c r="N36" s="278"/>
      <c r="O36" s="278"/>
      <c r="P36" s="278"/>
      <c r="Q36" s="278"/>
    </row>
    <row r="37" spans="1:17" ht="11.25" customHeight="1">
      <c r="A37" s="184"/>
      <c r="B37" s="190"/>
      <c r="C37" s="190"/>
      <c r="D37" s="190"/>
      <c r="E37" s="190"/>
      <c r="F37" s="190"/>
      <c r="G37" s="190"/>
      <c r="H37" s="190"/>
      <c r="I37" s="190"/>
      <c r="J37" s="545"/>
      <c r="K37" s="545"/>
      <c r="L37" s="539"/>
      <c r="N37" s="278"/>
      <c r="O37" s="278"/>
      <c r="P37" s="278"/>
      <c r="Q37" s="278"/>
    </row>
    <row r="38" spans="1:17" ht="11.25" customHeight="1">
      <c r="A38" s="184"/>
      <c r="B38" s="190"/>
      <c r="C38" s="190"/>
      <c r="D38" s="190"/>
      <c r="E38" s="190"/>
      <c r="F38" s="190"/>
      <c r="G38" s="190"/>
      <c r="H38" s="190"/>
      <c r="I38" s="190"/>
      <c r="J38" s="545"/>
      <c r="K38" s="545"/>
      <c r="L38" s="539"/>
      <c r="N38" s="278"/>
      <c r="O38" s="278"/>
      <c r="P38" s="278"/>
      <c r="Q38" s="278"/>
    </row>
    <row r="39" spans="1:17" ht="11.25" customHeight="1">
      <c r="A39" s="184"/>
      <c r="B39" s="190"/>
      <c r="C39" s="190"/>
      <c r="D39" s="190"/>
      <c r="E39" s="190"/>
      <c r="F39" s="190"/>
      <c r="G39" s="190"/>
      <c r="H39" s="190"/>
      <c r="I39" s="190"/>
      <c r="J39" s="545"/>
      <c r="K39" s="545"/>
      <c r="L39" s="539"/>
      <c r="N39" s="278"/>
      <c r="O39" s="278"/>
      <c r="P39" s="278"/>
      <c r="Q39" s="278"/>
    </row>
    <row r="40" spans="1:17" ht="13.5" customHeight="1">
      <c r="A40" s="184"/>
      <c r="B40" s="884" t="str">
        <f>"Gráfico N°21: Costos marginales medios registrados en las principales barras del área centro durante el mes de "&amp;'1. Resumen'!Q4</f>
        <v>Gráfico N°21: Costos marginales medios registrados en las principales barras del área centro durante el mes de junio</v>
      </c>
      <c r="C40" s="884"/>
      <c r="D40" s="884"/>
      <c r="E40" s="884"/>
      <c r="F40" s="884"/>
      <c r="G40" s="884"/>
      <c r="H40" s="884"/>
      <c r="I40" s="884"/>
      <c r="J40" s="545"/>
      <c r="K40" s="545"/>
      <c r="L40" s="539"/>
      <c r="N40" s="278"/>
      <c r="O40" s="278"/>
      <c r="P40" s="278"/>
      <c r="Q40" s="278"/>
    </row>
    <row r="41" spans="1:17" ht="6.75" customHeight="1">
      <c r="A41" s="184"/>
      <c r="B41" s="190"/>
      <c r="C41" s="190"/>
      <c r="D41" s="190"/>
      <c r="E41" s="190"/>
      <c r="F41" s="190"/>
      <c r="G41" s="190"/>
      <c r="H41" s="190"/>
      <c r="I41" s="190"/>
      <c r="J41" s="545"/>
      <c r="K41" s="545"/>
      <c r="L41" s="539"/>
      <c r="N41" s="278"/>
      <c r="O41" s="278"/>
      <c r="P41" s="278"/>
      <c r="Q41" s="278"/>
    </row>
    <row r="42" spans="1:17" ht="8.25" customHeight="1">
      <c r="A42" s="184"/>
      <c r="B42" s="186"/>
      <c r="C42" s="186"/>
      <c r="D42" s="186"/>
      <c r="E42" s="186"/>
      <c r="F42" s="186"/>
      <c r="G42" s="186"/>
      <c r="H42" s="186"/>
      <c r="I42" s="186"/>
      <c r="J42" s="547"/>
      <c r="K42" s="547"/>
      <c r="L42" s="11"/>
      <c r="N42" s="278"/>
      <c r="O42" s="278"/>
      <c r="P42" s="278"/>
      <c r="Q42" s="278"/>
    </row>
    <row r="43" spans="1:17" ht="11.25" customHeight="1">
      <c r="A43" s="184"/>
      <c r="B43" s="189" t="s">
        <v>387</v>
      </c>
      <c r="C43" s="186"/>
      <c r="D43" s="186"/>
      <c r="E43" s="186"/>
      <c r="F43" s="186"/>
      <c r="G43" s="186"/>
      <c r="H43" s="186"/>
      <c r="I43" s="186"/>
      <c r="J43" s="547"/>
      <c r="K43" s="547"/>
      <c r="L43" s="11"/>
      <c r="N43" s="278"/>
      <c r="O43" s="278"/>
      <c r="P43" s="278"/>
      <c r="Q43" s="278"/>
    </row>
    <row r="44" spans="1:17" ht="6.75" customHeight="1">
      <c r="A44" s="184"/>
      <c r="B44" s="186"/>
      <c r="C44" s="186"/>
      <c r="D44" s="186"/>
      <c r="E44" s="186"/>
      <c r="F44" s="186"/>
      <c r="G44" s="186"/>
      <c r="H44" s="186"/>
      <c r="I44" s="186"/>
      <c r="J44" s="547"/>
      <c r="K44" s="547"/>
      <c r="L44" s="11"/>
      <c r="N44" s="278"/>
      <c r="O44" s="278"/>
      <c r="P44" s="278"/>
      <c r="Q44" s="278"/>
    </row>
    <row r="45" spans="1:17" ht="27" customHeight="1">
      <c r="A45" s="184"/>
      <c r="B45" s="390" t="s">
        <v>164</v>
      </c>
      <c r="C45" s="387" t="s">
        <v>177</v>
      </c>
      <c r="D45" s="387" t="s">
        <v>179</v>
      </c>
      <c r="E45" s="387" t="s">
        <v>180</v>
      </c>
      <c r="F45" s="387" t="s">
        <v>178</v>
      </c>
      <c r="G45" s="387" t="s">
        <v>181</v>
      </c>
      <c r="H45" s="387" t="s">
        <v>182</v>
      </c>
      <c r="I45" s="388" t="s">
        <v>183</v>
      </c>
      <c r="J45" s="543"/>
      <c r="K45" s="545"/>
      <c r="N45" s="278"/>
      <c r="O45" s="278"/>
      <c r="P45" s="278"/>
      <c r="Q45" s="278"/>
    </row>
    <row r="46" spans="1:17" ht="18.75" customHeight="1">
      <c r="A46" s="184"/>
      <c r="B46" s="391" t="s">
        <v>170</v>
      </c>
      <c r="C46" s="267">
        <v>14.749278772381675</v>
      </c>
      <c r="D46" s="267">
        <v>14.19475894371152</v>
      </c>
      <c r="E46" s="267">
        <v>14.185889388795513</v>
      </c>
      <c r="F46" s="267">
        <v>14.399346259951393</v>
      </c>
      <c r="G46" s="267">
        <v>13.758953456953789</v>
      </c>
      <c r="H46" s="267">
        <v>13.622580963671911</v>
      </c>
      <c r="I46" s="267">
        <v>13.719055561662916</v>
      </c>
      <c r="J46" s="544"/>
      <c r="K46" s="545"/>
      <c r="N46" s="278"/>
      <c r="O46" s="278"/>
      <c r="P46" s="278"/>
      <c r="Q46" s="278"/>
    </row>
    <row r="47" spans="1:17" ht="18" customHeight="1">
      <c r="A47" s="184"/>
      <c r="B47" s="886" t="str">
        <f>"Cuadro N°13: Valor de los costos marginales medios registrados en las principales barras del área sur durante el mes de "&amp;'1. Resumen'!Q4</f>
        <v>Cuadro N°13: Valor de los costos marginales medios registrados en las principales barras del área sur durante el mes de junio</v>
      </c>
      <c r="C47" s="886"/>
      <c r="D47" s="886"/>
      <c r="E47" s="886"/>
      <c r="F47" s="886"/>
      <c r="G47" s="886"/>
      <c r="H47" s="886"/>
      <c r="I47" s="886"/>
      <c r="J47" s="544"/>
      <c r="K47" s="545"/>
    </row>
    <row r="48" spans="1:17" ht="13.2">
      <c r="A48" s="184"/>
      <c r="B48" s="190"/>
      <c r="C48" s="190"/>
      <c r="D48" s="190"/>
      <c r="E48" s="190"/>
      <c r="F48" s="190"/>
      <c r="G48" s="180"/>
      <c r="H48" s="180"/>
      <c r="I48" s="180"/>
      <c r="J48" s="538"/>
      <c r="K48" s="545"/>
    </row>
    <row r="49" spans="1:11" ht="13.2">
      <c r="A49" s="184"/>
      <c r="B49" s="180"/>
      <c r="C49" s="180"/>
      <c r="D49" s="180"/>
      <c r="E49" s="180"/>
      <c r="F49" s="180"/>
      <c r="G49" s="180"/>
      <c r="H49" s="180"/>
      <c r="I49" s="180"/>
      <c r="J49" s="538"/>
      <c r="K49" s="545"/>
    </row>
    <row r="50" spans="1:11" ht="13.2">
      <c r="A50" s="184"/>
      <c r="B50" s="111"/>
      <c r="C50" s="111"/>
      <c r="D50" s="111"/>
      <c r="E50" s="111"/>
      <c r="F50" s="111"/>
      <c r="G50" s="111"/>
      <c r="H50" s="111"/>
      <c r="I50" s="111"/>
      <c r="J50" s="548"/>
      <c r="K50" s="545"/>
    </row>
    <row r="51" spans="1:11" ht="13.2">
      <c r="A51" s="184"/>
      <c r="B51" s="111"/>
      <c r="C51" s="111"/>
      <c r="D51" s="111"/>
      <c r="E51" s="111"/>
      <c r="F51" s="111"/>
      <c r="G51" s="111"/>
      <c r="H51" s="111"/>
      <c r="I51" s="111"/>
      <c r="J51" s="548"/>
      <c r="K51" s="545"/>
    </row>
    <row r="52" spans="1:11" ht="13.2">
      <c r="A52" s="184"/>
      <c r="B52" s="111"/>
      <c r="C52" s="111"/>
      <c r="D52" s="111"/>
      <c r="E52" s="111"/>
      <c r="F52" s="111"/>
      <c r="G52" s="111"/>
      <c r="H52" s="111"/>
      <c r="I52" s="111"/>
      <c r="J52" s="548"/>
      <c r="K52" s="545"/>
    </row>
    <row r="53" spans="1:11" ht="13.2">
      <c r="A53" s="184"/>
      <c r="B53" s="111"/>
      <c r="C53" s="111"/>
      <c r="D53" s="111"/>
      <c r="E53" s="111"/>
      <c r="F53" s="111"/>
      <c r="G53" s="111"/>
      <c r="H53" s="111"/>
      <c r="I53" s="111"/>
      <c r="J53" s="548"/>
      <c r="K53" s="545"/>
    </row>
    <row r="54" spans="1:11" ht="13.2">
      <c r="A54" s="184"/>
      <c r="B54" s="111"/>
      <c r="C54" s="111"/>
      <c r="D54" s="111"/>
      <c r="E54" s="111"/>
      <c r="F54" s="111"/>
      <c r="G54" s="111"/>
      <c r="H54" s="111"/>
      <c r="I54" s="111"/>
      <c r="J54" s="548"/>
      <c r="K54" s="545"/>
    </row>
    <row r="55" spans="1:11" ht="13.2">
      <c r="A55" s="184"/>
      <c r="B55" s="111"/>
      <c r="C55" s="111"/>
      <c r="D55" s="111"/>
      <c r="E55" s="111"/>
      <c r="F55" s="111"/>
      <c r="G55" s="111"/>
      <c r="H55" s="111"/>
      <c r="I55" s="111"/>
      <c r="J55" s="548"/>
      <c r="K55" s="545"/>
    </row>
    <row r="56" spans="1:11" ht="13.2">
      <c r="A56" s="184"/>
      <c r="B56" s="180"/>
      <c r="C56" s="180"/>
      <c r="D56" s="180"/>
      <c r="E56" s="180"/>
      <c r="F56" s="180"/>
      <c r="G56" s="180"/>
      <c r="H56" s="180"/>
      <c r="I56" s="180"/>
      <c r="J56" s="538"/>
      <c r="K56" s="545"/>
    </row>
    <row r="57" spans="1:11" ht="13.2">
      <c r="A57" s="184"/>
      <c r="B57" s="180"/>
      <c r="C57" s="180"/>
      <c r="D57" s="180"/>
      <c r="E57" s="180"/>
      <c r="F57" s="180"/>
      <c r="G57" s="180"/>
      <c r="H57" s="180"/>
      <c r="I57" s="180"/>
      <c r="J57" s="538"/>
      <c r="K57" s="545"/>
    </row>
    <row r="58" spans="1:11" ht="13.2">
      <c r="A58" s="184"/>
      <c r="B58" s="884" t="str">
        <f>"Gráfico N°22: Costos marginales medios registrados en las principales barras del área sur durante el mes de "&amp;'1. Resumen'!Q4</f>
        <v>Gráfico N°22: Costos marginales medios registrados en las principales barras del área sur durante el mes de junio</v>
      </c>
      <c r="C58" s="884"/>
      <c r="D58" s="884"/>
      <c r="E58" s="884"/>
      <c r="F58" s="884"/>
      <c r="G58" s="884"/>
      <c r="H58" s="884"/>
      <c r="I58" s="884"/>
      <c r="J58" s="538"/>
      <c r="K58" s="545"/>
    </row>
    <row r="59" spans="1:11" ht="13.2">
      <c r="A59" s="74"/>
      <c r="B59" s="136"/>
      <c r="C59" s="136"/>
      <c r="D59" s="136"/>
      <c r="E59" s="136"/>
      <c r="F59" s="136"/>
      <c r="G59" s="136"/>
      <c r="H59" s="180"/>
      <c r="I59" s="180"/>
      <c r="J59" s="538"/>
      <c r="K59" s="545"/>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B1" zoomScaleNormal="100" zoomScaleSheetLayoutView="100" zoomScalePageLayoutView="145" workbookViewId="0">
      <selection activeCell="P38" sqref="P38"/>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26.25" customHeight="1">
      <c r="A2" s="846" t="s">
        <v>389</v>
      </c>
      <c r="B2" s="846"/>
      <c r="C2" s="846"/>
      <c r="D2" s="846"/>
      <c r="E2" s="846"/>
      <c r="F2" s="846"/>
      <c r="G2" s="846"/>
      <c r="H2" s="846"/>
      <c r="I2" s="846"/>
      <c r="J2" s="846"/>
      <c r="K2" s="846"/>
      <c r="L2" s="846"/>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3.2">
      <c r="A50" s="74"/>
      <c r="B50" s="74"/>
      <c r="C50" s="74"/>
      <c r="D50" s="74"/>
      <c r="E50" s="74"/>
      <c r="F50" s="74"/>
      <c r="G50" s="74"/>
      <c r="H50" s="74"/>
      <c r="I50" s="74"/>
      <c r="J50" s="74"/>
      <c r="K50" s="184"/>
      <c r="L50" s="73"/>
    </row>
    <row r="51" spans="1:12" ht="13.2">
      <c r="A51" s="74"/>
      <c r="B51" s="74"/>
      <c r="C51" s="74"/>
      <c r="D51" s="74"/>
      <c r="E51" s="74"/>
      <c r="F51" s="74"/>
      <c r="G51" s="74"/>
      <c r="H51" s="74"/>
      <c r="I51" s="74"/>
      <c r="J51" s="74"/>
      <c r="K51" s="184"/>
      <c r="L51" s="73"/>
    </row>
    <row r="52" spans="1:12" ht="13.2">
      <c r="A52" s="74"/>
      <c r="B52" s="74"/>
      <c r="C52" s="74"/>
      <c r="D52" s="74"/>
      <c r="E52" s="74"/>
      <c r="F52" s="74"/>
      <c r="G52" s="74"/>
      <c r="H52" s="74"/>
      <c r="I52" s="74"/>
      <c r="J52" s="74"/>
      <c r="K52" s="184"/>
      <c r="L52" s="73"/>
    </row>
    <row r="53" spans="1:12" ht="13.2">
      <c r="A53" s="74"/>
      <c r="B53" s="74"/>
      <c r="C53" s="74"/>
      <c r="D53" s="74"/>
      <c r="E53" s="74"/>
      <c r="F53" s="74"/>
      <c r="G53" s="74"/>
      <c r="H53" s="74"/>
      <c r="I53" s="74"/>
      <c r="J53" s="74"/>
      <c r="K53" s="184"/>
      <c r="L53" s="73"/>
    </row>
    <row r="54" spans="1:12" ht="13.2">
      <c r="A54" s="74"/>
      <c r="B54" s="74"/>
      <c r="C54" s="74"/>
      <c r="D54" s="74"/>
      <c r="E54" s="74"/>
      <c r="F54" s="74"/>
      <c r="G54" s="74"/>
      <c r="H54" s="74"/>
      <c r="I54" s="74"/>
      <c r="J54" s="74"/>
      <c r="K54" s="184"/>
      <c r="L54" s="73"/>
    </row>
    <row r="55" spans="1:12" ht="13.2">
      <c r="A55" s="74"/>
      <c r="B55" s="74"/>
      <c r="C55" s="74"/>
      <c r="D55" s="74"/>
      <c r="E55" s="74"/>
      <c r="F55" s="74"/>
      <c r="G55" s="74"/>
      <c r="H55" s="74"/>
      <c r="I55" s="74"/>
      <c r="J55" s="74"/>
      <c r="K55" s="184"/>
      <c r="L55" s="73"/>
    </row>
    <row r="56" spans="1:12" ht="13.2">
      <c r="A56" s="74"/>
      <c r="B56" s="74"/>
      <c r="C56" s="74"/>
      <c r="D56" s="74"/>
      <c r="E56" s="74"/>
      <c r="F56" s="74"/>
      <c r="G56" s="74"/>
      <c r="H56" s="74"/>
      <c r="I56" s="74"/>
      <c r="J56" s="74"/>
      <c r="K56" s="184"/>
      <c r="L56" s="73"/>
    </row>
    <row r="57" spans="1:12" ht="13.2">
      <c r="A57" s="74"/>
      <c r="B57" s="74"/>
      <c r="C57" s="74"/>
      <c r="D57" s="74"/>
      <c r="E57" s="74"/>
      <c r="F57" s="74"/>
      <c r="G57" s="74"/>
      <c r="H57" s="74"/>
      <c r="I57" s="74"/>
      <c r="J57" s="74"/>
      <c r="K57" s="184"/>
      <c r="L57" s="73"/>
    </row>
    <row r="58" spans="1:12" ht="13.2">
      <c r="A58" s="74"/>
      <c r="B58" s="74"/>
      <c r="C58" s="74"/>
      <c r="D58" s="74"/>
      <c r="E58" s="74"/>
      <c r="F58" s="74"/>
      <c r="G58" s="74"/>
      <c r="H58" s="74"/>
      <c r="I58" s="74"/>
      <c r="J58" s="74"/>
      <c r="K58" s="184"/>
      <c r="L58" s="73"/>
    </row>
    <row r="59" spans="1:12" ht="13.2">
      <c r="A59" s="74"/>
      <c r="B59" s="74"/>
      <c r="C59" s="74"/>
      <c r="D59" s="74"/>
      <c r="E59" s="74"/>
      <c r="F59" s="74"/>
      <c r="G59" s="74"/>
      <c r="H59" s="74"/>
      <c r="I59" s="74"/>
      <c r="J59" s="74"/>
      <c r="K59" s="184"/>
      <c r="L59" s="73"/>
    </row>
    <row r="60" spans="1:12" ht="13.2">
      <c r="A60" s="74"/>
      <c r="B60" s="74"/>
      <c r="C60" s="74"/>
      <c r="D60" s="74"/>
      <c r="E60" s="74"/>
      <c r="F60" s="74"/>
      <c r="G60" s="74"/>
      <c r="H60" s="74"/>
      <c r="I60" s="74"/>
      <c r="J60" s="74"/>
      <c r="K60" s="184"/>
      <c r="L60" s="73"/>
    </row>
    <row r="61" spans="1:12" ht="13.2">
      <c r="A61" s="74"/>
      <c r="B61" s="74"/>
      <c r="C61" s="74"/>
      <c r="D61" s="74"/>
      <c r="E61" s="74"/>
      <c r="F61" s="74"/>
      <c r="G61" s="74"/>
      <c r="H61" s="74"/>
      <c r="I61" s="74"/>
      <c r="J61" s="74"/>
      <c r="K61" s="184"/>
      <c r="L61" s="73"/>
    </row>
    <row r="62" spans="1:12" ht="13.2">
      <c r="A62" s="74"/>
      <c r="B62" s="74"/>
      <c r="C62" s="74"/>
      <c r="D62" s="74"/>
      <c r="E62" s="74"/>
      <c r="F62" s="74"/>
      <c r="G62" s="74"/>
      <c r="H62" s="74"/>
      <c r="I62" s="74"/>
      <c r="J62" s="74"/>
      <c r="K62" s="184"/>
      <c r="L62" s="73"/>
    </row>
    <row r="63" spans="1:12" ht="13.2">
      <c r="A63" s="74"/>
      <c r="B63" s="74"/>
      <c r="C63" s="74"/>
      <c r="D63" s="74"/>
      <c r="E63" s="74"/>
      <c r="F63" s="74"/>
      <c r="G63" s="74"/>
      <c r="H63" s="74"/>
      <c r="I63" s="74"/>
      <c r="J63" s="74"/>
      <c r="K63" s="184"/>
      <c r="L63" s="73"/>
    </row>
    <row r="64" spans="1:12" ht="13.2">
      <c r="A64" s="74"/>
      <c r="B64" s="74"/>
      <c r="C64" s="74"/>
      <c r="D64" s="74"/>
      <c r="E64" s="74"/>
      <c r="F64" s="74"/>
      <c r="G64" s="74"/>
      <c r="H64" s="74"/>
      <c r="I64" s="74"/>
      <c r="J64" s="74"/>
      <c r="K64" s="184"/>
      <c r="L64" s="73"/>
    </row>
    <row r="65" spans="1:12" ht="13.2">
      <c r="A65" s="74"/>
      <c r="B65" s="74"/>
      <c r="C65" s="74"/>
      <c r="D65" s="74"/>
      <c r="E65" s="74"/>
      <c r="F65" s="74"/>
      <c r="G65" s="74"/>
      <c r="H65" s="74"/>
      <c r="I65" s="74"/>
      <c r="J65" s="74"/>
      <c r="K65" s="184"/>
      <c r="L65" s="73"/>
    </row>
    <row r="66" spans="1:12" ht="13.2">
      <c r="A66" s="74"/>
      <c r="B66" s="74"/>
      <c r="C66" s="74"/>
      <c r="D66" s="74"/>
      <c r="E66" s="74"/>
      <c r="F66" s="74"/>
      <c r="G66" s="74"/>
      <c r="H66" s="74"/>
      <c r="I66" s="74"/>
      <c r="J66" s="74"/>
      <c r="K66" s="184"/>
      <c r="L66" s="73"/>
    </row>
    <row r="67" spans="1:12" ht="13.2">
      <c r="A67" s="74"/>
      <c r="B67" s="74"/>
      <c r="C67" s="74"/>
      <c r="D67" s="74"/>
      <c r="E67" s="74"/>
      <c r="F67" s="74"/>
      <c r="G67" s="74"/>
      <c r="H67" s="74"/>
      <c r="I67" s="74"/>
      <c r="J67" s="74"/>
      <c r="K67" s="184"/>
      <c r="L67" s="73"/>
    </row>
    <row r="68" spans="1:12" ht="13.2">
      <c r="A68" s="74"/>
      <c r="B68" s="74"/>
      <c r="C68" s="74"/>
      <c r="D68" s="74"/>
      <c r="E68" s="74"/>
      <c r="F68" s="74"/>
      <c r="G68" s="74"/>
      <c r="H68" s="74"/>
      <c r="I68" s="74"/>
      <c r="J68" s="74"/>
      <c r="K68" s="184"/>
      <c r="L68" s="73"/>
    </row>
    <row r="69" spans="1:12" ht="13.2">
      <c r="A69" s="74"/>
      <c r="B69" s="74"/>
      <c r="C69" s="74"/>
      <c r="D69" s="74"/>
      <c r="E69" s="74"/>
      <c r="F69" s="74"/>
      <c r="G69" s="74"/>
      <c r="H69" s="74"/>
      <c r="I69" s="74"/>
      <c r="J69" s="74"/>
      <c r="K69" s="184"/>
      <c r="L69" s="73"/>
    </row>
    <row r="70" spans="1:12" ht="13.2">
      <c r="A70" s="193"/>
      <c r="B70" s="193"/>
      <c r="C70" s="193"/>
      <c r="D70" s="193"/>
      <c r="E70" s="193"/>
      <c r="F70" s="193"/>
      <c r="G70" s="193"/>
      <c r="H70" s="193"/>
      <c r="I70" s="193"/>
      <c r="J70" s="193"/>
      <c r="K70" s="184"/>
      <c r="L70" s="73"/>
    </row>
    <row r="71" spans="1:12" ht="13.2">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0"/>
  <sheetViews>
    <sheetView showGridLines="0" view="pageBreakPreview" zoomScale="115" zoomScaleNormal="100" zoomScaleSheetLayoutView="115" zoomScalePageLayoutView="90" workbookViewId="0">
      <selection activeCell="D12" sqref="D12"/>
    </sheetView>
  </sheetViews>
  <sheetFormatPr baseColWidth="10" defaultColWidth="9.28515625" defaultRowHeight="10.199999999999999"/>
  <cols>
    <col min="1" max="1" width="12.85546875" style="46" customWidth="1"/>
    <col min="2" max="2" width="19.28515625" style="46" customWidth="1"/>
    <col min="3" max="3" width="25.7109375" style="46" customWidth="1"/>
    <col min="4" max="6" width="11.42578125" style="46" customWidth="1"/>
    <col min="7" max="7" width="10.85546875" style="46" customWidth="1"/>
    <col min="8" max="8" width="11.42578125" style="46" customWidth="1"/>
    <col min="9" max="9" width="9.28515625" style="46"/>
    <col min="10" max="11" width="9.28515625" style="46" customWidth="1"/>
    <col min="12" max="16384" width="9.28515625" style="46"/>
  </cols>
  <sheetData>
    <row r="1" spans="1:12" ht="4.5" customHeight="1"/>
    <row r="2" spans="1:12" ht="14.25" customHeight="1">
      <c r="A2" s="887" t="s">
        <v>388</v>
      </c>
      <c r="B2" s="887"/>
      <c r="C2" s="887"/>
      <c r="D2" s="887"/>
      <c r="E2" s="887"/>
      <c r="F2" s="887"/>
      <c r="G2" s="887"/>
      <c r="H2" s="887"/>
      <c r="I2" s="203"/>
      <c r="J2" s="203"/>
      <c r="K2" s="203"/>
    </row>
    <row r="3" spans="1:12" ht="3" customHeight="1">
      <c r="A3" s="77"/>
      <c r="B3" s="77"/>
      <c r="C3" s="77"/>
      <c r="D3" s="77"/>
      <c r="E3" s="77"/>
      <c r="F3" s="77"/>
      <c r="G3" s="77"/>
      <c r="H3" s="77"/>
      <c r="I3" s="204"/>
      <c r="J3" s="204"/>
      <c r="K3" s="204"/>
      <c r="L3" s="36"/>
    </row>
    <row r="4" spans="1:12" ht="15" customHeight="1">
      <c r="A4" s="878" t="s">
        <v>437</v>
      </c>
      <c r="B4" s="878"/>
      <c r="C4" s="878"/>
      <c r="D4" s="878"/>
      <c r="E4" s="878"/>
      <c r="F4" s="878"/>
      <c r="G4" s="878"/>
      <c r="H4" s="878"/>
      <c r="I4" s="195"/>
      <c r="J4" s="195"/>
      <c r="K4" s="195"/>
      <c r="L4" s="36"/>
    </row>
    <row r="5" spans="1:12" ht="11.25" customHeight="1">
      <c r="A5" s="77"/>
      <c r="B5" s="164"/>
      <c r="C5" s="78"/>
      <c r="D5" s="79"/>
      <c r="E5" s="79"/>
      <c r="F5" s="80"/>
      <c r="G5" s="76"/>
      <c r="H5" s="76"/>
      <c r="I5" s="196"/>
      <c r="J5" s="196"/>
      <c r="K5" s="196"/>
      <c r="L5" s="205"/>
    </row>
    <row r="6" spans="1:12" ht="30.75" customHeight="1">
      <c r="A6" s="413" t="s">
        <v>184</v>
      </c>
      <c r="B6" s="411" t="s">
        <v>185</v>
      </c>
      <c r="C6" s="411" t="s">
        <v>186</v>
      </c>
      <c r="D6" s="410" t="str">
        <f>UPPER('1. Resumen'!Q4)&amp;"
 "&amp;'1. Resumen'!Q5</f>
        <v>JUNIO
 2021</v>
      </c>
      <c r="E6" s="410" t="str">
        <f>UPPER('1. Resumen'!Q4)&amp;"
 "&amp;'1. Resumen'!Q5-1</f>
        <v>JUNIO
 2020</v>
      </c>
      <c r="F6" s="410" t="str">
        <f>UPPER('1. Resumen'!Q4)&amp;"
 "&amp;'1. Resumen'!Q5-2</f>
        <v>JUNIO
 2019</v>
      </c>
      <c r="G6" s="411" t="s">
        <v>504</v>
      </c>
      <c r="H6" s="412" t="s">
        <v>460</v>
      </c>
      <c r="I6" s="196"/>
      <c r="J6" s="196"/>
      <c r="K6" s="196"/>
      <c r="L6" s="166"/>
    </row>
    <row r="7" spans="1:12" ht="19.5" customHeight="1">
      <c r="A7" s="805" t="s">
        <v>617</v>
      </c>
      <c r="B7" s="617" t="s">
        <v>618</v>
      </c>
      <c r="C7" s="618" t="s">
        <v>619</v>
      </c>
      <c r="D7" s="619">
        <v>11.93333333333333</v>
      </c>
      <c r="E7" s="619"/>
      <c r="F7" s="619"/>
      <c r="G7" s="620"/>
      <c r="H7" s="620"/>
      <c r="I7" s="196"/>
      <c r="J7" s="196"/>
      <c r="K7" s="196"/>
      <c r="L7" s="58"/>
    </row>
    <row r="8" spans="1:12" ht="19.5" customHeight="1">
      <c r="A8" s="888" t="s">
        <v>187</v>
      </c>
      <c r="B8" s="617" t="s">
        <v>620</v>
      </c>
      <c r="C8" s="618" t="s">
        <v>621</v>
      </c>
      <c r="D8" s="619">
        <v>7.5499999999999989</v>
      </c>
      <c r="E8" s="619"/>
      <c r="F8" s="619"/>
      <c r="G8" s="620"/>
      <c r="H8" s="620"/>
      <c r="I8" s="196"/>
      <c r="J8" s="196"/>
      <c r="K8" s="196"/>
      <c r="L8" s="58"/>
    </row>
    <row r="9" spans="1:12" ht="19.5" customHeight="1">
      <c r="A9" s="888"/>
      <c r="B9" s="617" t="s">
        <v>622</v>
      </c>
      <c r="C9" s="618" t="s">
        <v>623</v>
      </c>
      <c r="D9" s="619">
        <v>7.5499999999999989</v>
      </c>
      <c r="E9" s="619"/>
      <c r="F9" s="619"/>
      <c r="G9" s="620"/>
      <c r="H9" s="620"/>
      <c r="I9" s="196"/>
      <c r="J9" s="196"/>
      <c r="K9" s="196"/>
      <c r="L9" s="58"/>
    </row>
    <row r="10" spans="1:12" ht="19.5" customHeight="1">
      <c r="A10" s="888"/>
      <c r="B10" s="617" t="s">
        <v>624</v>
      </c>
      <c r="C10" s="618" t="s">
        <v>625</v>
      </c>
      <c r="D10" s="619">
        <v>4.2333333333333325</v>
      </c>
      <c r="E10" s="619"/>
      <c r="F10" s="619"/>
      <c r="G10" s="620"/>
      <c r="H10" s="620"/>
      <c r="I10" s="196"/>
      <c r="J10" s="196"/>
      <c r="K10" s="196"/>
      <c r="L10" s="58"/>
    </row>
    <row r="11" spans="1:12" ht="19.5" customHeight="1">
      <c r="A11" s="888"/>
      <c r="B11" s="617" t="s">
        <v>481</v>
      </c>
      <c r="C11" s="618" t="s">
        <v>482</v>
      </c>
      <c r="D11" s="619">
        <v>34.466666666666661</v>
      </c>
      <c r="E11" s="619">
        <v>12.883333333333335</v>
      </c>
      <c r="F11" s="619"/>
      <c r="G11" s="620">
        <f t="shared" ref="G11" si="0">+D11/E11</f>
        <v>2.6752910737386797</v>
      </c>
      <c r="H11" s="620"/>
      <c r="I11" s="196"/>
      <c r="J11" s="196"/>
      <c r="K11" s="196"/>
      <c r="L11" s="58"/>
    </row>
    <row r="12" spans="1:12" ht="19.5" customHeight="1">
      <c r="A12" s="888"/>
      <c r="B12" s="617" t="s">
        <v>477</v>
      </c>
      <c r="C12" s="618" t="s">
        <v>461</v>
      </c>
      <c r="D12" s="619"/>
      <c r="E12" s="619"/>
      <c r="F12" s="619">
        <v>3.5833333333333326</v>
      </c>
      <c r="G12" s="620"/>
      <c r="H12" s="620"/>
      <c r="I12" s="196"/>
      <c r="J12" s="196"/>
      <c r="K12" s="196"/>
      <c r="L12" s="58"/>
    </row>
    <row r="13" spans="1:12" ht="18.75" customHeight="1">
      <c r="A13" s="404" t="s">
        <v>188</v>
      </c>
      <c r="B13" s="405"/>
      <c r="C13" s="406"/>
      <c r="D13" s="407">
        <f>SUM(D7:D12)</f>
        <v>65.73333333333332</v>
      </c>
      <c r="E13" s="407">
        <f>SUM(E7:E12)</f>
        <v>12.883333333333335</v>
      </c>
      <c r="F13" s="407">
        <f>SUM(F7:F12)</f>
        <v>3.5833333333333326</v>
      </c>
      <c r="G13" s="579">
        <f>SUM(G7:G12)</f>
        <v>2.6752910737386797</v>
      </c>
      <c r="H13" s="579">
        <f t="shared" ref="H13" si="1">+E13/F13-1</f>
        <v>2.5953488372093036</v>
      </c>
      <c r="I13" s="196"/>
      <c r="J13" s="196"/>
      <c r="K13" s="197"/>
      <c r="L13" s="206"/>
    </row>
    <row r="14" spans="1:12" ht="11.25" customHeight="1">
      <c r="A14" s="265" t="str">
        <f>"Cuadro N° 14: Horas de operación de los principales equipos de congestión en "&amp;'1. Resumen'!Q4</f>
        <v>Cuadro N° 14: Horas de operación de los principales equipos de congestión en junio</v>
      </c>
      <c r="B14" s="209"/>
      <c r="C14" s="210"/>
      <c r="D14" s="211"/>
      <c r="E14" s="211"/>
      <c r="F14" s="212"/>
      <c r="G14" s="76"/>
      <c r="H14" s="82"/>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137"/>
      <c r="B16" s="209"/>
      <c r="C16" s="210"/>
      <c r="D16" s="211"/>
      <c r="E16" s="211"/>
      <c r="F16" s="212"/>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7"/>
      <c r="L19" s="207"/>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7"/>
      <c r="L21" s="206"/>
    </row>
    <row r="22" spans="1:12" ht="11.25" customHeight="1">
      <c r="A22" s="77"/>
      <c r="B22" s="164"/>
      <c r="C22" s="78"/>
      <c r="D22" s="79"/>
      <c r="E22" s="79"/>
      <c r="F22" s="80"/>
      <c r="G22" s="76"/>
      <c r="H22" s="76"/>
      <c r="I22" s="196"/>
      <c r="J22" s="196"/>
      <c r="K22" s="196"/>
      <c r="L22" s="58"/>
    </row>
    <row r="23" spans="1:12" ht="11.25" customHeight="1">
      <c r="A23" s="77"/>
      <c r="B23" s="164"/>
      <c r="C23" s="78"/>
      <c r="D23" s="79"/>
      <c r="E23" s="79"/>
      <c r="F23" s="80"/>
      <c r="G23" s="76"/>
      <c r="H23" s="76"/>
      <c r="I23" s="196"/>
      <c r="J23" s="196"/>
      <c r="K23" s="197"/>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164"/>
      <c r="C29" s="78"/>
      <c r="D29" s="79"/>
      <c r="E29" s="79"/>
      <c r="F29" s="80"/>
      <c r="G29" s="76"/>
      <c r="H29" s="76"/>
      <c r="I29" s="196"/>
      <c r="J29" s="196"/>
      <c r="K29" s="198"/>
      <c r="L29" s="206"/>
    </row>
    <row r="30" spans="1:12" ht="11.25" customHeight="1">
      <c r="A30" s="77"/>
      <c r="B30" s="77"/>
      <c r="C30" s="77"/>
      <c r="D30" s="77"/>
      <c r="E30" s="77"/>
      <c r="F30" s="77"/>
      <c r="G30" s="77"/>
      <c r="H30" s="77"/>
      <c r="I30" s="196"/>
      <c r="J30" s="196"/>
      <c r="K30" s="198"/>
      <c r="L30" s="206"/>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8.25" customHeight="1">
      <c r="A39" s="77"/>
      <c r="B39" s="77"/>
      <c r="C39" s="77"/>
      <c r="D39" s="77"/>
      <c r="E39" s="77"/>
      <c r="F39" s="77"/>
      <c r="G39" s="77"/>
      <c r="H39" s="77"/>
      <c r="I39" s="196"/>
      <c r="J39" s="196"/>
      <c r="K39" s="199"/>
      <c r="L39" s="59"/>
    </row>
    <row r="40" spans="1:12" ht="24.7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9"/>
      <c r="L43" s="59"/>
    </row>
    <row r="44" spans="1:12" ht="13.2">
      <c r="B44" s="77"/>
      <c r="C44" s="77"/>
      <c r="D44" s="77"/>
      <c r="E44" s="77"/>
      <c r="F44" s="77"/>
      <c r="G44" s="77"/>
      <c r="H44" s="77"/>
      <c r="I44" s="111"/>
      <c r="J44" s="111"/>
      <c r="K44" s="198"/>
    </row>
    <row r="45" spans="1:12" ht="13.2">
      <c r="A45" s="77"/>
      <c r="B45" s="77"/>
      <c r="C45" s="77"/>
      <c r="D45" s="77"/>
      <c r="E45" s="77"/>
      <c r="F45" s="77"/>
      <c r="G45" s="77"/>
      <c r="H45" s="77"/>
      <c r="I45" s="197"/>
      <c r="J45" s="197"/>
      <c r="K45" s="198"/>
    </row>
    <row r="46" spans="1:12" ht="13.2">
      <c r="A46" s="196"/>
      <c r="B46" s="197"/>
      <c r="C46" s="197"/>
      <c r="D46" s="197"/>
      <c r="E46" s="197"/>
      <c r="F46" s="197"/>
      <c r="G46" s="197"/>
      <c r="H46" s="197"/>
      <c r="I46" s="197"/>
      <c r="J46" s="197"/>
      <c r="K46" s="198"/>
    </row>
    <row r="47" spans="1:12" ht="13.2">
      <c r="A47" s="196"/>
      <c r="B47" s="208"/>
      <c r="C47" s="198"/>
      <c r="D47" s="198"/>
      <c r="E47" s="198"/>
      <c r="F47" s="198"/>
      <c r="G47" s="197"/>
      <c r="H47" s="197"/>
      <c r="I47" s="197"/>
      <c r="J47" s="197"/>
      <c r="K47" s="198"/>
    </row>
    <row r="48" spans="1:12" ht="13.2">
      <c r="A48" s="1"/>
      <c r="B48" s="31"/>
      <c r="C48" s="31"/>
      <c r="D48" s="31"/>
      <c r="E48" s="31"/>
      <c r="F48" s="31"/>
      <c r="G48" s="31"/>
      <c r="H48" s="197"/>
      <c r="I48" s="197"/>
      <c r="J48" s="197"/>
      <c r="K48" s="198"/>
    </row>
    <row r="49" spans="1:11" ht="13.2">
      <c r="A49" s="1"/>
      <c r="B49" s="31"/>
      <c r="C49" s="31"/>
      <c r="D49" s="31"/>
      <c r="E49" s="31"/>
      <c r="F49" s="31"/>
      <c r="G49" s="31"/>
      <c r="H49" s="197"/>
      <c r="I49" s="197"/>
      <c r="J49" s="197"/>
      <c r="K49" s="197"/>
    </row>
    <row r="50" spans="1:11">
      <c r="A50" s="265" t="str">
        <f>"Gráfico N° 23: Comparación de las horas de operación de los principales equipos de congestión en "&amp;'1. Resumen'!Q4&amp;"."</f>
        <v>Gráfico N° 23: Comparación de las horas de operación de los principales equipos de congestión en junio.</v>
      </c>
      <c r="B50" s="31"/>
      <c r="C50" s="31"/>
      <c r="D50" s="31"/>
      <c r="E50" s="31"/>
      <c r="F50" s="31"/>
      <c r="G50" s="31"/>
      <c r="H50" s="197"/>
      <c r="I50" s="197"/>
      <c r="J50" s="197"/>
      <c r="K50" s="197"/>
    </row>
  </sheetData>
  <mergeCells count="3">
    <mergeCell ref="A4:H4"/>
    <mergeCell ref="A2:H2"/>
    <mergeCell ref="A8:A1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110" zoomScaleNormal="160" zoomScaleSheetLayoutView="110" zoomScalePageLayoutView="130" workbookViewId="0">
      <selection activeCell="E15" sqref="E15"/>
    </sheetView>
  </sheetViews>
  <sheetFormatPr baseColWidth="10" defaultColWidth="9.28515625" defaultRowHeight="10.199999999999999"/>
  <cols>
    <col min="1" max="1" width="19.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96" t="s">
        <v>416</v>
      </c>
      <c r="B2" s="896"/>
      <c r="C2" s="896"/>
      <c r="D2" s="896"/>
      <c r="E2" s="896"/>
      <c r="F2" s="896"/>
      <c r="G2" s="896"/>
      <c r="H2" s="896"/>
      <c r="I2" s="896"/>
      <c r="J2" s="896"/>
      <c r="K2" s="163"/>
    </row>
    <row r="3" spans="1:12" ht="6.75" customHeight="1">
      <c r="A3" s="17"/>
      <c r="B3" s="159"/>
      <c r="C3" s="213"/>
      <c r="D3" s="18"/>
      <c r="E3" s="18"/>
      <c r="F3" s="192"/>
      <c r="G3" s="66"/>
      <c r="H3" s="66"/>
      <c r="I3" s="71"/>
      <c r="J3" s="163"/>
      <c r="K3" s="163"/>
      <c r="L3" s="36"/>
    </row>
    <row r="4" spans="1:12" ht="15" customHeight="1">
      <c r="A4" s="897" t="s">
        <v>436</v>
      </c>
      <c r="B4" s="897"/>
      <c r="C4" s="897"/>
      <c r="D4" s="897"/>
      <c r="E4" s="897"/>
      <c r="F4" s="897"/>
      <c r="G4" s="897"/>
      <c r="H4" s="897"/>
      <c r="I4" s="897"/>
      <c r="J4" s="897"/>
      <c r="K4" s="163"/>
      <c r="L4" s="36"/>
    </row>
    <row r="5" spans="1:12" ht="38.25" customHeight="1">
      <c r="A5" s="894" t="s">
        <v>189</v>
      </c>
      <c r="B5" s="414" t="s">
        <v>190</v>
      </c>
      <c r="C5" s="415" t="s">
        <v>191</v>
      </c>
      <c r="D5" s="415" t="s">
        <v>192</v>
      </c>
      <c r="E5" s="415" t="s">
        <v>193</v>
      </c>
      <c r="F5" s="415" t="s">
        <v>194</v>
      </c>
      <c r="G5" s="415" t="s">
        <v>195</v>
      </c>
      <c r="H5" s="415" t="s">
        <v>196</v>
      </c>
      <c r="I5" s="416" t="s">
        <v>197</v>
      </c>
      <c r="J5" s="417" t="s">
        <v>198</v>
      </c>
      <c r="K5" s="131"/>
    </row>
    <row r="6" spans="1:12" ht="11.25" customHeight="1">
      <c r="A6" s="895"/>
      <c r="B6" s="562" t="s">
        <v>199</v>
      </c>
      <c r="C6" s="416" t="s">
        <v>200</v>
      </c>
      <c r="D6" s="416" t="s">
        <v>201</v>
      </c>
      <c r="E6" s="416" t="s">
        <v>202</v>
      </c>
      <c r="F6" s="416" t="s">
        <v>203</v>
      </c>
      <c r="G6" s="416" t="s">
        <v>204</v>
      </c>
      <c r="H6" s="416" t="s">
        <v>205</v>
      </c>
      <c r="I6" s="563"/>
      <c r="J6" s="564" t="s">
        <v>206</v>
      </c>
      <c r="K6" s="19"/>
    </row>
    <row r="7" spans="1:12" ht="12.75" customHeight="1">
      <c r="A7" s="569" t="s">
        <v>604</v>
      </c>
      <c r="B7" s="570">
        <v>2</v>
      </c>
      <c r="C7" s="570">
        <v>3</v>
      </c>
      <c r="D7" s="570">
        <v>1</v>
      </c>
      <c r="E7" s="570">
        <v>1</v>
      </c>
      <c r="F7" s="570">
        <v>10</v>
      </c>
      <c r="G7" s="570">
        <v>1</v>
      </c>
      <c r="H7" s="570"/>
      <c r="I7" s="571">
        <f>+SUM(B7:H7)</f>
        <v>18</v>
      </c>
      <c r="J7" s="572">
        <v>466.04999999999995</v>
      </c>
      <c r="K7" s="22"/>
    </row>
    <row r="8" spans="1:12" s="574" customFormat="1" ht="18.600000000000001" customHeight="1">
      <c r="A8" s="626" t="s">
        <v>674</v>
      </c>
      <c r="B8" s="627"/>
      <c r="C8" s="627">
        <v>1</v>
      </c>
      <c r="D8" s="627"/>
      <c r="E8" s="627"/>
      <c r="F8" s="627"/>
      <c r="G8" s="627"/>
      <c r="H8" s="627"/>
      <c r="I8" s="571">
        <f t="shared" ref="I8:I12" si="0">+SUM(B8:H8)</f>
        <v>1</v>
      </c>
      <c r="J8" s="628">
        <v>9.9</v>
      </c>
      <c r="K8" s="22"/>
    </row>
    <row r="9" spans="1:12" s="574" customFormat="1" ht="18.600000000000001" customHeight="1">
      <c r="A9" s="626" t="s">
        <v>675</v>
      </c>
      <c r="B9" s="627"/>
      <c r="C9" s="627"/>
      <c r="D9" s="627">
        <v>1</v>
      </c>
      <c r="E9" s="627"/>
      <c r="F9" s="627"/>
      <c r="G9" s="627"/>
      <c r="H9" s="627"/>
      <c r="I9" s="571">
        <f t="shared" si="0"/>
        <v>1</v>
      </c>
      <c r="J9" s="628">
        <v>18.91</v>
      </c>
      <c r="K9" s="22"/>
    </row>
    <row r="10" spans="1:12" s="574" customFormat="1" ht="12.75" customHeight="1">
      <c r="A10" s="626" t="s">
        <v>164</v>
      </c>
      <c r="B10" s="627"/>
      <c r="C10" s="627">
        <v>1</v>
      </c>
      <c r="D10" s="627"/>
      <c r="E10" s="627"/>
      <c r="F10" s="627"/>
      <c r="G10" s="627"/>
      <c r="H10" s="627"/>
      <c r="I10" s="571">
        <f t="shared" si="0"/>
        <v>1</v>
      </c>
      <c r="J10" s="628">
        <v>13</v>
      </c>
      <c r="K10" s="22"/>
    </row>
    <row r="11" spans="1:12" s="574" customFormat="1" ht="12.75" customHeight="1">
      <c r="A11" s="626" t="s">
        <v>676</v>
      </c>
      <c r="B11" s="627"/>
      <c r="C11" s="627">
        <v>2</v>
      </c>
      <c r="D11" s="627"/>
      <c r="E11" s="627"/>
      <c r="F11" s="627"/>
      <c r="G11" s="627"/>
      <c r="H11" s="627"/>
      <c r="I11" s="571">
        <f t="shared" si="0"/>
        <v>2</v>
      </c>
      <c r="J11" s="628">
        <v>0.22</v>
      </c>
      <c r="K11" s="22"/>
    </row>
    <row r="12" spans="1:12" s="574" customFormat="1" ht="11.4" customHeight="1">
      <c r="A12" s="626" t="s">
        <v>605</v>
      </c>
      <c r="B12" s="627"/>
      <c r="C12" s="627"/>
      <c r="D12" s="627"/>
      <c r="E12" s="627"/>
      <c r="F12" s="627">
        <v>1</v>
      </c>
      <c r="G12" s="627"/>
      <c r="H12" s="627"/>
      <c r="I12" s="571">
        <f t="shared" si="0"/>
        <v>1</v>
      </c>
      <c r="J12" s="628">
        <v>16.350000000000001</v>
      </c>
      <c r="K12" s="22"/>
    </row>
    <row r="13" spans="1:12" ht="14.25" customHeight="1">
      <c r="A13" s="568" t="s">
        <v>197</v>
      </c>
      <c r="B13" s="565">
        <f t="shared" ref="B13:H13" si="1">+SUM(B7:B12)</f>
        <v>2</v>
      </c>
      <c r="C13" s="565">
        <f t="shared" si="1"/>
        <v>7</v>
      </c>
      <c r="D13" s="565">
        <f t="shared" si="1"/>
        <v>2</v>
      </c>
      <c r="E13" s="565">
        <f t="shared" si="1"/>
        <v>1</v>
      </c>
      <c r="F13" s="565">
        <f t="shared" si="1"/>
        <v>11</v>
      </c>
      <c r="G13" s="565">
        <f t="shared" si="1"/>
        <v>1</v>
      </c>
      <c r="H13" s="565">
        <f t="shared" si="1"/>
        <v>0</v>
      </c>
      <c r="I13" s="565">
        <f>SUM(I7:I12)</f>
        <v>24</v>
      </c>
      <c r="J13" s="566">
        <f>SUM(J7:J12)</f>
        <v>524.42999999999995</v>
      </c>
      <c r="K13" s="22"/>
    </row>
    <row r="14" spans="1:12" ht="11.25" customHeight="1">
      <c r="A14" s="89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2021</v>
      </c>
      <c r="B14" s="898"/>
      <c r="C14" s="898"/>
      <c r="D14" s="898"/>
      <c r="E14" s="898"/>
      <c r="F14" s="898"/>
      <c r="G14" s="898"/>
      <c r="H14" s="898"/>
      <c r="I14" s="898"/>
      <c r="J14" s="898"/>
      <c r="K14" s="22"/>
    </row>
    <row r="15" spans="1:12" ht="11.25" customHeight="1">
      <c r="K15" s="22"/>
    </row>
    <row r="16" spans="1:12" ht="11.25" customHeight="1">
      <c r="A16" s="17"/>
      <c r="B16" s="215"/>
      <c r="C16" s="214"/>
      <c r="D16" s="214"/>
      <c r="E16" s="214"/>
      <c r="F16" s="214"/>
      <c r="G16" s="178"/>
      <c r="H16" s="178"/>
      <c r="I16" s="138"/>
      <c r="J16" s="25"/>
      <c r="K16" s="25"/>
      <c r="L16" s="22"/>
    </row>
    <row r="17" spans="1:12" ht="11.25" customHeight="1">
      <c r="A17" s="891" t="str">
        <f>"FALLAS  POR TIPO DE CAUSA  -  "&amp;UPPER('1. Resumen'!Q4)&amp;" "&amp;'1. Resumen'!Q5</f>
        <v>FALLAS  POR TIPO DE CAUSA  -  JUNIO 2021</v>
      </c>
      <c r="B17" s="891"/>
      <c r="C17" s="891"/>
      <c r="D17" s="891"/>
      <c r="E17" s="891" t="str">
        <f>"FALLAS  POR TIPO DE EQUIPO  -  "&amp;UPPER('1. Resumen'!Q4)&amp;" "&amp;'1. Resumen'!Q5</f>
        <v>FALLAS  POR TIPO DE EQUIPO  -  JUNIO 2021</v>
      </c>
      <c r="F17" s="891"/>
      <c r="G17" s="891"/>
      <c r="H17" s="891"/>
      <c r="I17" s="891"/>
      <c r="J17" s="891"/>
      <c r="K17" s="25"/>
      <c r="L17" s="22"/>
    </row>
    <row r="18" spans="1:12" ht="11.25" customHeight="1">
      <c r="A18" s="17"/>
      <c r="E18" s="214"/>
      <c r="F18" s="214"/>
      <c r="G18" s="178"/>
      <c r="H18" s="178"/>
      <c r="I18" s="138"/>
      <c r="J18" s="111"/>
      <c r="K18" s="111"/>
      <c r="L18" s="22"/>
    </row>
    <row r="19" spans="1:12" ht="11.25" customHeight="1">
      <c r="A19" s="17"/>
      <c r="B19" s="215"/>
      <c r="C19" s="214"/>
      <c r="D19" s="214"/>
      <c r="E19" s="214"/>
      <c r="F19" s="214"/>
      <c r="G19" s="178"/>
      <c r="H19" s="178"/>
      <c r="I19" s="138"/>
      <c r="J19" s="111"/>
      <c r="K19" s="111"/>
      <c r="L19" s="30"/>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22"/>
    </row>
    <row r="23" spans="1:12" ht="11.25" customHeight="1">
      <c r="A23" s="17"/>
      <c r="B23" s="215"/>
      <c r="C23" s="214"/>
      <c r="D23" s="214"/>
      <c r="E23" s="214"/>
      <c r="F23" s="214"/>
      <c r="G23" s="178"/>
      <c r="H23" s="178"/>
      <c r="I23" s="138"/>
      <c r="J23" s="111"/>
      <c r="K23" s="111"/>
      <c r="L23" s="30"/>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11.25" customHeight="1">
      <c r="A34" s="17"/>
      <c r="B34" s="215"/>
      <c r="C34" s="214"/>
      <c r="D34" s="214"/>
      <c r="E34" s="214"/>
      <c r="F34" s="214"/>
      <c r="G34" s="178"/>
      <c r="H34" s="178"/>
      <c r="I34" s="138"/>
      <c r="J34" s="111"/>
      <c r="K34" s="111"/>
      <c r="L34" s="22"/>
    </row>
    <row r="35" spans="1:12" ht="23.25" customHeight="1">
      <c r="A35" s="890" t="s">
        <v>404</v>
      </c>
      <c r="B35" s="890"/>
      <c r="C35" s="890"/>
      <c r="D35" s="268"/>
      <c r="E35" s="893" t="s">
        <v>405</v>
      </c>
      <c r="F35" s="893"/>
      <c r="G35" s="893"/>
      <c r="H35" s="893"/>
      <c r="I35" s="893"/>
      <c r="J35" s="893"/>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6"/>
    </row>
    <row r="38" spans="1:12" ht="11.25" customHeight="1">
      <c r="A38" s="892" t="str">
        <f>"ENERGÍA INTERRUMPIDA APROXIMADA POR TIPO DE EQUIPO (MWh)  -  "&amp;UPPER('1. Resumen'!Q4)&amp;" "&amp;'1. Resumen'!Q5</f>
        <v>ENERGÍA INTERRUMPIDA APROXIMADA POR TIPO DE EQUIPO (MWh)  -  JUNIO 2021</v>
      </c>
      <c r="B38" s="892"/>
      <c r="C38" s="892"/>
      <c r="D38" s="892"/>
      <c r="E38" s="892"/>
      <c r="F38" s="892"/>
      <c r="G38" s="892"/>
      <c r="H38" s="892"/>
      <c r="I38" s="892"/>
      <c r="J38" s="892"/>
      <c r="K38" s="25"/>
      <c r="L38" s="216"/>
    </row>
    <row r="39" spans="1:12" ht="11.25" customHeight="1">
      <c r="A39" s="17"/>
      <c r="B39" s="132"/>
      <c r="C39" s="132"/>
      <c r="D39" s="132"/>
      <c r="E39" s="132"/>
      <c r="F39" s="132"/>
      <c r="G39" s="25"/>
      <c r="H39" s="25"/>
      <c r="I39" s="25"/>
      <c r="J39" s="25"/>
      <c r="K39" s="25"/>
      <c r="L39" s="216"/>
    </row>
    <row r="40" spans="1:12" ht="11.25" customHeight="1">
      <c r="A40" s="17"/>
      <c r="B40" s="132"/>
      <c r="C40" s="25"/>
      <c r="D40" s="25"/>
      <c r="E40" s="25"/>
      <c r="F40" s="25"/>
      <c r="G40" s="25"/>
      <c r="H40" s="25"/>
      <c r="I40" s="25"/>
      <c r="J40" s="25"/>
      <c r="K40" s="25"/>
      <c r="L40" s="216"/>
    </row>
    <row r="41" spans="1:12" ht="11.25" customHeight="1">
      <c r="A41" s="17"/>
      <c r="B41" s="132"/>
      <c r="C41" s="25"/>
      <c r="D41" s="25"/>
      <c r="E41" s="25"/>
      <c r="F41" s="25"/>
      <c r="G41" s="25"/>
      <c r="H41" s="25"/>
    </row>
    <row r="42" spans="1:12" ht="13.2">
      <c r="A42" s="17"/>
      <c r="B42" s="132"/>
      <c r="J42" s="25"/>
      <c r="K42" s="25"/>
      <c r="L42" s="216"/>
    </row>
    <row r="43" spans="1:12" ht="13.2">
      <c r="A43" s="17"/>
      <c r="B43" s="132"/>
      <c r="C43" s="132"/>
      <c r="D43" s="132"/>
      <c r="E43" s="132"/>
      <c r="F43" s="132"/>
      <c r="G43" s="25"/>
      <c r="H43" s="25"/>
      <c r="I43" s="25"/>
      <c r="J43" s="25"/>
      <c r="K43" s="25"/>
      <c r="L43" s="216"/>
    </row>
    <row r="44" spans="1:12" ht="3" customHeight="1">
      <c r="A44" s="17"/>
      <c r="B44" s="132"/>
      <c r="C44" s="132"/>
      <c r="D44" s="132"/>
      <c r="E44" s="132"/>
      <c r="F44" s="132"/>
      <c r="G44" s="25"/>
      <c r="H44" s="25"/>
      <c r="I44" s="25"/>
      <c r="J44" s="25"/>
      <c r="K44" s="25"/>
      <c r="L44" s="216"/>
    </row>
    <row r="45" spans="1:12" ht="13.2">
      <c r="A45" s="17"/>
      <c r="B45" s="132"/>
      <c r="C45" s="132"/>
      <c r="D45" s="132"/>
      <c r="E45" s="132"/>
      <c r="F45" s="132"/>
      <c r="G45" s="25"/>
      <c r="H45" s="25"/>
      <c r="I45" s="25"/>
      <c r="J45" s="25"/>
      <c r="K45" s="25"/>
      <c r="L45" s="216"/>
    </row>
    <row r="46" spans="1:12" ht="13.2">
      <c r="A46" s="17"/>
      <c r="B46" s="132"/>
      <c r="C46" s="132"/>
      <c r="D46" s="132"/>
      <c r="E46" s="132"/>
      <c r="F46" s="132"/>
      <c r="G46" s="25"/>
      <c r="H46" s="25"/>
      <c r="I46" s="25"/>
      <c r="J46" s="25"/>
      <c r="K46" s="25"/>
      <c r="L46" s="216"/>
    </row>
    <row r="47" spans="1:12" ht="13.2">
      <c r="A47" s="17"/>
      <c r="B47" s="132"/>
      <c r="C47" s="132"/>
      <c r="D47" s="132"/>
      <c r="E47" s="132"/>
      <c r="F47" s="132"/>
      <c r="G47" s="25"/>
      <c r="H47" s="25"/>
      <c r="I47" s="25"/>
      <c r="J47" s="25"/>
      <c r="K47" s="25"/>
      <c r="L47" s="216"/>
    </row>
    <row r="48" spans="1:12" ht="13.2">
      <c r="A48" s="163"/>
      <c r="B48" s="25"/>
      <c r="C48" s="25"/>
      <c r="D48" s="25"/>
      <c r="E48" s="25"/>
      <c r="F48" s="25"/>
      <c r="G48" s="25"/>
      <c r="H48" s="25"/>
      <c r="I48" s="25"/>
      <c r="J48" s="25"/>
      <c r="K48" s="25"/>
      <c r="L48" s="216"/>
    </row>
    <row r="49" spans="1:12" ht="13.2">
      <c r="A49" s="163"/>
      <c r="B49" s="25"/>
      <c r="C49" s="25"/>
      <c r="D49" s="25"/>
      <c r="E49" s="25"/>
      <c r="F49" s="25"/>
      <c r="G49" s="25"/>
      <c r="H49" s="25"/>
      <c r="I49" s="25"/>
      <c r="J49" s="25"/>
      <c r="K49" s="25"/>
      <c r="L49" s="216"/>
    </row>
    <row r="50" spans="1:12" ht="13.2">
      <c r="A50" s="163"/>
      <c r="B50" s="25"/>
      <c r="C50" s="25"/>
      <c r="D50" s="25"/>
      <c r="E50" s="25"/>
      <c r="F50" s="25"/>
      <c r="G50" s="25"/>
      <c r="H50" s="25"/>
      <c r="I50" s="25"/>
      <c r="J50" s="25"/>
      <c r="K50" s="25"/>
      <c r="L50" s="216"/>
    </row>
    <row r="51" spans="1:12" ht="13.2">
      <c r="A51" s="163"/>
      <c r="B51" s="25"/>
      <c r="C51" s="25"/>
      <c r="D51" s="25"/>
      <c r="E51" s="25"/>
      <c r="F51" s="25"/>
      <c r="G51" s="25"/>
      <c r="H51" s="25"/>
      <c r="I51" s="25"/>
      <c r="J51" s="25"/>
      <c r="K51" s="25"/>
      <c r="L51" s="216"/>
    </row>
    <row r="52" spans="1:12" ht="13.2">
      <c r="A52" s="163"/>
      <c r="B52" s="25"/>
      <c r="C52" s="25"/>
      <c r="D52" s="25"/>
      <c r="E52" s="25"/>
      <c r="F52" s="25"/>
      <c r="G52" s="25"/>
      <c r="H52" s="25"/>
      <c r="I52" s="25"/>
      <c r="J52" s="25"/>
      <c r="K52" s="25"/>
      <c r="L52" s="216"/>
    </row>
    <row r="53" spans="1:12" ht="9" customHeight="1">
      <c r="A53" s="163"/>
      <c r="B53" s="25"/>
      <c r="C53" s="25"/>
      <c r="D53" s="25"/>
      <c r="E53" s="25"/>
      <c r="F53" s="25"/>
      <c r="G53" s="25"/>
      <c r="H53" s="25"/>
      <c r="I53" s="25"/>
      <c r="J53" s="25"/>
      <c r="K53" s="25"/>
      <c r="L53" s="216"/>
    </row>
    <row r="54" spans="1:12">
      <c r="A54" s="268" t="str">
        <f>"Gráfico N°26: Comparación de la energía interrumpida aproximada por tipo de equipo en "&amp;'1. Resumen'!Q4&amp;" "&amp;'1. Resumen'!Q5</f>
        <v>Gráfico N°26: Comparación de la energía interrumpida aproximada por tipo de equipo en junio 2021</v>
      </c>
      <c r="B54" s="25"/>
      <c r="C54" s="25"/>
      <c r="D54" s="25"/>
      <c r="E54" s="25"/>
      <c r="F54" s="25"/>
      <c r="G54" s="25"/>
      <c r="H54" s="25"/>
      <c r="I54" s="25"/>
      <c r="J54" s="25"/>
      <c r="K54" s="25"/>
      <c r="L54" s="216"/>
    </row>
    <row r="55" spans="1:12" ht="5.25" customHeight="1">
      <c r="B55" s="25"/>
      <c r="C55" s="25"/>
      <c r="D55" s="25"/>
      <c r="E55" s="25"/>
      <c r="F55" s="25"/>
      <c r="G55" s="25"/>
      <c r="H55" s="25"/>
      <c r="I55" s="25"/>
      <c r="J55" s="25"/>
      <c r="K55" s="25"/>
      <c r="L55" s="216"/>
    </row>
    <row r="56" spans="1:12" ht="24" customHeight="1">
      <c r="A56" s="899" t="s">
        <v>207</v>
      </c>
      <c r="B56" s="899"/>
      <c r="C56" s="899"/>
      <c r="D56" s="899"/>
      <c r="E56" s="899"/>
      <c r="F56" s="899"/>
      <c r="G56" s="899"/>
      <c r="H56" s="899"/>
      <c r="I56" s="899"/>
      <c r="J56" s="899"/>
      <c r="K56" s="25"/>
      <c r="L56" s="216"/>
    </row>
    <row r="57" spans="1:12" ht="11.25" customHeight="1">
      <c r="A57" s="889" t="s">
        <v>208</v>
      </c>
      <c r="B57" s="889"/>
      <c r="C57" s="889"/>
      <c r="D57" s="889"/>
      <c r="E57" s="889"/>
      <c r="F57" s="889"/>
      <c r="G57" s="889"/>
      <c r="H57" s="889"/>
      <c r="I57" s="889"/>
      <c r="J57" s="889"/>
      <c r="K57" s="25"/>
      <c r="L57" s="216"/>
    </row>
    <row r="58" spans="1:12" ht="13.2">
      <c r="A58" s="163"/>
      <c r="B58" s="25"/>
      <c r="C58" s="25"/>
      <c r="D58" s="25"/>
      <c r="E58" s="25"/>
      <c r="F58" s="25"/>
      <c r="G58" s="25"/>
      <c r="H58" s="25"/>
      <c r="I58" s="25"/>
      <c r="J58" s="25"/>
      <c r="K58" s="25"/>
      <c r="L58" s="216"/>
    </row>
    <row r="59" spans="1:12" ht="13.2">
      <c r="A59" s="163"/>
      <c r="B59" s="25"/>
      <c r="C59" s="25"/>
      <c r="D59" s="25"/>
      <c r="E59" s="25"/>
      <c r="F59" s="25"/>
      <c r="G59" s="25"/>
      <c r="H59" s="25"/>
      <c r="I59" s="25"/>
      <c r="J59" s="25"/>
      <c r="K59" s="25"/>
      <c r="L59" s="216"/>
    </row>
    <row r="60" spans="1:12" ht="13.2">
      <c r="A60" s="163"/>
      <c r="B60" s="25"/>
      <c r="C60" s="25"/>
      <c r="D60" s="25"/>
      <c r="E60" s="25"/>
      <c r="F60" s="25"/>
      <c r="G60" s="25"/>
      <c r="H60" s="25"/>
      <c r="I60" s="25"/>
      <c r="J60" s="25"/>
      <c r="K60" s="25"/>
      <c r="L60" s="216"/>
    </row>
    <row r="61" spans="1:12" ht="13.2">
      <c r="A61" s="163"/>
      <c r="B61" s="25"/>
      <c r="C61" s="25"/>
      <c r="D61" s="25"/>
      <c r="E61" s="25"/>
      <c r="F61" s="25"/>
      <c r="G61" s="25"/>
      <c r="H61" s="25"/>
      <c r="I61" s="25"/>
      <c r="J61" s="25"/>
      <c r="K61" s="25"/>
      <c r="L61" s="216"/>
    </row>
    <row r="62" spans="1:12" ht="13.2">
      <c r="A62" s="163"/>
      <c r="B62" s="25"/>
      <c r="C62" s="25"/>
      <c r="D62" s="25"/>
      <c r="E62" s="25"/>
      <c r="F62" s="25"/>
      <c r="G62" s="25"/>
      <c r="H62" s="25"/>
      <c r="I62" s="25"/>
      <c r="J62" s="25"/>
      <c r="K62" s="25"/>
      <c r="L62" s="216"/>
    </row>
    <row r="63" spans="1:12" ht="13.2">
      <c r="A63" s="163"/>
      <c r="B63" s="25"/>
      <c r="C63" s="25"/>
      <c r="D63" s="25"/>
      <c r="E63" s="25"/>
      <c r="F63" s="25"/>
      <c r="G63" s="25"/>
      <c r="H63" s="25"/>
      <c r="I63" s="25"/>
      <c r="J63" s="25"/>
      <c r="K63" s="25"/>
      <c r="L63" s="216"/>
    </row>
    <row r="64" spans="1:12" ht="13.2">
      <c r="A64" s="163"/>
      <c r="B64" s="25"/>
      <c r="C64" s="25"/>
      <c r="D64" s="25"/>
      <c r="E64" s="25"/>
      <c r="F64" s="25"/>
      <c r="G64" s="25"/>
      <c r="H64" s="25"/>
      <c r="I64" s="25"/>
      <c r="J64" s="25"/>
      <c r="K64" s="25"/>
      <c r="L64" s="216"/>
    </row>
    <row r="65" spans="1:12" ht="13.2">
      <c r="A65" s="163"/>
      <c r="B65" s="25"/>
      <c r="C65" s="25"/>
      <c r="D65" s="25"/>
      <c r="E65" s="25"/>
      <c r="F65" s="25"/>
      <c r="G65" s="25"/>
      <c r="H65" s="25"/>
      <c r="I65" s="25"/>
      <c r="J65" s="25"/>
      <c r="K65" s="25"/>
      <c r="L65" s="216"/>
    </row>
    <row r="66" spans="1:12" ht="13.2">
      <c r="A66" s="163"/>
      <c r="B66" s="25"/>
      <c r="C66" s="25"/>
      <c r="D66" s="25"/>
      <c r="E66" s="25"/>
      <c r="F66" s="25"/>
      <c r="G66" s="25"/>
      <c r="H66" s="25"/>
      <c r="I66" s="25"/>
      <c r="J66" s="25"/>
      <c r="K66" s="25"/>
      <c r="L66" s="216"/>
    </row>
    <row r="67" spans="1:12" ht="13.2">
      <c r="A67" s="163"/>
      <c r="B67" s="25"/>
      <c r="C67" s="25"/>
      <c r="D67" s="25"/>
      <c r="E67" s="25"/>
      <c r="F67" s="25"/>
      <c r="G67" s="25"/>
      <c r="H67" s="25"/>
      <c r="I67" s="25"/>
      <c r="J67" s="25"/>
      <c r="K67" s="25"/>
      <c r="L67" s="216"/>
    </row>
    <row r="68" spans="1:12" ht="13.2">
      <c r="A68" s="163"/>
      <c r="B68" s="25"/>
      <c r="J68" s="25"/>
      <c r="K68" s="25"/>
      <c r="L68" s="216"/>
    </row>
    <row r="69" spans="1:12" ht="13.2">
      <c r="A69" s="163"/>
      <c r="B69" s="25"/>
      <c r="J69" s="25"/>
      <c r="K69" s="25"/>
      <c r="L69" s="216"/>
    </row>
    <row r="70" spans="1:12" ht="13.2">
      <c r="A70" s="163"/>
      <c r="B70" s="25"/>
      <c r="J70" s="25"/>
      <c r="K70" s="25"/>
      <c r="L70" s="216"/>
    </row>
    <row r="71" spans="1:12" ht="13.2">
      <c r="A71" s="163"/>
      <c r="B71" s="25"/>
      <c r="J71" s="25"/>
      <c r="K71" s="25"/>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row r="251" spans="2:12">
      <c r="B251" s="216"/>
      <c r="C251" s="216"/>
      <c r="D251" s="216"/>
      <c r="E251" s="216"/>
      <c r="F251" s="216"/>
      <c r="G251" s="216"/>
      <c r="H251" s="216"/>
      <c r="I251" s="216"/>
      <c r="J251" s="216"/>
      <c r="K251" s="216"/>
      <c r="L251" s="216"/>
    </row>
  </sheetData>
  <mergeCells count="11">
    <mergeCell ref="A5:A6"/>
    <mergeCell ref="A2:J2"/>
    <mergeCell ref="A4:J4"/>
    <mergeCell ref="A14:J14"/>
    <mergeCell ref="A56:J56"/>
    <mergeCell ref="A57:J57"/>
    <mergeCell ref="A35:C35"/>
    <mergeCell ref="A17:D17"/>
    <mergeCell ref="E17:J17"/>
    <mergeCell ref="A38:J38"/>
    <mergeCell ref="E35:J3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workbookViewId="0">
      <selection activeCell="D12" sqref="D12"/>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806" t="s">
        <v>0</v>
      </c>
      <c r="B3" s="806"/>
      <c r="C3" s="806"/>
      <c r="D3" s="806"/>
      <c r="E3" s="806"/>
      <c r="F3" s="806"/>
      <c r="G3" s="806"/>
      <c r="H3" s="806"/>
      <c r="I3" s="806"/>
      <c r="J3" s="806"/>
      <c r="K3" s="806"/>
      <c r="L3" s="806"/>
    </row>
    <row r="4" spans="1:12">
      <c r="A4" s="806"/>
      <c r="B4" s="806"/>
      <c r="C4" s="806"/>
      <c r="D4" s="806"/>
      <c r="E4" s="806"/>
      <c r="F4" s="806"/>
      <c r="G4" s="806"/>
      <c r="H4" s="806"/>
      <c r="I4" s="806"/>
      <c r="J4" s="806"/>
      <c r="K4" s="806"/>
      <c r="L4" s="806"/>
    </row>
    <row r="5" spans="1:12" ht="11.4">
      <c r="A5" s="3"/>
      <c r="B5" s="217"/>
      <c r="C5" s="2"/>
      <c r="D5" s="2"/>
      <c r="E5" s="37"/>
      <c r="F5" s="2"/>
      <c r="G5" s="2"/>
      <c r="H5" s="2"/>
      <c r="I5" s="2"/>
      <c r="J5" s="2"/>
      <c r="K5" s="2"/>
      <c r="L5" s="8" t="s">
        <v>1</v>
      </c>
    </row>
    <row r="6" spans="1:12" ht="11.4">
      <c r="A6" s="3"/>
      <c r="B6" s="217"/>
      <c r="C6" s="2"/>
      <c r="D6" s="2"/>
      <c r="E6" s="37"/>
      <c r="F6" s="2"/>
      <c r="G6" s="2"/>
      <c r="H6" s="2"/>
      <c r="I6" s="2"/>
      <c r="J6" s="2"/>
      <c r="K6" s="2"/>
      <c r="L6" s="5"/>
    </row>
    <row r="7" spans="1:12" ht="19.5" customHeight="1">
      <c r="A7" s="20" t="s">
        <v>398</v>
      </c>
      <c r="B7" s="218"/>
      <c r="C7" s="25"/>
      <c r="D7" s="25"/>
      <c r="E7" s="25"/>
      <c r="F7" s="25"/>
      <c r="G7" s="25"/>
      <c r="H7" s="25"/>
      <c r="I7" s="25"/>
      <c r="J7" s="25"/>
      <c r="K7" s="25"/>
      <c r="L7" s="25"/>
    </row>
    <row r="8" spans="1:12" ht="17.25" customHeight="1">
      <c r="A8" s="25"/>
      <c r="B8" s="25" t="s">
        <v>611</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497</v>
      </c>
      <c r="B10" s="218"/>
      <c r="C10" s="25"/>
      <c r="D10" s="25"/>
      <c r="E10" s="25"/>
      <c r="F10" s="25"/>
      <c r="G10" s="25"/>
      <c r="H10" s="25"/>
      <c r="I10" s="25"/>
      <c r="J10" s="25"/>
      <c r="K10" s="25"/>
      <c r="L10" s="22"/>
    </row>
    <row r="11" spans="1:12" ht="19.5" customHeight="1">
      <c r="A11" s="27"/>
      <c r="B11" s="25" t="s">
        <v>442</v>
      </c>
      <c r="C11" s="25"/>
      <c r="D11" s="25"/>
      <c r="E11" s="25"/>
      <c r="F11" s="21"/>
      <c r="G11" s="21"/>
      <c r="H11" s="21"/>
      <c r="I11" s="21"/>
      <c r="J11" s="21"/>
      <c r="K11" s="21"/>
      <c r="L11" s="22" t="s">
        <v>2</v>
      </c>
    </row>
    <row r="12" spans="1:12" ht="19.5" customHeight="1">
      <c r="A12" s="27"/>
      <c r="B12" s="25" t="s">
        <v>379</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391</v>
      </c>
      <c r="B14" s="25"/>
      <c r="C14" s="25"/>
      <c r="D14" s="25"/>
      <c r="E14" s="25"/>
      <c r="F14" s="25"/>
      <c r="G14" s="25"/>
      <c r="H14" s="25"/>
      <c r="I14" s="25"/>
      <c r="J14" s="25"/>
      <c r="K14" s="25"/>
      <c r="L14" s="22"/>
    </row>
    <row r="15" spans="1:12" ht="19.5" customHeight="1">
      <c r="A15" s="27"/>
      <c r="B15" s="25" t="s">
        <v>368</v>
      </c>
      <c r="C15" s="25"/>
      <c r="D15" s="25"/>
      <c r="E15" s="25"/>
      <c r="F15" s="21"/>
      <c r="G15" s="21"/>
      <c r="H15" s="21"/>
      <c r="I15" s="21"/>
      <c r="J15" s="21"/>
      <c r="K15" s="21"/>
      <c r="L15" s="22" t="s">
        <v>3</v>
      </c>
    </row>
    <row r="16" spans="1:12" ht="19.5" customHeight="1">
      <c r="A16" s="27"/>
      <c r="B16" s="25" t="s">
        <v>377</v>
      </c>
      <c r="C16" s="25"/>
      <c r="D16" s="25"/>
      <c r="E16" s="25"/>
      <c r="F16" s="25"/>
      <c r="G16" s="21"/>
      <c r="H16" s="21"/>
      <c r="I16" s="21"/>
      <c r="J16" s="21"/>
      <c r="K16" s="21"/>
      <c r="L16" s="22" t="s">
        <v>4</v>
      </c>
    </row>
    <row r="17" spans="1:12" ht="19.5" customHeight="1">
      <c r="A17" s="27"/>
      <c r="B17" s="25" t="s">
        <v>369</v>
      </c>
      <c r="C17" s="25"/>
      <c r="D17" s="25"/>
      <c r="E17" s="25"/>
      <c r="F17" s="25"/>
      <c r="G17" s="21"/>
      <c r="H17" s="21"/>
      <c r="I17" s="21"/>
      <c r="J17" s="21"/>
      <c r="K17" s="21"/>
      <c r="L17" s="22" t="s">
        <v>5</v>
      </c>
    </row>
    <row r="18" spans="1:12" ht="19.5" customHeight="1">
      <c r="A18" s="27"/>
      <c r="B18" s="25" t="s">
        <v>370</v>
      </c>
      <c r="C18" s="25"/>
      <c r="D18" s="25"/>
      <c r="E18" s="25"/>
      <c r="F18" s="21"/>
      <c r="G18" s="21"/>
      <c r="H18" s="21"/>
      <c r="I18" s="21"/>
      <c r="J18" s="21"/>
      <c r="K18" s="21"/>
      <c r="L18" s="22" t="s">
        <v>6</v>
      </c>
    </row>
    <row r="19" spans="1:12" ht="19.5" customHeight="1">
      <c r="A19" s="27"/>
      <c r="B19" s="25" t="s">
        <v>371</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390</v>
      </c>
      <c r="B21" s="25"/>
      <c r="C21" s="25"/>
      <c r="D21" s="25"/>
      <c r="E21" s="25"/>
      <c r="F21" s="25"/>
      <c r="G21" s="25"/>
      <c r="H21" s="25"/>
      <c r="I21" s="25"/>
      <c r="J21" s="25"/>
      <c r="K21" s="25"/>
      <c r="L21" s="30"/>
    </row>
    <row r="22" spans="1:12" ht="19.5" customHeight="1">
      <c r="A22" s="25"/>
      <c r="B22" s="25" t="s">
        <v>392</v>
      </c>
      <c r="C22" s="25"/>
      <c r="D22" s="25"/>
      <c r="E22" s="25"/>
      <c r="F22" s="25"/>
      <c r="G22" s="21"/>
      <c r="H22" s="21"/>
      <c r="I22" s="21"/>
      <c r="J22" s="21"/>
      <c r="K22" s="21"/>
      <c r="L22" s="22" t="s">
        <v>9</v>
      </c>
    </row>
    <row r="23" spans="1:12" ht="19.5" customHeight="1">
      <c r="A23" s="31"/>
      <c r="B23" s="25" t="s">
        <v>432</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250</v>
      </c>
      <c r="B25" s="25"/>
      <c r="C25" s="25"/>
      <c r="D25" s="25"/>
      <c r="E25" s="25"/>
      <c r="F25" s="25"/>
      <c r="G25" s="25"/>
      <c r="H25" s="25"/>
      <c r="I25" s="25"/>
      <c r="J25" s="25"/>
      <c r="K25" s="25"/>
      <c r="L25" s="30"/>
    </row>
    <row r="26" spans="1:12" ht="19.5" customHeight="1">
      <c r="A26" s="25"/>
      <c r="B26" s="25" t="s">
        <v>394</v>
      </c>
      <c r="C26" s="25"/>
      <c r="D26" s="25"/>
      <c r="E26" s="25"/>
      <c r="F26" s="21"/>
      <c r="G26" s="21"/>
      <c r="H26" s="21"/>
      <c r="I26" s="21"/>
      <c r="J26" s="21"/>
      <c r="K26" s="33"/>
      <c r="L26" s="22" t="s">
        <v>11</v>
      </c>
    </row>
    <row r="27" spans="1:12" ht="19.5" customHeight="1">
      <c r="A27" s="25"/>
      <c r="B27" s="25" t="s">
        <v>372</v>
      </c>
      <c r="C27" s="25"/>
      <c r="D27" s="25"/>
      <c r="E27" s="25"/>
      <c r="F27" s="25"/>
      <c r="G27" s="21"/>
      <c r="H27" s="21"/>
      <c r="I27" s="21"/>
      <c r="J27" s="21"/>
      <c r="K27" s="33"/>
      <c r="L27" s="22" t="s">
        <v>11</v>
      </c>
    </row>
    <row r="28" spans="1:12" ht="19.5" customHeight="1">
      <c r="A28" s="31"/>
      <c r="B28" s="25" t="s">
        <v>393</v>
      </c>
      <c r="C28" s="25"/>
      <c r="D28" s="25"/>
      <c r="E28" s="25"/>
      <c r="F28" s="21"/>
      <c r="G28" s="21"/>
      <c r="H28" s="33"/>
      <c r="I28" s="33"/>
      <c r="J28" s="33"/>
      <c r="K28" s="33"/>
      <c r="L28" s="22" t="s">
        <v>12</v>
      </c>
    </row>
    <row r="29" spans="1:12" ht="19.5" customHeight="1">
      <c r="A29" s="31"/>
      <c r="B29" s="25" t="s">
        <v>378</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383</v>
      </c>
      <c r="B31" s="25"/>
      <c r="C31" s="25"/>
      <c r="D31" s="25"/>
      <c r="E31" s="25"/>
      <c r="F31" s="25"/>
      <c r="G31" s="25"/>
      <c r="H31" s="25"/>
      <c r="I31" s="25"/>
      <c r="J31" s="25"/>
      <c r="K31" s="25"/>
      <c r="L31" s="22"/>
    </row>
    <row r="32" spans="1:12" ht="19.5" customHeight="1">
      <c r="A32" s="31"/>
      <c r="B32" s="25" t="s">
        <v>395</v>
      </c>
      <c r="C32" s="25"/>
      <c r="D32" s="25"/>
      <c r="E32" s="25"/>
      <c r="F32" s="25"/>
      <c r="G32" s="21"/>
      <c r="H32" s="21"/>
      <c r="I32" s="21"/>
      <c r="J32" s="21"/>
      <c r="K32" s="21"/>
      <c r="L32" s="22" t="s">
        <v>13</v>
      </c>
    </row>
    <row r="33" spans="1:12" ht="19.5" customHeight="1">
      <c r="A33" s="31"/>
      <c r="B33" s="25" t="s">
        <v>373</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374</v>
      </c>
      <c r="B35" s="26"/>
      <c r="C35" s="32"/>
      <c r="D35" s="26"/>
      <c r="E35" s="26"/>
      <c r="F35" s="26"/>
      <c r="G35" s="26"/>
      <c r="H35" s="26"/>
      <c r="I35" s="26"/>
      <c r="J35" s="26"/>
      <c r="K35" s="26"/>
      <c r="L35" s="22"/>
    </row>
    <row r="36" spans="1:12" ht="19.5" customHeight="1">
      <c r="A36" s="27"/>
      <c r="B36" s="25" t="s">
        <v>396</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375</v>
      </c>
      <c r="B38" s="35"/>
      <c r="C38" s="25"/>
      <c r="D38" s="25"/>
      <c r="E38" s="25"/>
      <c r="F38" s="25"/>
      <c r="G38" s="25"/>
      <c r="H38" s="25"/>
      <c r="I38" s="25"/>
      <c r="J38" s="25"/>
      <c r="K38" s="25"/>
      <c r="L38" s="38"/>
    </row>
    <row r="39" spans="1:12" ht="19.5" customHeight="1">
      <c r="A39" s="27"/>
      <c r="B39" s="25" t="s">
        <v>376</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209</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397</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1.4">
      <c r="A47" s="11"/>
      <c r="B47" s="11"/>
      <c r="C47" s="11"/>
      <c r="D47" s="11"/>
      <c r="E47" s="11"/>
      <c r="F47" s="11"/>
      <c r="G47" s="11"/>
      <c r="H47" s="11"/>
      <c r="I47" s="11"/>
      <c r="J47" s="11"/>
      <c r="K47" s="11"/>
      <c r="L47" s="11"/>
    </row>
    <row r="48" spans="1:12" ht="11.4">
      <c r="A48" s="11"/>
      <c r="B48" s="11"/>
      <c r="C48" s="11"/>
      <c r="D48" s="11"/>
      <c r="E48" s="11"/>
      <c r="F48" s="11"/>
      <c r="G48" s="11"/>
      <c r="H48" s="11"/>
      <c r="I48" s="11"/>
      <c r="J48" s="11"/>
      <c r="K48" s="11"/>
      <c r="L48" s="11"/>
    </row>
    <row r="49" spans="1:12" ht="11.4">
      <c r="A49" s="11"/>
      <c r="B49" s="11"/>
      <c r="C49" s="11"/>
      <c r="D49" s="11"/>
      <c r="E49" s="11"/>
      <c r="F49" s="11"/>
      <c r="G49" s="11"/>
      <c r="H49" s="11"/>
      <c r="I49" s="11"/>
      <c r="J49" s="11"/>
      <c r="K49" s="11"/>
      <c r="L49" s="11"/>
    </row>
    <row r="50" spans="1:12" ht="11.4">
      <c r="A50" s="11"/>
      <c r="B50" s="11"/>
      <c r="C50" s="11"/>
      <c r="D50" s="11"/>
      <c r="E50" s="11"/>
      <c r="F50" s="11"/>
      <c r="G50" s="11"/>
      <c r="H50" s="11"/>
      <c r="I50" s="11"/>
      <c r="J50" s="11"/>
      <c r="K50" s="11"/>
      <c r="L50" s="11"/>
    </row>
    <row r="51" spans="1:12" ht="11.4">
      <c r="A51" s="11"/>
      <c r="B51" s="11"/>
      <c r="C51" s="11"/>
      <c r="D51" s="11"/>
      <c r="E51" s="11"/>
      <c r="F51" s="11"/>
      <c r="G51" s="11"/>
      <c r="H51" s="11"/>
      <c r="I51" s="11"/>
      <c r="J51" s="11"/>
      <c r="K51" s="11"/>
      <c r="L51" s="11"/>
    </row>
    <row r="52" spans="1:12" ht="11.4">
      <c r="A52" s="11"/>
      <c r="B52" s="11"/>
      <c r="C52" s="11"/>
      <c r="D52" s="11"/>
      <c r="E52" s="11"/>
      <c r="F52" s="11"/>
      <c r="G52" s="11"/>
      <c r="H52" s="11"/>
      <c r="I52" s="11"/>
      <c r="J52" s="11"/>
      <c r="K52" s="11"/>
      <c r="L52" s="11"/>
    </row>
    <row r="53" spans="1:12" ht="11.4">
      <c r="A53" s="11"/>
      <c r="B53" s="11"/>
      <c r="C53" s="11"/>
      <c r="D53" s="11"/>
      <c r="E53" s="11"/>
      <c r="F53" s="11"/>
      <c r="G53" s="11"/>
      <c r="H53" s="11"/>
      <c r="I53" s="11"/>
      <c r="J53" s="11"/>
      <c r="K53" s="11"/>
      <c r="L53" s="11"/>
    </row>
    <row r="54" spans="1:12" ht="11.4">
      <c r="A54" s="11"/>
      <c r="B54" s="11"/>
      <c r="C54" s="11"/>
      <c r="D54" s="11"/>
      <c r="E54" s="11"/>
      <c r="F54" s="11"/>
      <c r="G54" s="11"/>
      <c r="H54" s="11"/>
      <c r="I54" s="11"/>
      <c r="J54" s="11"/>
      <c r="K54" s="11"/>
      <c r="L54" s="11"/>
    </row>
    <row r="55" spans="1:12" ht="11.4">
      <c r="A55" s="11"/>
      <c r="B55" s="11"/>
      <c r="C55" s="11"/>
      <c r="D55" s="11"/>
      <c r="E55" s="11"/>
      <c r="F55" s="11"/>
      <c r="G55" s="11"/>
      <c r="H55" s="11"/>
      <c r="I55" s="11"/>
      <c r="J55" s="11"/>
      <c r="K55" s="11"/>
      <c r="L55" s="11"/>
    </row>
    <row r="56" spans="1:12" ht="11.4">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 Junio 2021
INFSGI-MES-06-2021
12/07/2021
Versión: 01</oddHeader>
    <oddFooter>&amp;LCOES, 2021&amp;RDirección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84"/>
  <sheetViews>
    <sheetView showGridLines="0" view="pageBreakPreview" zoomScale="130" zoomScaleNormal="100" zoomScaleSheetLayoutView="130" zoomScalePageLayoutView="130" workbookViewId="0">
      <selection activeCell="F24" sqref="F2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s>
  <sheetData>
    <row r="1" spans="1:8" ht="11.25" customHeight="1">
      <c r="A1" s="270" t="s">
        <v>273</v>
      </c>
      <c r="B1" s="269"/>
      <c r="C1" s="269"/>
      <c r="D1" s="269"/>
      <c r="E1" s="269"/>
      <c r="F1" s="269"/>
      <c r="G1" s="269"/>
    </row>
    <row r="2" spans="1:8" ht="14.25" customHeight="1">
      <c r="A2" s="900" t="s">
        <v>248</v>
      </c>
      <c r="B2" s="903" t="s">
        <v>54</v>
      </c>
      <c r="C2" s="906" t="str">
        <f>"ENERGÍA PRODUCIDA "&amp;UPPER('1. Resumen'!Q4)&amp;" "&amp;'1. Resumen'!Q5</f>
        <v>ENERGÍA PRODUCIDA JUNIO 2021</v>
      </c>
      <c r="D2" s="906"/>
      <c r="E2" s="906"/>
      <c r="F2" s="906"/>
      <c r="G2" s="515" t="s">
        <v>274</v>
      </c>
      <c r="H2" s="203"/>
    </row>
    <row r="3" spans="1:8" ht="11.25" customHeight="1">
      <c r="A3" s="901"/>
      <c r="B3" s="904"/>
      <c r="C3" s="907" t="s">
        <v>275</v>
      </c>
      <c r="D3" s="907"/>
      <c r="E3" s="907"/>
      <c r="F3" s="908" t="str">
        <f>"TOTAL 
"&amp;UPPER('1. Resumen'!Q4)</f>
        <v>TOTAL 
JUNIO</v>
      </c>
      <c r="G3" s="516" t="s">
        <v>276</v>
      </c>
      <c r="H3" s="194"/>
    </row>
    <row r="4" spans="1:8" ht="12.75" customHeight="1">
      <c r="A4" s="901"/>
      <c r="B4" s="904"/>
      <c r="C4" s="507" t="s">
        <v>213</v>
      </c>
      <c r="D4" s="507" t="s">
        <v>214</v>
      </c>
      <c r="E4" s="507" t="s">
        <v>277</v>
      </c>
      <c r="F4" s="909"/>
      <c r="G4" s="516">
        <v>2021</v>
      </c>
      <c r="H4" s="196"/>
    </row>
    <row r="5" spans="1:8" ht="11.25" customHeight="1">
      <c r="A5" s="902"/>
      <c r="B5" s="905"/>
      <c r="C5" s="508" t="s">
        <v>278</v>
      </c>
      <c r="D5" s="508" t="s">
        <v>278</v>
      </c>
      <c r="E5" s="508" t="s">
        <v>278</v>
      </c>
      <c r="F5" s="508" t="s">
        <v>278</v>
      </c>
      <c r="G5" s="517" t="s">
        <v>206</v>
      </c>
      <c r="H5" s="196"/>
    </row>
    <row r="6" spans="1:8" ht="9.75" customHeight="1">
      <c r="A6" s="557" t="s">
        <v>119</v>
      </c>
      <c r="B6" s="340" t="s">
        <v>86</v>
      </c>
      <c r="C6" s="341"/>
      <c r="D6" s="341"/>
      <c r="E6" s="341">
        <v>6176.3460699999996</v>
      </c>
      <c r="F6" s="341">
        <v>6176.3460699999996</v>
      </c>
      <c r="G6" s="556">
        <v>11411.245757499999</v>
      </c>
      <c r="H6" s="196"/>
    </row>
    <row r="7" spans="1:8" ht="9.75" customHeight="1">
      <c r="A7" s="552" t="s">
        <v>536</v>
      </c>
      <c r="B7" s="408"/>
      <c r="C7" s="409"/>
      <c r="D7" s="409"/>
      <c r="E7" s="409">
        <v>6176.3460699999996</v>
      </c>
      <c r="F7" s="409">
        <v>6176.3460699999996</v>
      </c>
      <c r="G7" s="554">
        <v>11411.245757499999</v>
      </c>
      <c r="H7" s="196"/>
    </row>
    <row r="8" spans="1:8" ht="9.75" customHeight="1">
      <c r="A8" s="557" t="s">
        <v>118</v>
      </c>
      <c r="B8" s="340" t="s">
        <v>63</v>
      </c>
      <c r="C8" s="341"/>
      <c r="D8" s="341"/>
      <c r="E8" s="341">
        <v>8215.3126424999991</v>
      </c>
      <c r="F8" s="341">
        <v>8215.3126424999991</v>
      </c>
      <c r="G8" s="556">
        <v>76366.292744999999</v>
      </c>
      <c r="H8" s="196"/>
    </row>
    <row r="9" spans="1:8" ht="9.75" customHeight="1">
      <c r="A9" s="552" t="s">
        <v>537</v>
      </c>
      <c r="B9" s="408"/>
      <c r="C9" s="409"/>
      <c r="D9" s="409"/>
      <c r="E9" s="409">
        <v>8215.3126424999991</v>
      </c>
      <c r="F9" s="409">
        <v>8215.3126424999991</v>
      </c>
      <c r="G9" s="554">
        <v>76366.292744999999</v>
      </c>
      <c r="H9" s="196"/>
    </row>
    <row r="10" spans="1:8" ht="9.75" customHeight="1">
      <c r="A10" s="551" t="s">
        <v>106</v>
      </c>
      <c r="B10" s="510" t="s">
        <v>83</v>
      </c>
      <c r="C10" s="511"/>
      <c r="D10" s="511"/>
      <c r="E10" s="511">
        <v>9631.1175724999994</v>
      </c>
      <c r="F10" s="511">
        <v>9631.1175724999994</v>
      </c>
      <c r="G10" s="553">
        <v>47259.6247525</v>
      </c>
      <c r="H10" s="196"/>
    </row>
    <row r="11" spans="1:8" ht="9.75" customHeight="1">
      <c r="A11" s="552" t="s">
        <v>538</v>
      </c>
      <c r="B11" s="408"/>
      <c r="C11" s="409"/>
      <c r="D11" s="409"/>
      <c r="E11" s="409">
        <v>9631.1175724999994</v>
      </c>
      <c r="F11" s="409">
        <v>9631.1175724999994</v>
      </c>
      <c r="G11" s="554">
        <v>47259.6247525</v>
      </c>
      <c r="H11" s="196"/>
    </row>
    <row r="12" spans="1:8" ht="9" customHeight="1">
      <c r="A12" s="551" t="s">
        <v>415</v>
      </c>
      <c r="B12" s="510" t="s">
        <v>417</v>
      </c>
      <c r="C12" s="511"/>
      <c r="D12" s="511"/>
      <c r="E12" s="511">
        <v>8071.3270250000005</v>
      </c>
      <c r="F12" s="511">
        <v>8071.3270250000005</v>
      </c>
      <c r="G12" s="553">
        <v>64856.917759999997</v>
      </c>
      <c r="H12" s="196"/>
    </row>
    <row r="13" spans="1:8" ht="9" customHeight="1">
      <c r="A13" s="552" t="s">
        <v>539</v>
      </c>
      <c r="B13" s="408"/>
      <c r="C13" s="409"/>
      <c r="D13" s="409"/>
      <c r="E13" s="409">
        <v>8071.3270250000005</v>
      </c>
      <c r="F13" s="409">
        <v>8071.3270250000005</v>
      </c>
      <c r="G13" s="554">
        <v>64856.917759999997</v>
      </c>
      <c r="H13" s="196"/>
    </row>
    <row r="14" spans="1:8" s="574" customFormat="1" ht="9" customHeight="1">
      <c r="A14" s="551" t="s">
        <v>487</v>
      </c>
      <c r="B14" s="510" t="s">
        <v>75</v>
      </c>
      <c r="C14" s="511"/>
      <c r="D14" s="511"/>
      <c r="E14" s="511">
        <v>303.71019999999999</v>
      </c>
      <c r="F14" s="511">
        <v>303.71019999999999</v>
      </c>
      <c r="G14" s="553">
        <v>1861.5142124999998</v>
      </c>
      <c r="H14" s="196"/>
    </row>
    <row r="15" spans="1:8" s="574" customFormat="1" ht="9" customHeight="1">
      <c r="A15" s="552" t="s">
        <v>540</v>
      </c>
      <c r="B15" s="408"/>
      <c r="C15" s="409"/>
      <c r="D15" s="409"/>
      <c r="E15" s="409">
        <v>303.71019999999999</v>
      </c>
      <c r="F15" s="409">
        <v>303.71019999999999</v>
      </c>
      <c r="G15" s="554">
        <v>1861.5142124999998</v>
      </c>
      <c r="H15" s="196"/>
    </row>
    <row r="16" spans="1:8" ht="9" customHeight="1">
      <c r="A16" s="551" t="s">
        <v>447</v>
      </c>
      <c r="B16" s="510" t="s">
        <v>454</v>
      </c>
      <c r="C16" s="511"/>
      <c r="D16" s="511"/>
      <c r="E16" s="511">
        <v>7007.8906274999999</v>
      </c>
      <c r="F16" s="511">
        <v>7007.8906274999999</v>
      </c>
      <c r="G16" s="553">
        <v>34859.125030000003</v>
      </c>
      <c r="H16" s="196"/>
    </row>
    <row r="17" spans="1:8" ht="9" customHeight="1">
      <c r="A17" s="552" t="s">
        <v>541</v>
      </c>
      <c r="B17" s="408"/>
      <c r="C17" s="409"/>
      <c r="D17" s="409"/>
      <c r="E17" s="409">
        <v>7007.8906274999999</v>
      </c>
      <c r="F17" s="409">
        <v>7007.8906274999999</v>
      </c>
      <c r="G17" s="554">
        <v>34859.125030000003</v>
      </c>
      <c r="H17" s="196"/>
    </row>
    <row r="18" spans="1:8" ht="9" customHeight="1">
      <c r="A18" s="551" t="s">
        <v>94</v>
      </c>
      <c r="B18" s="510" t="s">
        <v>279</v>
      </c>
      <c r="C18" s="511">
        <v>67067.425929999998</v>
      </c>
      <c r="D18" s="511"/>
      <c r="E18" s="511"/>
      <c r="F18" s="511">
        <v>67067.425929999998</v>
      </c>
      <c r="G18" s="553">
        <v>698302.0875275</v>
      </c>
      <c r="H18" s="196"/>
    </row>
    <row r="19" spans="1:8" ht="9" customHeight="1">
      <c r="A19" s="552" t="s">
        <v>542</v>
      </c>
      <c r="B19" s="408"/>
      <c r="C19" s="409">
        <v>67067.425929999998</v>
      </c>
      <c r="D19" s="409"/>
      <c r="E19" s="409"/>
      <c r="F19" s="409">
        <v>67067.425929999998</v>
      </c>
      <c r="G19" s="554">
        <v>698302.0875275</v>
      </c>
      <c r="H19" s="196"/>
    </row>
    <row r="20" spans="1:8" ht="9" customHeight="1">
      <c r="A20" s="551" t="s">
        <v>489</v>
      </c>
      <c r="B20" s="510" t="s">
        <v>321</v>
      </c>
      <c r="C20" s="511">
        <v>13194.489557499999</v>
      </c>
      <c r="D20" s="511"/>
      <c r="E20" s="511"/>
      <c r="F20" s="511">
        <v>13194.489557499999</v>
      </c>
      <c r="G20" s="553">
        <v>76932.0522375</v>
      </c>
      <c r="H20" s="196"/>
    </row>
    <row r="21" spans="1:8" ht="9" customHeight="1">
      <c r="A21" s="552" t="s">
        <v>543</v>
      </c>
      <c r="B21" s="408"/>
      <c r="C21" s="409">
        <v>13194.489557499999</v>
      </c>
      <c r="D21" s="409"/>
      <c r="E21" s="409"/>
      <c r="F21" s="409">
        <v>13194.489557499999</v>
      </c>
      <c r="G21" s="554">
        <v>76932.0522375</v>
      </c>
      <c r="H21" s="196"/>
    </row>
    <row r="22" spans="1:8" ht="9" customHeight="1">
      <c r="A22" s="551" t="s">
        <v>234</v>
      </c>
      <c r="B22" s="510" t="s">
        <v>280</v>
      </c>
      <c r="C22" s="511"/>
      <c r="D22" s="511">
        <v>0</v>
      </c>
      <c r="E22" s="511"/>
      <c r="F22" s="511">
        <v>0</v>
      </c>
      <c r="G22" s="553">
        <v>1150.7519075</v>
      </c>
      <c r="H22" s="196"/>
    </row>
    <row r="23" spans="1:8" ht="9" customHeight="1">
      <c r="A23" s="552" t="s">
        <v>544</v>
      </c>
      <c r="B23" s="408"/>
      <c r="C23" s="409"/>
      <c r="D23" s="409">
        <v>0</v>
      </c>
      <c r="E23" s="409"/>
      <c r="F23" s="409">
        <v>0</v>
      </c>
      <c r="G23" s="554">
        <v>1150.7519075</v>
      </c>
      <c r="H23" s="196"/>
    </row>
    <row r="24" spans="1:8" ht="9" customHeight="1">
      <c r="A24" s="551" t="s">
        <v>93</v>
      </c>
      <c r="B24" s="510" t="s">
        <v>281</v>
      </c>
      <c r="C24" s="511">
        <v>56968.615044999999</v>
      </c>
      <c r="D24" s="511"/>
      <c r="E24" s="511"/>
      <c r="F24" s="511">
        <v>56968.615044999999</v>
      </c>
      <c r="G24" s="553">
        <v>513047.68631499994</v>
      </c>
      <c r="H24" s="196"/>
    </row>
    <row r="25" spans="1:8" ht="9" customHeight="1">
      <c r="A25" s="551"/>
      <c r="B25" s="510" t="s">
        <v>282</v>
      </c>
      <c r="C25" s="511">
        <v>10340.4172875</v>
      </c>
      <c r="D25" s="511"/>
      <c r="E25" s="511"/>
      <c r="F25" s="511">
        <v>10340.4172875</v>
      </c>
      <c r="G25" s="553">
        <v>137787.98893250001</v>
      </c>
      <c r="H25" s="196"/>
    </row>
    <row r="26" spans="1:8" ht="9" customHeight="1">
      <c r="A26" s="552" t="s">
        <v>545</v>
      </c>
      <c r="B26" s="408"/>
      <c r="C26" s="409">
        <v>67309.032332500006</v>
      </c>
      <c r="D26" s="409"/>
      <c r="E26" s="409"/>
      <c r="F26" s="409">
        <v>67309.032332500006</v>
      </c>
      <c r="G26" s="554">
        <v>650835.67524749995</v>
      </c>
      <c r="H26" s="196"/>
    </row>
    <row r="27" spans="1:8" ht="9" customHeight="1">
      <c r="A27" s="551" t="s">
        <v>91</v>
      </c>
      <c r="B27" s="510" t="s">
        <v>283</v>
      </c>
      <c r="C27" s="511">
        <v>1180.0158200000001</v>
      </c>
      <c r="D27" s="511"/>
      <c r="E27" s="511"/>
      <c r="F27" s="511">
        <v>1180.0158200000001</v>
      </c>
      <c r="G27" s="553">
        <v>7127.6630449999993</v>
      </c>
      <c r="H27" s="196"/>
    </row>
    <row r="28" spans="1:8" ht="9" customHeight="1">
      <c r="A28" s="551"/>
      <c r="B28" s="510" t="s">
        <v>284</v>
      </c>
      <c r="C28" s="511">
        <v>409.94977499999999</v>
      </c>
      <c r="D28" s="511"/>
      <c r="E28" s="511"/>
      <c r="F28" s="511">
        <v>409.94977499999999</v>
      </c>
      <c r="G28" s="553">
        <v>2456.9868849999998</v>
      </c>
      <c r="H28" s="196"/>
    </row>
    <row r="29" spans="1:8" ht="9" customHeight="1">
      <c r="A29" s="551"/>
      <c r="B29" s="510" t="s">
        <v>285</v>
      </c>
      <c r="C29" s="511">
        <v>3328.5986375000002</v>
      </c>
      <c r="D29" s="511"/>
      <c r="E29" s="511"/>
      <c r="F29" s="511">
        <v>3328.5986375000002</v>
      </c>
      <c r="G29" s="553">
        <v>20007.955549999999</v>
      </c>
      <c r="H29" s="196"/>
    </row>
    <row r="30" spans="1:8" ht="9" customHeight="1">
      <c r="A30" s="551"/>
      <c r="B30" s="510" t="s">
        <v>286</v>
      </c>
      <c r="C30" s="511">
        <v>8454.89696</v>
      </c>
      <c r="D30" s="511"/>
      <c r="E30" s="511"/>
      <c r="F30" s="511">
        <v>8454.89696</v>
      </c>
      <c r="G30" s="553">
        <v>55914.249952500002</v>
      </c>
      <c r="H30" s="196"/>
    </row>
    <row r="31" spans="1:8" ht="9" customHeight="1">
      <c r="A31" s="551"/>
      <c r="B31" s="510" t="s">
        <v>287</v>
      </c>
      <c r="C31" s="511">
        <v>51695.818700000003</v>
      </c>
      <c r="D31" s="511"/>
      <c r="E31" s="511"/>
      <c r="F31" s="511">
        <v>51695.818700000003</v>
      </c>
      <c r="G31" s="553">
        <v>390863.46668999997</v>
      </c>
      <c r="H31" s="196"/>
    </row>
    <row r="32" spans="1:8" ht="9" customHeight="1">
      <c r="A32" s="551"/>
      <c r="B32" s="510" t="s">
        <v>288</v>
      </c>
      <c r="C32" s="511">
        <v>4965.9738275</v>
      </c>
      <c r="D32" s="511"/>
      <c r="E32" s="511"/>
      <c r="F32" s="511">
        <v>4965.9738275</v>
      </c>
      <c r="G32" s="553">
        <v>32013.610314999998</v>
      </c>
      <c r="H32" s="196"/>
    </row>
    <row r="33" spans="1:8" ht="9" customHeight="1">
      <c r="A33" s="551"/>
      <c r="B33" s="510" t="s">
        <v>289</v>
      </c>
      <c r="C33" s="511"/>
      <c r="D33" s="511">
        <v>3.8723150000000004</v>
      </c>
      <c r="E33" s="511"/>
      <c r="F33" s="511">
        <v>3.8723150000000004</v>
      </c>
      <c r="G33" s="553">
        <v>80.227610000000013</v>
      </c>
      <c r="H33" s="196"/>
    </row>
    <row r="34" spans="1:8" ht="9" customHeight="1">
      <c r="A34" s="551"/>
      <c r="B34" s="510" t="s">
        <v>290</v>
      </c>
      <c r="C34" s="511"/>
      <c r="D34" s="511">
        <v>0</v>
      </c>
      <c r="E34" s="511"/>
      <c r="F34" s="511">
        <v>0</v>
      </c>
      <c r="G34" s="553">
        <v>32.4746375</v>
      </c>
      <c r="H34" s="196"/>
    </row>
    <row r="35" spans="1:8" ht="9" customHeight="1">
      <c r="A35" s="551"/>
      <c r="B35" s="510" t="s">
        <v>291</v>
      </c>
      <c r="C35" s="511"/>
      <c r="D35" s="511">
        <v>0</v>
      </c>
      <c r="E35" s="511"/>
      <c r="F35" s="511">
        <v>0</v>
      </c>
      <c r="G35" s="553">
        <v>0</v>
      </c>
      <c r="H35" s="196"/>
    </row>
    <row r="36" spans="1:8" ht="9" customHeight="1">
      <c r="A36" s="552" t="s">
        <v>546</v>
      </c>
      <c r="B36" s="408"/>
      <c r="C36" s="409">
        <v>70035.253720000008</v>
      </c>
      <c r="D36" s="409">
        <v>3.8723150000000004</v>
      </c>
      <c r="E36" s="409"/>
      <c r="F36" s="409">
        <v>70039.126035000008</v>
      </c>
      <c r="G36" s="554">
        <v>508496.634685</v>
      </c>
      <c r="H36" s="196"/>
    </row>
    <row r="37" spans="1:8" ht="9" customHeight="1">
      <c r="A37" s="551" t="s">
        <v>112</v>
      </c>
      <c r="B37" s="510" t="s">
        <v>70</v>
      </c>
      <c r="C37" s="511"/>
      <c r="D37" s="511"/>
      <c r="E37" s="511">
        <v>1821.410155</v>
      </c>
      <c r="F37" s="511">
        <v>1821.410155</v>
      </c>
      <c r="G37" s="553">
        <v>14729.749687499998</v>
      </c>
      <c r="H37" s="196"/>
    </row>
    <row r="38" spans="1:8" ht="9" customHeight="1">
      <c r="A38" s="552" t="s">
        <v>547</v>
      </c>
      <c r="B38" s="408"/>
      <c r="C38" s="409"/>
      <c r="D38" s="409"/>
      <c r="E38" s="409">
        <v>1821.410155</v>
      </c>
      <c r="F38" s="409">
        <v>1821.410155</v>
      </c>
      <c r="G38" s="554">
        <v>14729.749687499998</v>
      </c>
      <c r="H38" s="196"/>
    </row>
    <row r="39" spans="1:8" ht="9.75" customHeight="1">
      <c r="A39" s="551" t="s">
        <v>92</v>
      </c>
      <c r="B39" s="510" t="s">
        <v>292</v>
      </c>
      <c r="C39" s="511">
        <v>100798.07644</v>
      </c>
      <c r="D39" s="511"/>
      <c r="E39" s="511"/>
      <c r="F39" s="511">
        <v>100798.07644</v>
      </c>
      <c r="G39" s="553">
        <v>688087.00639749994</v>
      </c>
      <c r="H39" s="196"/>
    </row>
    <row r="40" spans="1:8" ht="9.75" customHeight="1">
      <c r="A40" s="552" t="s">
        <v>548</v>
      </c>
      <c r="B40" s="408"/>
      <c r="C40" s="409">
        <v>100798.07644</v>
      </c>
      <c r="D40" s="409"/>
      <c r="E40" s="409"/>
      <c r="F40" s="409">
        <v>100798.07644</v>
      </c>
      <c r="G40" s="554">
        <v>688087.00639749994</v>
      </c>
      <c r="H40" s="196"/>
    </row>
    <row r="41" spans="1:8" ht="10.95" customHeight="1">
      <c r="A41" s="551" t="s">
        <v>101</v>
      </c>
      <c r="B41" s="510" t="s">
        <v>293</v>
      </c>
      <c r="C41" s="511">
        <v>4210.3065000000006</v>
      </c>
      <c r="D41" s="511"/>
      <c r="E41" s="511"/>
      <c r="F41" s="511">
        <v>4210.3065000000006</v>
      </c>
      <c r="G41" s="553">
        <v>29964.799500000001</v>
      </c>
      <c r="H41" s="196"/>
    </row>
    <row r="42" spans="1:8" ht="12" customHeight="1">
      <c r="A42" s="551"/>
      <c r="B42" s="510" t="s">
        <v>294</v>
      </c>
      <c r="C42" s="511">
        <v>1807.587</v>
      </c>
      <c r="D42" s="511"/>
      <c r="E42" s="511"/>
      <c r="F42" s="511">
        <v>1807.587</v>
      </c>
      <c r="G42" s="553">
        <v>20389.356</v>
      </c>
      <c r="H42" s="196"/>
    </row>
    <row r="43" spans="1:8" ht="9.75" customHeight="1">
      <c r="A43" s="551"/>
      <c r="B43" s="510" t="s">
        <v>295</v>
      </c>
      <c r="C43" s="511"/>
      <c r="D43" s="511">
        <v>6692.171515</v>
      </c>
      <c r="E43" s="511"/>
      <c r="F43" s="511">
        <v>6692.171515</v>
      </c>
      <c r="G43" s="553">
        <v>24654.612780000003</v>
      </c>
      <c r="H43" s="196"/>
    </row>
    <row r="44" spans="1:8" ht="9.75" customHeight="1">
      <c r="A44" s="552" t="s">
        <v>549</v>
      </c>
      <c r="B44" s="408"/>
      <c r="C44" s="409">
        <v>6017.8935000000001</v>
      </c>
      <c r="D44" s="409">
        <v>6692.171515</v>
      </c>
      <c r="E44" s="409"/>
      <c r="F44" s="409">
        <v>12710.065015</v>
      </c>
      <c r="G44" s="554">
        <v>75008.768280000004</v>
      </c>
      <c r="H44" s="196"/>
    </row>
    <row r="45" spans="1:8" ht="9.75" customHeight="1">
      <c r="A45" s="551" t="s">
        <v>113</v>
      </c>
      <c r="B45" s="510" t="s">
        <v>73</v>
      </c>
      <c r="C45" s="511"/>
      <c r="D45" s="511"/>
      <c r="E45" s="511">
        <v>2152.3594775000001</v>
      </c>
      <c r="F45" s="511">
        <v>2152.3594775000001</v>
      </c>
      <c r="G45" s="553">
        <v>15201.7939475</v>
      </c>
      <c r="H45" s="196"/>
    </row>
    <row r="46" spans="1:8" ht="9.75" customHeight="1">
      <c r="A46" s="552" t="s">
        <v>550</v>
      </c>
      <c r="B46" s="408"/>
      <c r="C46" s="409"/>
      <c r="D46" s="409"/>
      <c r="E46" s="409">
        <v>2152.3594775000001</v>
      </c>
      <c r="F46" s="409">
        <v>2152.3594775000001</v>
      </c>
      <c r="G46" s="554">
        <v>15201.7939475</v>
      </c>
      <c r="H46" s="196"/>
    </row>
    <row r="47" spans="1:8" ht="9.75" customHeight="1">
      <c r="A47" s="551" t="s">
        <v>418</v>
      </c>
      <c r="B47" s="510" t="s">
        <v>420</v>
      </c>
      <c r="C47" s="511"/>
      <c r="D47" s="511"/>
      <c r="E47" s="511">
        <v>9158.3625400000001</v>
      </c>
      <c r="F47" s="511">
        <v>9158.3625400000001</v>
      </c>
      <c r="G47" s="553">
        <v>53627.115977499998</v>
      </c>
      <c r="H47" s="196"/>
    </row>
    <row r="48" spans="1:8" ht="9.75" customHeight="1">
      <c r="A48" s="552" t="s">
        <v>551</v>
      </c>
      <c r="B48" s="408"/>
      <c r="C48" s="409"/>
      <c r="D48" s="409"/>
      <c r="E48" s="409">
        <v>9158.3625400000001</v>
      </c>
      <c r="F48" s="409">
        <v>9158.3625400000001</v>
      </c>
      <c r="G48" s="554">
        <v>53627.115977499998</v>
      </c>
      <c r="H48" s="196"/>
    </row>
    <row r="49" spans="1:8" ht="9.75" customHeight="1">
      <c r="A49" s="551" t="s">
        <v>89</v>
      </c>
      <c r="B49" s="510" t="s">
        <v>296</v>
      </c>
      <c r="C49" s="511">
        <v>440219.17200000002</v>
      </c>
      <c r="D49" s="511"/>
      <c r="E49" s="511"/>
      <c r="F49" s="511">
        <v>440219.17200000002</v>
      </c>
      <c r="G49" s="553">
        <v>2723585.2224000003</v>
      </c>
      <c r="H49" s="196"/>
    </row>
    <row r="50" spans="1:8" ht="9.75" customHeight="1">
      <c r="A50" s="551"/>
      <c r="B50" s="510" t="s">
        <v>297</v>
      </c>
      <c r="C50" s="511">
        <v>146386.01711999997</v>
      </c>
      <c r="D50" s="511"/>
      <c r="E50" s="511"/>
      <c r="F50" s="511">
        <v>146386.01711999997</v>
      </c>
      <c r="G50" s="553">
        <v>884851.37423999992</v>
      </c>
      <c r="H50" s="196"/>
    </row>
    <row r="51" spans="1:8" ht="9.75" customHeight="1">
      <c r="A51" s="551"/>
      <c r="B51" s="510" t="s">
        <v>298</v>
      </c>
      <c r="C51" s="511"/>
      <c r="D51" s="511">
        <v>0</v>
      </c>
      <c r="E51" s="511"/>
      <c r="F51" s="511">
        <v>0</v>
      </c>
      <c r="G51" s="553">
        <v>0</v>
      </c>
      <c r="H51" s="196"/>
    </row>
    <row r="52" spans="1:8" ht="9.75" customHeight="1">
      <c r="A52" s="552" t="s">
        <v>552</v>
      </c>
      <c r="B52" s="408"/>
      <c r="C52" s="409">
        <v>586605.18912</v>
      </c>
      <c r="D52" s="409">
        <v>0</v>
      </c>
      <c r="E52" s="409"/>
      <c r="F52" s="409">
        <v>586605.18912</v>
      </c>
      <c r="G52" s="554">
        <v>3608436.5966400001</v>
      </c>
      <c r="H52" s="196"/>
    </row>
    <row r="53" spans="1:8" ht="9.75" customHeight="1">
      <c r="A53" s="551" t="s">
        <v>235</v>
      </c>
      <c r="B53" s="510" t="s">
        <v>299</v>
      </c>
      <c r="C53" s="511">
        <v>89729.864719999998</v>
      </c>
      <c r="D53" s="511"/>
      <c r="E53" s="511"/>
      <c r="F53" s="511">
        <v>89729.864719999998</v>
      </c>
      <c r="G53" s="553">
        <v>1346683.68236</v>
      </c>
      <c r="H53" s="196"/>
    </row>
    <row r="54" spans="1:8" ht="9.75" customHeight="1">
      <c r="A54" s="551"/>
      <c r="B54" s="510" t="s">
        <v>300</v>
      </c>
      <c r="C54" s="511">
        <v>4472.3652050000001</v>
      </c>
      <c r="D54" s="511"/>
      <c r="E54" s="511"/>
      <c r="F54" s="511">
        <v>4472.3652050000001</v>
      </c>
      <c r="G54" s="553">
        <v>27386.975940000004</v>
      </c>
      <c r="H54" s="196"/>
    </row>
    <row r="55" spans="1:8" ht="9.75" customHeight="1">
      <c r="A55" s="552" t="s">
        <v>553</v>
      </c>
      <c r="B55" s="408"/>
      <c r="C55" s="409">
        <v>94202.229924999992</v>
      </c>
      <c r="D55" s="409"/>
      <c r="E55" s="409"/>
      <c r="F55" s="409">
        <v>94202.229924999992</v>
      </c>
      <c r="G55" s="554">
        <v>1374070.6583</v>
      </c>
      <c r="H55" s="111"/>
    </row>
    <row r="56" spans="1:8">
      <c r="A56" s="551" t="s">
        <v>236</v>
      </c>
      <c r="B56" s="510" t="s">
        <v>301</v>
      </c>
      <c r="C56" s="511">
        <v>32441.926084999999</v>
      </c>
      <c r="D56" s="511"/>
      <c r="E56" s="511"/>
      <c r="F56" s="511">
        <v>32441.926084999999</v>
      </c>
      <c r="G56" s="553">
        <v>204959.96804750001</v>
      </c>
      <c r="H56" s="111"/>
    </row>
    <row r="57" spans="1:8" ht="9.75" customHeight="1">
      <c r="A57" s="552" t="s">
        <v>554</v>
      </c>
      <c r="B57" s="408"/>
      <c r="C57" s="409">
        <v>32441.926084999999</v>
      </c>
      <c r="D57" s="409"/>
      <c r="E57" s="409"/>
      <c r="F57" s="409">
        <v>32441.926084999999</v>
      </c>
      <c r="G57" s="554">
        <v>204959.96804750001</v>
      </c>
      <c r="H57" s="111"/>
    </row>
    <row r="58" spans="1:8" s="574" customFormat="1" ht="9.75" customHeight="1">
      <c r="A58" s="551" t="s">
        <v>488</v>
      </c>
      <c r="B58" s="510" t="s">
        <v>65</v>
      </c>
      <c r="C58" s="511"/>
      <c r="D58" s="511"/>
      <c r="E58" s="511">
        <v>2645.9590499999999</v>
      </c>
      <c r="F58" s="511">
        <v>2645.9590499999999</v>
      </c>
      <c r="G58" s="553">
        <v>33283.163329999996</v>
      </c>
      <c r="H58" s="111"/>
    </row>
    <row r="59" spans="1:8" s="574" customFormat="1" ht="9.75" customHeight="1">
      <c r="A59" s="551"/>
      <c r="B59" s="510" t="s">
        <v>64</v>
      </c>
      <c r="C59" s="511"/>
      <c r="D59" s="511"/>
      <c r="E59" s="511">
        <v>2834.103505</v>
      </c>
      <c r="F59" s="511">
        <v>2834.103505</v>
      </c>
      <c r="G59" s="553">
        <v>34613.642017500002</v>
      </c>
      <c r="H59" s="111"/>
    </row>
    <row r="60" spans="1:8" s="574" customFormat="1" ht="9.75" customHeight="1">
      <c r="A60" s="551"/>
      <c r="B60" s="510" t="s">
        <v>60</v>
      </c>
      <c r="C60" s="511"/>
      <c r="D60" s="511"/>
      <c r="E60" s="511">
        <v>4021.8978400000001</v>
      </c>
      <c r="F60" s="511">
        <v>4021.8978400000001</v>
      </c>
      <c r="G60" s="553">
        <v>61703.145582500001</v>
      </c>
      <c r="H60" s="111"/>
    </row>
    <row r="61" spans="1:8" s="574" customFormat="1" ht="9.75" customHeight="1">
      <c r="A61" s="551"/>
      <c r="B61" s="510" t="s">
        <v>57</v>
      </c>
      <c r="C61" s="511"/>
      <c r="D61" s="511"/>
      <c r="E61" s="511">
        <v>5994.5365975000004</v>
      </c>
      <c r="F61" s="511">
        <v>5994.5365975000004</v>
      </c>
      <c r="G61" s="553">
        <v>72453.144455000001</v>
      </c>
      <c r="H61" s="111"/>
    </row>
    <row r="62" spans="1:8">
      <c r="A62" s="551"/>
      <c r="B62" s="510" t="s">
        <v>68</v>
      </c>
      <c r="C62" s="511"/>
      <c r="D62" s="511"/>
      <c r="E62" s="511">
        <v>1514.1621674999999</v>
      </c>
      <c r="F62" s="511">
        <v>1514.1621674999999</v>
      </c>
      <c r="G62" s="553">
        <v>20533.842732499998</v>
      </c>
      <c r="H62" s="111"/>
    </row>
    <row r="63" spans="1:8" ht="9.75" customHeight="1">
      <c r="A63" s="551"/>
      <c r="B63" s="510" t="s">
        <v>67</v>
      </c>
      <c r="C63" s="511"/>
      <c r="D63" s="511"/>
      <c r="E63" s="511">
        <v>1811.7487874999999</v>
      </c>
      <c r="F63" s="511">
        <v>1811.7487874999999</v>
      </c>
      <c r="G63" s="553">
        <v>22310.323497500001</v>
      </c>
      <c r="H63" s="111"/>
    </row>
    <row r="64" spans="1:8" ht="9.75" customHeight="1">
      <c r="A64" s="552" t="s">
        <v>555</v>
      </c>
      <c r="B64" s="408"/>
      <c r="C64" s="409"/>
      <c r="D64" s="409"/>
      <c r="E64" s="409">
        <v>18822.4079475</v>
      </c>
      <c r="F64" s="409">
        <v>18822.4079475</v>
      </c>
      <c r="G64" s="554">
        <v>244897.261615</v>
      </c>
      <c r="H64" s="197"/>
    </row>
    <row r="65" spans="1:8" ht="9.75" customHeight="1">
      <c r="A65" s="551" t="s">
        <v>88</v>
      </c>
      <c r="B65" s="510" t="s">
        <v>455</v>
      </c>
      <c r="C65" s="511">
        <v>46303.017067499997</v>
      </c>
      <c r="D65" s="511"/>
      <c r="E65" s="511"/>
      <c r="F65" s="511">
        <v>46303.017067499997</v>
      </c>
      <c r="G65" s="553">
        <v>316522.72840249992</v>
      </c>
      <c r="H65" s="197"/>
    </row>
    <row r="66" spans="1:8" ht="9.75" customHeight="1">
      <c r="A66" s="551"/>
      <c r="B66" s="510" t="s">
        <v>302</v>
      </c>
      <c r="C66" s="511">
        <v>13223.440575000001</v>
      </c>
      <c r="D66" s="511"/>
      <c r="E66" s="511"/>
      <c r="F66" s="511">
        <v>13223.440575000001</v>
      </c>
      <c r="G66" s="553">
        <v>96082.540772499997</v>
      </c>
      <c r="H66" s="197"/>
    </row>
    <row r="67" spans="1:8" ht="9.75" customHeight="1">
      <c r="A67" s="551"/>
      <c r="B67" s="510" t="s">
        <v>303</v>
      </c>
      <c r="C67" s="511">
        <v>80510.576317500003</v>
      </c>
      <c r="D67" s="511"/>
      <c r="E67" s="511"/>
      <c r="F67" s="511">
        <v>80510.576317500003</v>
      </c>
      <c r="G67" s="553">
        <v>720499.79637499992</v>
      </c>
      <c r="H67" s="197"/>
    </row>
    <row r="68" spans="1:8" ht="9.75" customHeight="1">
      <c r="A68" s="551"/>
      <c r="B68" s="510" t="s">
        <v>304</v>
      </c>
      <c r="C68" s="511">
        <v>66158.004607499999</v>
      </c>
      <c r="D68" s="511"/>
      <c r="E68" s="511"/>
      <c r="F68" s="511">
        <v>66158.004607499999</v>
      </c>
      <c r="G68" s="553">
        <v>512783.97952749999</v>
      </c>
      <c r="H68" s="197"/>
    </row>
    <row r="69" spans="1:8" ht="9.75" customHeight="1">
      <c r="A69" s="551"/>
      <c r="B69" s="510" t="s">
        <v>305</v>
      </c>
      <c r="C69" s="511">
        <v>37294.734892499997</v>
      </c>
      <c r="D69" s="511"/>
      <c r="E69" s="511"/>
      <c r="F69" s="511">
        <v>37294.734892499997</v>
      </c>
      <c r="G69" s="553">
        <v>258833.83122249995</v>
      </c>
      <c r="H69" s="197"/>
    </row>
    <row r="70" spans="1:8" ht="9.75" customHeight="1">
      <c r="A70" s="551"/>
      <c r="B70" s="510" t="s">
        <v>306</v>
      </c>
      <c r="C70" s="511"/>
      <c r="D70" s="511">
        <v>35074.355507500004</v>
      </c>
      <c r="E70" s="511"/>
      <c r="F70" s="511">
        <v>35074.355507500004</v>
      </c>
      <c r="G70" s="553">
        <v>90597.23947</v>
      </c>
    </row>
    <row r="71" spans="1:8" ht="9.75" customHeight="1">
      <c r="A71" s="551"/>
      <c r="B71" s="510" t="s">
        <v>307</v>
      </c>
      <c r="C71" s="511"/>
      <c r="D71" s="511">
        <v>35324.768232499999</v>
      </c>
      <c r="E71" s="511"/>
      <c r="F71" s="511">
        <v>35324.768232499999</v>
      </c>
      <c r="G71" s="553">
        <v>129870.00993</v>
      </c>
    </row>
    <row r="72" spans="1:8" ht="9.75" customHeight="1">
      <c r="A72" s="551"/>
      <c r="B72" s="510" t="s">
        <v>308</v>
      </c>
      <c r="C72" s="511"/>
      <c r="D72" s="511">
        <v>272065.53523750004</v>
      </c>
      <c r="E72" s="511"/>
      <c r="F72" s="511">
        <v>272065.53523750004</v>
      </c>
      <c r="G72" s="553">
        <v>1162957.3094474999</v>
      </c>
    </row>
    <row r="73" spans="1:8" ht="9.75" customHeight="1">
      <c r="A73" s="551"/>
      <c r="B73" s="510" t="s">
        <v>413</v>
      </c>
      <c r="C73" s="511"/>
      <c r="D73" s="511"/>
      <c r="E73" s="511">
        <v>246.60830999999999</v>
      </c>
      <c r="F73" s="511">
        <v>246.60830999999999</v>
      </c>
      <c r="G73" s="553">
        <v>1377.0000600000001</v>
      </c>
    </row>
    <row r="74" spans="1:8" ht="9.75" customHeight="1">
      <c r="A74" s="552" t="s">
        <v>556</v>
      </c>
      <c r="B74" s="408"/>
      <c r="C74" s="409">
        <v>243489.77346</v>
      </c>
      <c r="D74" s="409">
        <v>342464.65897750005</v>
      </c>
      <c r="E74" s="409">
        <v>246.60830999999999</v>
      </c>
      <c r="F74" s="409">
        <v>586201.04074750002</v>
      </c>
      <c r="G74" s="554">
        <v>3289524.4352074997</v>
      </c>
    </row>
    <row r="75" spans="1:8" ht="9.75" customHeight="1">
      <c r="A75" s="551" t="s">
        <v>96</v>
      </c>
      <c r="B75" s="510" t="s">
        <v>309</v>
      </c>
      <c r="C75" s="511"/>
      <c r="D75" s="511">
        <v>4.3447849999999999</v>
      </c>
      <c r="E75" s="511"/>
      <c r="F75" s="511">
        <v>4.3447849999999999</v>
      </c>
      <c r="G75" s="553">
        <v>5664.4949550000001</v>
      </c>
    </row>
    <row r="76" spans="1:8">
      <c r="A76" s="551"/>
      <c r="B76" s="510" t="s">
        <v>310</v>
      </c>
      <c r="C76" s="511"/>
      <c r="D76" s="511">
        <v>64792.271142500002</v>
      </c>
      <c r="E76" s="511"/>
      <c r="F76" s="511">
        <v>64792.271142500002</v>
      </c>
      <c r="G76" s="553">
        <v>310843.10690750001</v>
      </c>
    </row>
    <row r="77" spans="1:8" ht="9.75" customHeight="1">
      <c r="A77" s="551"/>
      <c r="B77" s="510" t="s">
        <v>311</v>
      </c>
      <c r="C77" s="511"/>
      <c r="D77" s="511">
        <v>0</v>
      </c>
      <c r="E77" s="511"/>
      <c r="F77" s="511">
        <v>0</v>
      </c>
      <c r="G77" s="553">
        <v>17485.0746225</v>
      </c>
    </row>
    <row r="78" spans="1:8" ht="9.75" customHeight="1">
      <c r="A78" s="552" t="s">
        <v>557</v>
      </c>
      <c r="B78" s="408"/>
      <c r="C78" s="409"/>
      <c r="D78" s="409">
        <v>64796.615927500003</v>
      </c>
      <c r="E78" s="409"/>
      <c r="F78" s="409">
        <v>64796.615927500003</v>
      </c>
      <c r="G78" s="554">
        <v>333992.676485</v>
      </c>
    </row>
    <row r="79" spans="1:8">
      <c r="A79" s="551" t="s">
        <v>98</v>
      </c>
      <c r="B79" s="510" t="s">
        <v>422</v>
      </c>
      <c r="C79" s="511"/>
      <c r="D79" s="511"/>
      <c r="E79" s="511">
        <v>29689.9954975</v>
      </c>
      <c r="F79" s="511">
        <v>29689.9954975</v>
      </c>
      <c r="G79" s="553">
        <v>205417.93465000001</v>
      </c>
    </row>
    <row r="80" spans="1:8" ht="9.75" customHeight="1">
      <c r="A80" s="551"/>
      <c r="B80" s="510" t="s">
        <v>421</v>
      </c>
      <c r="C80" s="511"/>
      <c r="D80" s="511"/>
      <c r="E80" s="511">
        <v>43498.279457500001</v>
      </c>
      <c r="F80" s="511">
        <v>43498.279457500001</v>
      </c>
      <c r="G80" s="553">
        <v>287078.3290575</v>
      </c>
    </row>
    <row r="81" spans="1:7" ht="9.75" customHeight="1">
      <c r="A81" s="552" t="s">
        <v>558</v>
      </c>
      <c r="B81" s="408"/>
      <c r="C81" s="409"/>
      <c r="D81" s="409"/>
      <c r="E81" s="409">
        <v>73188.274955000001</v>
      </c>
      <c r="F81" s="409">
        <v>73188.274955000001</v>
      </c>
      <c r="G81" s="554">
        <v>492496.26370750001</v>
      </c>
    </row>
    <row r="82" spans="1:7" ht="9.75" customHeight="1">
      <c r="A82" s="551" t="s">
        <v>97</v>
      </c>
      <c r="B82" s="510" t="s">
        <v>77</v>
      </c>
      <c r="C82" s="511"/>
      <c r="D82" s="511"/>
      <c r="E82" s="511">
        <v>16157.7765475</v>
      </c>
      <c r="F82" s="511">
        <v>16157.7765475</v>
      </c>
      <c r="G82" s="553">
        <v>144499.71995500001</v>
      </c>
    </row>
    <row r="83" spans="1:7" ht="9.75" customHeight="1">
      <c r="A83" s="551"/>
      <c r="B83" s="510" t="s">
        <v>79</v>
      </c>
      <c r="C83" s="511"/>
      <c r="D83" s="511"/>
      <c r="E83" s="511">
        <v>12326.949585</v>
      </c>
      <c r="F83" s="511">
        <v>12326.949585</v>
      </c>
      <c r="G83" s="553">
        <v>53993.918830000002</v>
      </c>
    </row>
    <row r="84" spans="1:7" ht="9.75" customHeight="1">
      <c r="A84" s="552" t="s">
        <v>559</v>
      </c>
      <c r="B84" s="408"/>
      <c r="C84" s="409"/>
      <c r="D84" s="409"/>
      <c r="E84" s="409">
        <v>28484.7261325</v>
      </c>
      <c r="F84" s="409">
        <v>28484.7261325</v>
      </c>
      <c r="G84" s="554">
        <v>198493.63878500002</v>
      </c>
    </row>
  </sheetData>
  <mergeCells count="5">
    <mergeCell ref="A2:A5"/>
    <mergeCell ref="B2:B5"/>
    <mergeCell ref="C2:F2"/>
    <mergeCell ref="C3:E3"/>
    <mergeCell ref="F3:F4"/>
  </mergeCells>
  <pageMargins left="0.70866141732283472" right="0.47244094488188981" top="0.83076923076923082" bottom="0.50192307692307692" header="0.31496062992125984" footer="0.31496062992125984"/>
  <pageSetup paperSize="9" scale="90" orientation="portrait" r:id="rId1"/>
  <headerFooter>
    <oddHeader>&amp;R&amp;7Informe de la Operación Mensual - Junio 2021
INFSGI-MES-06-2021
12/07/2021
Versión: 01</oddHeader>
    <oddFooter>&amp;L&amp;7COES, 2021&amp;C18&amp;R&amp;7Dirección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75"/>
  <sheetViews>
    <sheetView showGridLines="0" view="pageBreakPreview" topLeftCell="A10" zoomScale="130" zoomScaleNormal="100" zoomScaleSheetLayoutView="130" zoomScalePageLayoutView="130" workbookViewId="0">
      <selection activeCell="B49" sqref="B49"/>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42578125" customWidth="1"/>
    <col min="7" max="7" width="16.140625" bestFit="1" customWidth="1"/>
    <col min="8" max="8" width="13" bestFit="1" customWidth="1"/>
  </cols>
  <sheetData>
    <row r="1" spans="1:8" ht="17.25" customHeight="1">
      <c r="A1" s="900" t="s">
        <v>248</v>
      </c>
      <c r="B1" s="903" t="s">
        <v>54</v>
      </c>
      <c r="C1" s="906" t="str">
        <f>+'18. ANEXOI-1'!C2:F2</f>
        <v>ENERGÍA PRODUCIDA JUNIO 2021</v>
      </c>
      <c r="D1" s="906"/>
      <c r="E1" s="906"/>
      <c r="F1" s="906"/>
      <c r="G1" s="515" t="s">
        <v>274</v>
      </c>
      <c r="H1" s="203"/>
    </row>
    <row r="2" spans="1:8" ht="11.25" customHeight="1">
      <c r="A2" s="901"/>
      <c r="B2" s="904"/>
      <c r="C2" s="907" t="s">
        <v>275</v>
      </c>
      <c r="D2" s="907"/>
      <c r="E2" s="907"/>
      <c r="F2" s="908" t="str">
        <f>"TOTAL 
"&amp;UPPER('1. Resumen'!Q4)</f>
        <v>TOTAL 
JUNIO</v>
      </c>
      <c r="G2" s="516" t="s">
        <v>276</v>
      </c>
      <c r="H2" s="194"/>
    </row>
    <row r="3" spans="1:8" ht="11.25" customHeight="1">
      <c r="A3" s="901"/>
      <c r="B3" s="904"/>
      <c r="C3" s="507" t="s">
        <v>213</v>
      </c>
      <c r="D3" s="507" t="s">
        <v>214</v>
      </c>
      <c r="E3" s="507" t="s">
        <v>277</v>
      </c>
      <c r="F3" s="909"/>
      <c r="G3" s="516">
        <v>2021</v>
      </c>
      <c r="H3" s="196"/>
    </row>
    <row r="4" spans="1:8" ht="11.25" customHeight="1">
      <c r="A4" s="910"/>
      <c r="B4" s="911"/>
      <c r="C4" s="508" t="s">
        <v>278</v>
      </c>
      <c r="D4" s="508" t="s">
        <v>278</v>
      </c>
      <c r="E4" s="508" t="s">
        <v>278</v>
      </c>
      <c r="F4" s="508" t="s">
        <v>278</v>
      </c>
      <c r="G4" s="517" t="s">
        <v>206</v>
      </c>
      <c r="H4" s="196"/>
    </row>
    <row r="5" spans="1:8" ht="10.5" customHeight="1">
      <c r="A5" s="551" t="s">
        <v>87</v>
      </c>
      <c r="B5" s="510" t="s">
        <v>312</v>
      </c>
      <c r="C5" s="511">
        <v>27705.696402500002</v>
      </c>
      <c r="D5" s="511"/>
      <c r="E5" s="511"/>
      <c r="F5" s="511">
        <v>27705.696402500002</v>
      </c>
      <c r="G5" s="553">
        <v>332113.04867250001</v>
      </c>
    </row>
    <row r="6" spans="1:8" ht="10.5" customHeight="1">
      <c r="A6" s="551"/>
      <c r="B6" s="510" t="s">
        <v>313</v>
      </c>
      <c r="C6" s="511">
        <v>45964.377412500005</v>
      </c>
      <c r="D6" s="511"/>
      <c r="E6" s="511"/>
      <c r="F6" s="511">
        <v>45964.377412500005</v>
      </c>
      <c r="G6" s="553">
        <v>470789.02350000001</v>
      </c>
    </row>
    <row r="7" spans="1:8" ht="10.5" customHeight="1">
      <c r="A7" s="551"/>
      <c r="B7" s="510" t="s">
        <v>314</v>
      </c>
      <c r="C7" s="511"/>
      <c r="D7" s="511">
        <v>515409.62907000002</v>
      </c>
      <c r="E7" s="511"/>
      <c r="F7" s="511">
        <v>515409.62907000002</v>
      </c>
      <c r="G7" s="553">
        <v>1506859.5549975</v>
      </c>
    </row>
    <row r="8" spans="1:8" ht="10.5" customHeight="1">
      <c r="A8" s="551"/>
      <c r="B8" s="510" t="s">
        <v>315</v>
      </c>
      <c r="C8" s="511"/>
      <c r="D8" s="511">
        <v>55883.764312500003</v>
      </c>
      <c r="E8" s="511"/>
      <c r="F8" s="511">
        <v>55883.764312500003</v>
      </c>
      <c r="G8" s="553">
        <v>247379.46004500001</v>
      </c>
    </row>
    <row r="9" spans="1:8" ht="10.5" customHeight="1">
      <c r="A9" s="551"/>
      <c r="B9" s="510" t="s">
        <v>316</v>
      </c>
      <c r="C9" s="511"/>
      <c r="D9" s="511">
        <v>0</v>
      </c>
      <c r="E9" s="511"/>
      <c r="F9" s="511">
        <v>0</v>
      </c>
      <c r="G9" s="553">
        <v>12778.767482499999</v>
      </c>
    </row>
    <row r="10" spans="1:8" ht="10.5" customHeight="1">
      <c r="A10" s="551"/>
      <c r="B10" s="510" t="s">
        <v>317</v>
      </c>
      <c r="C10" s="511"/>
      <c r="D10" s="511">
        <v>0</v>
      </c>
      <c r="E10" s="511"/>
      <c r="F10" s="511">
        <v>0</v>
      </c>
      <c r="G10" s="553">
        <v>3321.0334400000006</v>
      </c>
    </row>
    <row r="11" spans="1:8" ht="10.5" customHeight="1">
      <c r="A11" s="551"/>
      <c r="B11" s="510" t="s">
        <v>318</v>
      </c>
      <c r="C11" s="511"/>
      <c r="D11" s="511">
        <v>0</v>
      </c>
      <c r="E11" s="511"/>
      <c r="F11" s="511">
        <v>0</v>
      </c>
      <c r="G11" s="553">
        <v>356.90416750000003</v>
      </c>
    </row>
    <row r="12" spans="1:8" ht="10.5" customHeight="1">
      <c r="A12" s="551"/>
      <c r="B12" s="510" t="s">
        <v>423</v>
      </c>
      <c r="C12" s="511"/>
      <c r="D12" s="511"/>
      <c r="E12" s="511">
        <v>7365.1776399999999</v>
      </c>
      <c r="F12" s="511">
        <v>7365.1776399999999</v>
      </c>
      <c r="G12" s="553">
        <v>49500.031912500002</v>
      </c>
    </row>
    <row r="13" spans="1:8" ht="10.5" customHeight="1">
      <c r="A13" s="552" t="s">
        <v>560</v>
      </c>
      <c r="B13" s="408"/>
      <c r="C13" s="409">
        <v>73670.073815000011</v>
      </c>
      <c r="D13" s="409">
        <v>571293.39338250004</v>
      </c>
      <c r="E13" s="409">
        <v>7365.1776399999999</v>
      </c>
      <c r="F13" s="409">
        <v>652328.64483750006</v>
      </c>
      <c r="G13" s="554">
        <v>2623097.8242175002</v>
      </c>
    </row>
    <row r="14" spans="1:8" ht="10.5" customHeight="1">
      <c r="A14" s="551" t="s">
        <v>237</v>
      </c>
      <c r="B14" s="510" t="s">
        <v>319</v>
      </c>
      <c r="C14" s="511"/>
      <c r="D14" s="511">
        <v>367018.8719875</v>
      </c>
      <c r="E14" s="511"/>
      <c r="F14" s="511">
        <v>367018.8719875</v>
      </c>
      <c r="G14" s="553">
        <v>1288445.1377349999</v>
      </c>
    </row>
    <row r="15" spans="1:8" ht="10.5" customHeight="1">
      <c r="A15" s="552" t="s">
        <v>561</v>
      </c>
      <c r="B15" s="408"/>
      <c r="C15" s="409"/>
      <c r="D15" s="409">
        <v>367018.8719875</v>
      </c>
      <c r="E15" s="409"/>
      <c r="F15" s="409">
        <v>367018.8719875</v>
      </c>
      <c r="G15" s="554">
        <v>1288445.1377349999</v>
      </c>
    </row>
    <row r="16" spans="1:8" s="574" customFormat="1" ht="10.5" customHeight="1">
      <c r="A16" s="551" t="s">
        <v>448</v>
      </c>
      <c r="B16" s="510" t="s">
        <v>453</v>
      </c>
      <c r="C16" s="511"/>
      <c r="D16" s="511"/>
      <c r="E16" s="511">
        <v>4996.0477375</v>
      </c>
      <c r="F16" s="511">
        <v>4996.0477375</v>
      </c>
      <c r="G16" s="553">
        <v>58984.939542500004</v>
      </c>
    </row>
    <row r="17" spans="1:7" s="574" customFormat="1" ht="10.5" customHeight="1">
      <c r="A17" s="551"/>
      <c r="B17" s="510" t="s">
        <v>449</v>
      </c>
      <c r="C17" s="511"/>
      <c r="D17" s="511"/>
      <c r="E17" s="511">
        <v>3146.6193475</v>
      </c>
      <c r="F17" s="511">
        <v>3146.6193475</v>
      </c>
      <c r="G17" s="553">
        <v>27198.336885000001</v>
      </c>
    </row>
    <row r="18" spans="1:7" s="574" customFormat="1" ht="10.5" customHeight="1">
      <c r="A18" s="552" t="s">
        <v>562</v>
      </c>
      <c r="B18" s="408"/>
      <c r="C18" s="409"/>
      <c r="D18" s="409"/>
      <c r="E18" s="409">
        <v>8142.667085</v>
      </c>
      <c r="F18" s="409">
        <v>8142.667085</v>
      </c>
      <c r="G18" s="554">
        <v>86183.276427500008</v>
      </c>
    </row>
    <row r="19" spans="1:7" ht="10.5" customHeight="1">
      <c r="A19" s="551" t="s">
        <v>108</v>
      </c>
      <c r="B19" s="510" t="s">
        <v>66</v>
      </c>
      <c r="C19" s="511"/>
      <c r="D19" s="511"/>
      <c r="E19" s="511">
        <v>5025.3127425000002</v>
      </c>
      <c r="F19" s="511">
        <v>5025.3127425000002</v>
      </c>
      <c r="G19" s="553">
        <v>31468.951894999998</v>
      </c>
    </row>
    <row r="20" spans="1:7" ht="10.5" customHeight="1">
      <c r="A20" s="551"/>
      <c r="B20" s="510" t="s">
        <v>412</v>
      </c>
      <c r="C20" s="511"/>
      <c r="D20" s="511"/>
      <c r="E20" s="511">
        <v>4600.6336350000001</v>
      </c>
      <c r="F20" s="511">
        <v>4600.6336350000001</v>
      </c>
      <c r="G20" s="553">
        <v>69278.068182500021</v>
      </c>
    </row>
    <row r="21" spans="1:7" ht="10.5" customHeight="1">
      <c r="A21" s="551"/>
      <c r="B21" s="510" t="s">
        <v>410</v>
      </c>
      <c r="C21" s="511"/>
      <c r="D21" s="511"/>
      <c r="E21" s="511">
        <v>6280.3986399999994</v>
      </c>
      <c r="F21" s="511">
        <v>6280.3986399999994</v>
      </c>
      <c r="G21" s="553">
        <v>73078.5935875</v>
      </c>
    </row>
    <row r="22" spans="1:7" ht="10.5" customHeight="1">
      <c r="A22" s="551"/>
      <c r="B22" s="510" t="s">
        <v>411</v>
      </c>
      <c r="C22" s="511"/>
      <c r="D22" s="511"/>
      <c r="E22" s="511">
        <v>6403.8709875000004</v>
      </c>
      <c r="F22" s="511">
        <v>6403.8709875000004</v>
      </c>
      <c r="G22" s="553">
        <v>72484.817705000009</v>
      </c>
    </row>
    <row r="23" spans="1:7" ht="10.5" customHeight="1">
      <c r="A23" s="552" t="s">
        <v>563</v>
      </c>
      <c r="B23" s="408"/>
      <c r="C23" s="409"/>
      <c r="D23" s="409"/>
      <c r="E23" s="409">
        <v>22310.216005000002</v>
      </c>
      <c r="F23" s="409">
        <v>22310.216005000002</v>
      </c>
      <c r="G23" s="554">
        <v>246310.43137000001</v>
      </c>
    </row>
    <row r="24" spans="1:7" ht="10.5" customHeight="1">
      <c r="A24" s="551" t="s">
        <v>485</v>
      </c>
      <c r="B24" s="510" t="s">
        <v>626</v>
      </c>
      <c r="C24" s="511"/>
      <c r="D24" s="511"/>
      <c r="E24" s="511">
        <v>4192.0735350000004</v>
      </c>
      <c r="F24" s="511">
        <v>4192.0735350000004</v>
      </c>
      <c r="G24" s="553">
        <v>12870.709730000002</v>
      </c>
    </row>
    <row r="25" spans="1:7" ht="10.5" customHeight="1">
      <c r="A25" s="552" t="s">
        <v>564</v>
      </c>
      <c r="B25" s="408"/>
      <c r="C25" s="409"/>
      <c r="D25" s="409"/>
      <c r="E25" s="409">
        <v>4192.0735350000004</v>
      </c>
      <c r="F25" s="409">
        <v>4192.0735350000004</v>
      </c>
      <c r="G25" s="554">
        <v>12870.709730000002</v>
      </c>
    </row>
    <row r="26" spans="1:7" ht="10.5" customHeight="1">
      <c r="A26" s="551" t="s">
        <v>486</v>
      </c>
      <c r="B26" s="510" t="s">
        <v>627</v>
      </c>
      <c r="C26" s="511"/>
      <c r="D26" s="511"/>
      <c r="E26" s="511">
        <v>6099.0137850000001</v>
      </c>
      <c r="F26" s="511">
        <v>6099.0137850000001</v>
      </c>
      <c r="G26" s="553">
        <v>17975.74842</v>
      </c>
    </row>
    <row r="27" spans="1:7" ht="10.5" customHeight="1">
      <c r="A27" s="552" t="s">
        <v>565</v>
      </c>
      <c r="B27" s="408"/>
      <c r="C27" s="409"/>
      <c r="D27" s="409"/>
      <c r="E27" s="409">
        <v>6099.0137850000001</v>
      </c>
      <c r="F27" s="409">
        <v>6099.0137850000001</v>
      </c>
      <c r="G27" s="554">
        <v>17975.74842</v>
      </c>
    </row>
    <row r="28" spans="1:7" ht="10.5" customHeight="1">
      <c r="A28" s="551" t="s">
        <v>114</v>
      </c>
      <c r="B28" s="510" t="s">
        <v>74</v>
      </c>
      <c r="C28" s="511"/>
      <c r="D28" s="511"/>
      <c r="E28" s="511">
        <v>1972.4</v>
      </c>
      <c r="F28" s="511">
        <v>1972.4</v>
      </c>
      <c r="G28" s="553">
        <v>13395.4</v>
      </c>
    </row>
    <row r="29" spans="1:7" ht="10.5" customHeight="1">
      <c r="A29" s="552" t="s">
        <v>566</v>
      </c>
      <c r="B29" s="408"/>
      <c r="C29" s="409"/>
      <c r="D29" s="409"/>
      <c r="E29" s="409">
        <v>1972.4</v>
      </c>
      <c r="F29" s="409">
        <v>1972.4</v>
      </c>
      <c r="G29" s="554">
        <v>13395.4</v>
      </c>
    </row>
    <row r="30" spans="1:7" ht="10.199999999999999" customHeight="1">
      <c r="A30" s="551" t="s">
        <v>103</v>
      </c>
      <c r="B30" s="510" t="s">
        <v>320</v>
      </c>
      <c r="C30" s="511">
        <v>11583.227112500001</v>
      </c>
      <c r="D30" s="511"/>
      <c r="E30" s="511"/>
      <c r="F30" s="511">
        <v>11583.227112500001</v>
      </c>
      <c r="G30" s="553">
        <v>72112.944587499995</v>
      </c>
    </row>
    <row r="31" spans="1:7" ht="10.5" customHeight="1">
      <c r="A31" s="552" t="s">
        <v>567</v>
      </c>
      <c r="B31" s="408"/>
      <c r="C31" s="409">
        <v>11583.227112500001</v>
      </c>
      <c r="D31" s="409"/>
      <c r="E31" s="409"/>
      <c r="F31" s="409">
        <v>11583.227112500001</v>
      </c>
      <c r="G31" s="554">
        <v>72112.944587499995</v>
      </c>
    </row>
    <row r="32" spans="1:7">
      <c r="A32" s="551" t="s">
        <v>238</v>
      </c>
      <c r="B32" s="510" t="s">
        <v>59</v>
      </c>
      <c r="C32" s="511"/>
      <c r="D32" s="511"/>
      <c r="E32" s="511">
        <v>11930.665570000001</v>
      </c>
      <c r="F32" s="511">
        <v>11930.665570000001</v>
      </c>
      <c r="G32" s="553">
        <v>71424.795972499996</v>
      </c>
    </row>
    <row r="33" spans="1:7" ht="10.199999999999999" customHeight="1">
      <c r="A33" s="552" t="s">
        <v>568</v>
      </c>
      <c r="B33" s="408"/>
      <c r="C33" s="409"/>
      <c r="D33" s="409"/>
      <c r="E33" s="409">
        <v>11930.665570000001</v>
      </c>
      <c r="F33" s="409">
        <v>11930.665570000001</v>
      </c>
      <c r="G33" s="554">
        <v>71424.795972499996</v>
      </c>
    </row>
    <row r="34" spans="1:7" ht="10.5" customHeight="1">
      <c r="A34" s="551" t="s">
        <v>409</v>
      </c>
      <c r="B34" s="510" t="s">
        <v>456</v>
      </c>
      <c r="C34" s="511">
        <v>184.79599999999999</v>
      </c>
      <c r="D34" s="511"/>
      <c r="E34" s="511"/>
      <c r="F34" s="511">
        <v>184.79599999999999</v>
      </c>
      <c r="G34" s="553">
        <v>1400.5430000000001</v>
      </c>
    </row>
    <row r="35" spans="1:7" ht="10.5" customHeight="1">
      <c r="A35" s="552" t="s">
        <v>569</v>
      </c>
      <c r="B35" s="408"/>
      <c r="C35" s="409">
        <v>184.79599999999999</v>
      </c>
      <c r="D35" s="409"/>
      <c r="E35" s="409"/>
      <c r="F35" s="409">
        <v>184.79599999999999</v>
      </c>
      <c r="G35" s="554">
        <v>1400.5430000000001</v>
      </c>
    </row>
    <row r="36" spans="1:7" ht="10.5" customHeight="1">
      <c r="A36" s="551" t="s">
        <v>425</v>
      </c>
      <c r="B36" s="510" t="s">
        <v>429</v>
      </c>
      <c r="C36" s="511">
        <v>54009.388967499995</v>
      </c>
      <c r="D36" s="511"/>
      <c r="E36" s="511"/>
      <c r="F36" s="511">
        <v>54009.388967499995</v>
      </c>
      <c r="G36" s="553">
        <v>374486.70685250004</v>
      </c>
    </row>
    <row r="37" spans="1:7" ht="10.5" customHeight="1">
      <c r="A37" s="552" t="s">
        <v>570</v>
      </c>
      <c r="B37" s="408"/>
      <c r="C37" s="409">
        <v>54009.388967499995</v>
      </c>
      <c r="D37" s="409"/>
      <c r="E37" s="409"/>
      <c r="F37" s="409">
        <v>54009.388967499995</v>
      </c>
      <c r="G37" s="554">
        <v>374486.70685250004</v>
      </c>
    </row>
    <row r="38" spans="1:7" ht="21" customHeight="1">
      <c r="A38" s="555" t="s">
        <v>462</v>
      </c>
      <c r="B38" s="510" t="s">
        <v>478</v>
      </c>
      <c r="C38" s="511"/>
      <c r="D38" s="511"/>
      <c r="E38" s="511">
        <v>7521.1444449999999</v>
      </c>
      <c r="F38" s="511">
        <v>7521.1444449999999</v>
      </c>
      <c r="G38" s="553">
        <v>48401.484279999997</v>
      </c>
    </row>
    <row r="39" spans="1:7" ht="10.5" customHeight="1">
      <c r="A39" s="552" t="s">
        <v>571</v>
      </c>
      <c r="B39" s="408"/>
      <c r="C39" s="409"/>
      <c r="D39" s="409"/>
      <c r="E39" s="409">
        <v>7521.1444449999999</v>
      </c>
      <c r="F39" s="409">
        <v>7521.1444449999999</v>
      </c>
      <c r="G39" s="554">
        <v>48401.484279999997</v>
      </c>
    </row>
    <row r="40" spans="1:7" s="46" customFormat="1" ht="10.199999999999999" customHeight="1">
      <c r="A40" s="551" t="s">
        <v>116</v>
      </c>
      <c r="B40" s="510" t="s">
        <v>322</v>
      </c>
      <c r="C40" s="511"/>
      <c r="D40" s="511">
        <v>364.17144250000001</v>
      </c>
      <c r="E40" s="511"/>
      <c r="F40" s="511">
        <v>364.17144250000001</v>
      </c>
      <c r="G40" s="553">
        <v>428.36958500000003</v>
      </c>
    </row>
    <row r="41" spans="1:7" ht="12" customHeight="1">
      <c r="A41" s="551"/>
      <c r="B41" s="510" t="s">
        <v>323</v>
      </c>
      <c r="C41" s="511"/>
      <c r="D41" s="511">
        <v>20.161507499999999</v>
      </c>
      <c r="E41" s="511"/>
      <c r="F41" s="511">
        <v>20.161507499999999</v>
      </c>
      <c r="G41" s="553">
        <v>297.5400525</v>
      </c>
    </row>
    <row r="42" spans="1:7" ht="11.25" customHeight="1">
      <c r="A42" s="552" t="s">
        <v>572</v>
      </c>
      <c r="B42" s="408"/>
      <c r="C42" s="409"/>
      <c r="D42" s="409">
        <v>384.33294999999998</v>
      </c>
      <c r="E42" s="409"/>
      <c r="F42" s="409">
        <v>384.33294999999998</v>
      </c>
      <c r="G42" s="554">
        <v>725.90963750000003</v>
      </c>
    </row>
    <row r="43" spans="1:7" ht="10.5" customHeight="1">
      <c r="A43" s="551" t="s">
        <v>407</v>
      </c>
      <c r="B43" s="510" t="s">
        <v>324</v>
      </c>
      <c r="C43" s="511"/>
      <c r="D43" s="511">
        <v>490683.80904499994</v>
      </c>
      <c r="E43" s="511"/>
      <c r="F43" s="511">
        <v>490683.80904499994</v>
      </c>
      <c r="G43" s="553">
        <v>2560425.6465449999</v>
      </c>
    </row>
    <row r="44" spans="1:7" ht="10.5" customHeight="1">
      <c r="A44" s="551"/>
      <c r="B44" s="510" t="s">
        <v>325</v>
      </c>
      <c r="C44" s="511"/>
      <c r="D44" s="511">
        <v>104043.8995725</v>
      </c>
      <c r="E44" s="511"/>
      <c r="F44" s="511">
        <v>104043.8995725</v>
      </c>
      <c r="G44" s="553">
        <v>242051.72666249998</v>
      </c>
    </row>
    <row r="45" spans="1:7" ht="10.5" customHeight="1">
      <c r="A45" s="551"/>
      <c r="B45" s="510" t="s">
        <v>427</v>
      </c>
      <c r="C45" s="511">
        <v>202437.080865</v>
      </c>
      <c r="D45" s="511"/>
      <c r="E45" s="511"/>
      <c r="F45" s="511">
        <v>202437.080865</v>
      </c>
      <c r="G45" s="553">
        <v>1829445.0601924998</v>
      </c>
    </row>
    <row r="46" spans="1:7" ht="10.5" customHeight="1">
      <c r="A46" s="551"/>
      <c r="B46" s="510" t="s">
        <v>326</v>
      </c>
      <c r="C46" s="511">
        <v>3285.2542400000002</v>
      </c>
      <c r="D46" s="511"/>
      <c r="E46" s="511"/>
      <c r="F46" s="511">
        <v>3285.2542400000002</v>
      </c>
      <c r="G46" s="553">
        <v>32985.4599925</v>
      </c>
    </row>
    <row r="47" spans="1:7" ht="10.5" customHeight="1">
      <c r="A47" s="552" t="s">
        <v>573</v>
      </c>
      <c r="B47" s="408"/>
      <c r="C47" s="409">
        <v>205722.33510500001</v>
      </c>
      <c r="D47" s="409">
        <v>594727.70861749991</v>
      </c>
      <c r="E47" s="409"/>
      <c r="F47" s="409">
        <v>800450.04372249998</v>
      </c>
      <c r="G47" s="554">
        <v>4664907.8933924995</v>
      </c>
    </row>
    <row r="48" spans="1:7" ht="10.5" customHeight="1">
      <c r="A48" s="551" t="s">
        <v>519</v>
      </c>
      <c r="B48" s="510" t="s">
        <v>732</v>
      </c>
      <c r="C48" s="511">
        <v>24978.724379999996</v>
      </c>
      <c r="D48" s="511"/>
      <c r="E48" s="511"/>
      <c r="F48" s="511">
        <v>24978.724379999996</v>
      </c>
      <c r="G48" s="553">
        <v>58996.269489999991</v>
      </c>
    </row>
    <row r="49" spans="1:8" ht="10.5" customHeight="1">
      <c r="A49" s="552" t="s">
        <v>574</v>
      </c>
      <c r="B49" s="408"/>
      <c r="C49" s="409">
        <v>24978.724379999996</v>
      </c>
      <c r="D49" s="409"/>
      <c r="E49" s="409"/>
      <c r="F49" s="409">
        <v>24978.724379999996</v>
      </c>
      <c r="G49" s="554">
        <v>58996.269489999991</v>
      </c>
    </row>
    <row r="50" spans="1:8" ht="10.5" customHeight="1">
      <c r="A50" s="551" t="s">
        <v>115</v>
      </c>
      <c r="B50" s="510" t="s">
        <v>72</v>
      </c>
      <c r="C50" s="511"/>
      <c r="D50" s="511"/>
      <c r="E50" s="511">
        <v>1392.164305</v>
      </c>
      <c r="F50" s="511">
        <v>1392.164305</v>
      </c>
      <c r="G50" s="553">
        <v>10471.098765000001</v>
      </c>
    </row>
    <row r="51" spans="1:8" ht="10.5" customHeight="1">
      <c r="A51" s="552" t="s">
        <v>575</v>
      </c>
      <c r="B51" s="408"/>
      <c r="C51" s="409"/>
      <c r="D51" s="409"/>
      <c r="E51" s="409">
        <v>1392.164305</v>
      </c>
      <c r="F51" s="409">
        <v>1392.164305</v>
      </c>
      <c r="G51" s="554">
        <v>10471.098765000001</v>
      </c>
      <c r="H51" s="321"/>
    </row>
    <row r="52" spans="1:8" ht="10.5" customHeight="1">
      <c r="A52" s="551" t="s">
        <v>483</v>
      </c>
      <c r="B52" s="510" t="s">
        <v>231</v>
      </c>
      <c r="C52" s="511"/>
      <c r="D52" s="511"/>
      <c r="E52" s="511">
        <v>3276.9573</v>
      </c>
      <c r="F52" s="511">
        <v>3276.9573</v>
      </c>
      <c r="G52" s="553">
        <v>20520.826999999997</v>
      </c>
    </row>
    <row r="53" spans="1:8" ht="10.5" customHeight="1">
      <c r="A53" s="552" t="s">
        <v>576</v>
      </c>
      <c r="B53" s="408"/>
      <c r="C53" s="409"/>
      <c r="D53" s="409"/>
      <c r="E53" s="409">
        <v>3276.9573</v>
      </c>
      <c r="F53" s="409">
        <v>3276.9573</v>
      </c>
      <c r="G53" s="554">
        <v>20520.826999999997</v>
      </c>
    </row>
    <row r="54" spans="1:8" ht="10.5" customHeight="1">
      <c r="A54" s="551" t="s">
        <v>110</v>
      </c>
      <c r="B54" s="510" t="s">
        <v>81</v>
      </c>
      <c r="C54" s="511"/>
      <c r="D54" s="511"/>
      <c r="E54" s="511">
        <v>3271.6496075</v>
      </c>
      <c r="F54" s="511">
        <v>3271.6496075</v>
      </c>
      <c r="G54" s="553">
        <v>23076.196455000001</v>
      </c>
    </row>
    <row r="55" spans="1:8" ht="10.5" customHeight="1">
      <c r="A55" s="552" t="s">
        <v>577</v>
      </c>
      <c r="B55" s="408"/>
      <c r="C55" s="409"/>
      <c r="D55" s="409"/>
      <c r="E55" s="409">
        <v>3271.6496075</v>
      </c>
      <c r="F55" s="409">
        <v>3271.6496075</v>
      </c>
      <c r="G55" s="554">
        <v>23076.196455000001</v>
      </c>
    </row>
    <row r="56" spans="1:8" ht="10.5" customHeight="1">
      <c r="A56" s="551" t="s">
        <v>239</v>
      </c>
      <c r="B56" s="510" t="s">
        <v>71</v>
      </c>
      <c r="C56" s="511"/>
      <c r="D56" s="511"/>
      <c r="E56" s="511">
        <v>3938.9684649999999</v>
      </c>
      <c r="F56" s="511">
        <v>3938.9684649999999</v>
      </c>
      <c r="G56" s="553">
        <v>21248.012844999997</v>
      </c>
    </row>
    <row r="57" spans="1:8" ht="10.5" customHeight="1">
      <c r="A57" s="551"/>
      <c r="B57" s="510" t="s">
        <v>327</v>
      </c>
      <c r="C57" s="511">
        <v>81378.295077500006</v>
      </c>
      <c r="D57" s="511"/>
      <c r="E57" s="511"/>
      <c r="F57" s="511">
        <v>81378.295077500006</v>
      </c>
      <c r="G57" s="553">
        <v>853231.60869000002</v>
      </c>
    </row>
    <row r="58" spans="1:8" ht="10.5" customHeight="1">
      <c r="A58" s="551"/>
      <c r="B58" s="510" t="s">
        <v>328</v>
      </c>
      <c r="C58" s="511">
        <v>65663.571620000002</v>
      </c>
      <c r="D58" s="511"/>
      <c r="E58" s="511"/>
      <c r="F58" s="511">
        <v>65663.571620000002</v>
      </c>
      <c r="G58" s="553">
        <v>345383.89350499999</v>
      </c>
    </row>
    <row r="59" spans="1:8" ht="10.5" customHeight="1">
      <c r="A59" s="551"/>
      <c r="B59" s="510" t="s">
        <v>62</v>
      </c>
      <c r="C59" s="511"/>
      <c r="D59" s="511"/>
      <c r="E59" s="511">
        <v>7075.3433150000001</v>
      </c>
      <c r="F59" s="511">
        <v>7075.3433150000001</v>
      </c>
      <c r="G59" s="553">
        <v>38707.972744999999</v>
      </c>
    </row>
    <row r="60" spans="1:8" ht="10.5" customHeight="1">
      <c r="A60" s="552" t="s">
        <v>578</v>
      </c>
      <c r="B60" s="408"/>
      <c r="C60" s="409">
        <v>147041.86669749999</v>
      </c>
      <c r="D60" s="409"/>
      <c r="E60" s="409">
        <v>11014.31178</v>
      </c>
      <c r="F60" s="409">
        <v>158056.17847750001</v>
      </c>
      <c r="G60" s="554">
        <v>1258571.4877849999</v>
      </c>
    </row>
    <row r="61" spans="1:8" ht="10.5" customHeight="1">
      <c r="A61" s="551" t="s">
        <v>240</v>
      </c>
      <c r="B61" s="510" t="s">
        <v>78</v>
      </c>
      <c r="C61" s="511"/>
      <c r="D61" s="511"/>
      <c r="E61" s="511">
        <v>13239.48869</v>
      </c>
      <c r="F61" s="511">
        <v>13239.48869</v>
      </c>
      <c r="G61" s="553">
        <v>89639.711484999993</v>
      </c>
    </row>
    <row r="62" spans="1:8" ht="10.5" customHeight="1">
      <c r="A62" s="552" t="s">
        <v>579</v>
      </c>
      <c r="B62" s="408"/>
      <c r="C62" s="409"/>
      <c r="D62" s="409"/>
      <c r="E62" s="409">
        <v>13239.48869</v>
      </c>
      <c r="F62" s="409">
        <v>13239.48869</v>
      </c>
      <c r="G62" s="554">
        <v>89639.711484999993</v>
      </c>
    </row>
    <row r="63" spans="1:8" ht="10.5" customHeight="1">
      <c r="A63" s="551" t="s">
        <v>99</v>
      </c>
      <c r="B63" s="510" t="s">
        <v>76</v>
      </c>
      <c r="C63" s="511"/>
      <c r="D63" s="511"/>
      <c r="E63" s="511">
        <v>38573.131142500002</v>
      </c>
      <c r="F63" s="511">
        <v>38573.131142500002</v>
      </c>
      <c r="G63" s="553">
        <v>257645.90348750001</v>
      </c>
    </row>
    <row r="64" spans="1:8" ht="10.5" customHeight="1">
      <c r="A64" s="552" t="s">
        <v>580</v>
      </c>
      <c r="B64" s="408"/>
      <c r="C64" s="409"/>
      <c r="D64" s="409"/>
      <c r="E64" s="409">
        <v>38573.131142500002</v>
      </c>
      <c r="F64" s="409">
        <v>38573.131142500002</v>
      </c>
      <c r="G64" s="554">
        <v>257645.90348750001</v>
      </c>
    </row>
    <row r="65" spans="1:7" ht="10.5" customHeight="1">
      <c r="A65" s="551" t="s">
        <v>107</v>
      </c>
      <c r="B65" s="510" t="s">
        <v>230</v>
      </c>
      <c r="C65" s="511"/>
      <c r="D65" s="511"/>
      <c r="E65" s="511">
        <v>3908.5683924999998</v>
      </c>
      <c r="F65" s="511">
        <v>3908.5683924999998</v>
      </c>
      <c r="G65" s="553">
        <v>27905.410262500001</v>
      </c>
    </row>
    <row r="66" spans="1:7" ht="10.5" customHeight="1">
      <c r="A66" s="552" t="s">
        <v>581</v>
      </c>
      <c r="B66" s="408"/>
      <c r="C66" s="409"/>
      <c r="D66" s="409"/>
      <c r="E66" s="409">
        <v>3908.5683924999998</v>
      </c>
      <c r="F66" s="409">
        <v>3908.5683924999998</v>
      </c>
      <c r="G66" s="554">
        <v>27905.410262500001</v>
      </c>
    </row>
    <row r="67" spans="1:7" ht="10.5" customHeight="1">
      <c r="A67" s="551" t="s">
        <v>408</v>
      </c>
      <c r="B67" s="510" t="s">
        <v>85</v>
      </c>
      <c r="C67" s="511"/>
      <c r="D67" s="511"/>
      <c r="E67" s="511">
        <v>1736.5401999999999</v>
      </c>
      <c r="F67" s="511">
        <v>1736.5401999999999</v>
      </c>
      <c r="G67" s="553">
        <v>11312.938839999999</v>
      </c>
    </row>
    <row r="68" spans="1:7" ht="10.5" customHeight="1">
      <c r="A68" s="551"/>
      <c r="B68" s="510" t="s">
        <v>84</v>
      </c>
      <c r="C68" s="511"/>
      <c r="D68" s="511"/>
      <c r="E68" s="511">
        <v>2099.0672500000001</v>
      </c>
      <c r="F68" s="511">
        <v>2099.0672500000001</v>
      </c>
      <c r="G68" s="553">
        <v>15972.447822499998</v>
      </c>
    </row>
    <row r="69" spans="1:7" ht="10.5" customHeight="1">
      <c r="A69" s="551"/>
      <c r="B69" s="510" t="s">
        <v>424</v>
      </c>
      <c r="C69" s="511"/>
      <c r="D69" s="511"/>
      <c r="E69" s="511">
        <v>477.90940000000001</v>
      </c>
      <c r="F69" s="511">
        <v>477.90940000000001</v>
      </c>
      <c r="G69" s="553">
        <v>7230.6828575</v>
      </c>
    </row>
    <row r="70" spans="1:7" ht="10.5" customHeight="1">
      <c r="A70" s="551"/>
      <c r="B70" s="510" t="s">
        <v>475</v>
      </c>
      <c r="C70" s="511"/>
      <c r="D70" s="511"/>
      <c r="E70" s="511">
        <v>1416.6322249999998</v>
      </c>
      <c r="F70" s="511">
        <v>1416.6322249999998</v>
      </c>
      <c r="G70" s="553">
        <v>6578.4292124999993</v>
      </c>
    </row>
    <row r="71" spans="1:7" ht="10.5" customHeight="1">
      <c r="A71" s="552" t="s">
        <v>582</v>
      </c>
      <c r="B71" s="408"/>
      <c r="C71" s="409"/>
      <c r="D71" s="409"/>
      <c r="E71" s="409">
        <v>5730.1490749999994</v>
      </c>
      <c r="F71" s="409">
        <v>5730.1490749999994</v>
      </c>
      <c r="G71" s="554">
        <v>41094.498732499997</v>
      </c>
    </row>
    <row r="72" spans="1:7" ht="10.5" customHeight="1">
      <c r="A72" s="551" t="s">
        <v>241</v>
      </c>
      <c r="B72" s="510" t="s">
        <v>329</v>
      </c>
      <c r="C72" s="511"/>
      <c r="D72" s="511">
        <v>597.97893999999997</v>
      </c>
      <c r="E72" s="511"/>
      <c r="F72" s="511">
        <v>597.97893999999997</v>
      </c>
      <c r="G72" s="553">
        <v>958.98761500000001</v>
      </c>
    </row>
    <row r="73" spans="1:7" ht="10.5" customHeight="1">
      <c r="A73" s="552" t="s">
        <v>583</v>
      </c>
      <c r="B73" s="408"/>
      <c r="C73" s="409"/>
      <c r="D73" s="409">
        <v>597.97893999999997</v>
      </c>
      <c r="E73" s="409"/>
      <c r="F73" s="409">
        <v>597.97893999999997</v>
      </c>
      <c r="G73" s="554">
        <v>958.98761500000001</v>
      </c>
    </row>
    <row r="74" spans="1:7">
      <c r="A74" s="551" t="s">
        <v>484</v>
      </c>
      <c r="B74" s="510" t="s">
        <v>82</v>
      </c>
      <c r="C74" s="511"/>
      <c r="D74" s="511"/>
      <c r="E74" s="511">
        <v>3302.5214824999998</v>
      </c>
      <c r="F74" s="511">
        <v>3302.5214824999998</v>
      </c>
      <c r="G74" s="553">
        <v>20622.346194999998</v>
      </c>
    </row>
    <row r="75" spans="1:7">
      <c r="A75" s="552" t="s">
        <v>584</v>
      </c>
      <c r="B75" s="408"/>
      <c r="C75" s="409"/>
      <c r="D75" s="409"/>
      <c r="E75" s="409">
        <v>3302.5214824999998</v>
      </c>
      <c r="F75" s="409">
        <v>3302.5214824999998</v>
      </c>
      <c r="G75" s="554">
        <v>20622.346194999998</v>
      </c>
    </row>
  </sheetData>
  <mergeCells count="5">
    <mergeCell ref="A1:A4"/>
    <mergeCell ref="B1:B4"/>
    <mergeCell ref="C1:F1"/>
    <mergeCell ref="C2:E2"/>
    <mergeCell ref="F2:F3"/>
  </mergeCells>
  <pageMargins left="0.70866141732283472" right="0.47244094488188981" top="0.87634615384615389" bottom="0.2026923076923077" header="0.31496062992125984" footer="0.31496062992125984"/>
  <pageSetup paperSize="9" scale="93" orientation="portrait" r:id="rId1"/>
  <headerFooter>
    <oddHeader>&amp;R&amp;7Informe de la Operación Mensual - Junio 2021
INFSGI-MES-06-2021
12/07/2021
Versión: 01</oddHeader>
    <oddFooter>&amp;L&amp;7COES, 2021&amp;C19&amp;R&amp;7Dirección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5"/>
  <sheetViews>
    <sheetView showGridLines="0" view="pageBreakPreview" zoomScale="130" zoomScaleNormal="100" zoomScaleSheetLayoutView="130" zoomScalePageLayoutView="130" workbookViewId="0">
      <selection activeCell="A47" sqref="A47:G47"/>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900" t="s">
        <v>248</v>
      </c>
      <c r="B1" s="903" t="s">
        <v>54</v>
      </c>
      <c r="C1" s="906" t="str">
        <f>+'19. ANEXOI-2'!C1:F1</f>
        <v>ENERGÍA PRODUCIDA JUNIO 2021</v>
      </c>
      <c r="D1" s="906"/>
      <c r="E1" s="906"/>
      <c r="F1" s="906"/>
      <c r="G1" s="515" t="s">
        <v>274</v>
      </c>
      <c r="H1" s="203"/>
    </row>
    <row r="2" spans="1:8" ht="11.25" customHeight="1">
      <c r="A2" s="901"/>
      <c r="B2" s="904"/>
      <c r="C2" s="907" t="s">
        <v>275</v>
      </c>
      <c r="D2" s="907"/>
      <c r="E2" s="907"/>
      <c r="F2" s="908" t="str">
        <f>"TOTAL 
"&amp;UPPER('1. Resumen'!Q4)</f>
        <v>TOTAL 
JUNIO</v>
      </c>
      <c r="G2" s="516" t="s">
        <v>276</v>
      </c>
      <c r="H2" s="194"/>
    </row>
    <row r="3" spans="1:8" ht="11.25" customHeight="1">
      <c r="A3" s="901"/>
      <c r="B3" s="904"/>
      <c r="C3" s="507" t="s">
        <v>213</v>
      </c>
      <c r="D3" s="507" t="s">
        <v>214</v>
      </c>
      <c r="E3" s="507" t="s">
        <v>277</v>
      </c>
      <c r="F3" s="909"/>
      <c r="G3" s="516">
        <v>2021</v>
      </c>
      <c r="H3" s="196"/>
    </row>
    <row r="4" spans="1:8" ht="11.25" customHeight="1">
      <c r="A4" s="910"/>
      <c r="B4" s="911"/>
      <c r="C4" s="508" t="s">
        <v>278</v>
      </c>
      <c r="D4" s="508" t="s">
        <v>278</v>
      </c>
      <c r="E4" s="508" t="s">
        <v>278</v>
      </c>
      <c r="F4" s="508" t="s">
        <v>278</v>
      </c>
      <c r="G4" s="517" t="s">
        <v>206</v>
      </c>
      <c r="H4" s="196"/>
    </row>
    <row r="5" spans="1:8" s="301" customFormat="1" ht="9" customHeight="1">
      <c r="A5" s="551" t="s">
        <v>439</v>
      </c>
      <c r="B5" s="510" t="s">
        <v>450</v>
      </c>
      <c r="C5" s="511"/>
      <c r="D5" s="511"/>
      <c r="E5" s="511">
        <v>8643.8365699999995</v>
      </c>
      <c r="F5" s="511">
        <v>8643.8365699999995</v>
      </c>
      <c r="G5" s="553">
        <v>78479.625774999993</v>
      </c>
    </row>
    <row r="6" spans="1:8" s="301" customFormat="1" ht="9" customHeight="1">
      <c r="A6" s="552" t="s">
        <v>585</v>
      </c>
      <c r="B6" s="408"/>
      <c r="C6" s="409"/>
      <c r="D6" s="409"/>
      <c r="E6" s="409">
        <v>8643.8365699999995</v>
      </c>
      <c r="F6" s="409">
        <v>8643.8365699999995</v>
      </c>
      <c r="G6" s="554">
        <v>78479.625774999993</v>
      </c>
    </row>
    <row r="7" spans="1:8" s="301" customFormat="1" ht="9" customHeight="1">
      <c r="A7" s="551" t="s">
        <v>104</v>
      </c>
      <c r="B7" s="510" t="s">
        <v>61</v>
      </c>
      <c r="C7" s="511"/>
      <c r="D7" s="511"/>
      <c r="E7" s="511">
        <v>11959.851362500001</v>
      </c>
      <c r="F7" s="511">
        <v>11959.851362500001</v>
      </c>
      <c r="G7" s="553">
        <v>74590.711537499999</v>
      </c>
    </row>
    <row r="8" spans="1:8" s="301" customFormat="1" ht="9" customHeight="1">
      <c r="A8" s="552" t="s">
        <v>586</v>
      </c>
      <c r="B8" s="408"/>
      <c r="C8" s="409"/>
      <c r="D8" s="409"/>
      <c r="E8" s="409">
        <v>11959.851362500001</v>
      </c>
      <c r="F8" s="409">
        <v>11959.851362500001</v>
      </c>
      <c r="G8" s="554">
        <v>74590.711537499999</v>
      </c>
    </row>
    <row r="9" spans="1:8" s="301" customFormat="1" ht="9" customHeight="1">
      <c r="A9" s="551" t="s">
        <v>242</v>
      </c>
      <c r="B9" s="510" t="s">
        <v>330</v>
      </c>
      <c r="C9" s="511"/>
      <c r="D9" s="511">
        <v>807.73220000000003</v>
      </c>
      <c r="E9" s="511"/>
      <c r="F9" s="511">
        <v>807.73220000000003</v>
      </c>
      <c r="G9" s="553">
        <v>2011.04675</v>
      </c>
    </row>
    <row r="10" spans="1:8" s="301" customFormat="1" ht="9" customHeight="1">
      <c r="A10" s="552" t="s">
        <v>587</v>
      </c>
      <c r="B10" s="408"/>
      <c r="C10" s="409"/>
      <c r="D10" s="409">
        <v>807.73220000000003</v>
      </c>
      <c r="E10" s="409"/>
      <c r="F10" s="409">
        <v>807.73220000000003</v>
      </c>
      <c r="G10" s="554">
        <v>2011.04675</v>
      </c>
    </row>
    <row r="11" spans="1:8" s="301" customFormat="1" ht="9" customHeight="1">
      <c r="A11" s="551" t="s">
        <v>95</v>
      </c>
      <c r="B11" s="510" t="s">
        <v>331</v>
      </c>
      <c r="C11" s="511">
        <v>44163.2380175</v>
      </c>
      <c r="D11" s="511"/>
      <c r="E11" s="511"/>
      <c r="F11" s="511">
        <v>44163.2380175</v>
      </c>
      <c r="G11" s="553">
        <v>413851.27392499999</v>
      </c>
    </row>
    <row r="12" spans="1:8" s="301" customFormat="1" ht="9" customHeight="1">
      <c r="A12" s="552" t="s">
        <v>588</v>
      </c>
      <c r="B12" s="408"/>
      <c r="C12" s="409">
        <v>44163.2380175</v>
      </c>
      <c r="D12" s="409"/>
      <c r="E12" s="409"/>
      <c r="F12" s="409">
        <v>44163.2380175</v>
      </c>
      <c r="G12" s="554">
        <v>413851.27392499999</v>
      </c>
    </row>
    <row r="13" spans="1:8" s="301" customFormat="1" ht="9" customHeight="1">
      <c r="A13" s="551" t="s">
        <v>426</v>
      </c>
      <c r="B13" s="510" t="s">
        <v>457</v>
      </c>
      <c r="C13" s="511"/>
      <c r="D13" s="511"/>
      <c r="E13" s="511">
        <v>5217.4539999999997</v>
      </c>
      <c r="F13" s="511">
        <v>5217.4539999999997</v>
      </c>
      <c r="G13" s="553">
        <v>19157.682099999998</v>
      </c>
    </row>
    <row r="14" spans="1:8" s="301" customFormat="1" ht="9" customHeight="1">
      <c r="A14" s="552" t="s">
        <v>589</v>
      </c>
      <c r="B14" s="408"/>
      <c r="C14" s="409"/>
      <c r="D14" s="409"/>
      <c r="E14" s="409">
        <v>5217.4539999999997</v>
      </c>
      <c r="F14" s="409">
        <v>5217.4539999999997</v>
      </c>
      <c r="G14" s="554">
        <v>19157.682099999998</v>
      </c>
    </row>
    <row r="15" spans="1:8" s="301" customFormat="1" ht="9" customHeight="1">
      <c r="A15" s="551" t="s">
        <v>399</v>
      </c>
      <c r="B15" s="510" t="s">
        <v>403</v>
      </c>
      <c r="C15" s="511"/>
      <c r="D15" s="511"/>
      <c r="E15" s="511">
        <v>14399.613897499999</v>
      </c>
      <c r="F15" s="511">
        <v>14399.613897499999</v>
      </c>
      <c r="G15" s="553">
        <v>82061.494100000011</v>
      </c>
    </row>
    <row r="16" spans="1:8" s="301" customFormat="1" ht="9" customHeight="1">
      <c r="A16" s="552" t="s">
        <v>590</v>
      </c>
      <c r="B16" s="408"/>
      <c r="C16" s="409"/>
      <c r="D16" s="409"/>
      <c r="E16" s="409">
        <v>14399.613897499999</v>
      </c>
      <c r="F16" s="409">
        <v>14399.613897499999</v>
      </c>
      <c r="G16" s="554">
        <v>82061.494100000011</v>
      </c>
    </row>
    <row r="17" spans="1:7" s="301" customFormat="1" ht="9" customHeight="1">
      <c r="A17" s="551" t="s">
        <v>102</v>
      </c>
      <c r="B17" s="510" t="s">
        <v>332</v>
      </c>
      <c r="C17" s="511"/>
      <c r="D17" s="511">
        <v>4430.6151799999998</v>
      </c>
      <c r="E17" s="511"/>
      <c r="F17" s="511">
        <v>4430.6151799999998</v>
      </c>
      <c r="G17" s="553">
        <v>6402.3511199999994</v>
      </c>
    </row>
    <row r="18" spans="1:7" s="301" customFormat="1" ht="9" customHeight="1">
      <c r="A18" s="552" t="s">
        <v>591</v>
      </c>
      <c r="B18" s="408"/>
      <c r="C18" s="409"/>
      <c r="D18" s="409">
        <v>4430.6151799999998</v>
      </c>
      <c r="E18" s="409"/>
      <c r="F18" s="409">
        <v>4430.6151799999998</v>
      </c>
      <c r="G18" s="554">
        <v>6402.3511199999994</v>
      </c>
    </row>
    <row r="19" spans="1:7" s="301" customFormat="1" ht="9" customHeight="1">
      <c r="A19" s="551" t="s">
        <v>117</v>
      </c>
      <c r="B19" s="510" t="s">
        <v>333</v>
      </c>
      <c r="C19" s="511"/>
      <c r="D19" s="511">
        <v>778.59313499999996</v>
      </c>
      <c r="E19" s="511"/>
      <c r="F19" s="511">
        <v>778.59313499999996</v>
      </c>
      <c r="G19" s="553">
        <v>4329.3566275000003</v>
      </c>
    </row>
    <row r="20" spans="1:7" s="301" customFormat="1" ht="9" customHeight="1">
      <c r="A20" s="552" t="s">
        <v>592</v>
      </c>
      <c r="B20" s="408"/>
      <c r="C20" s="409"/>
      <c r="D20" s="409">
        <v>778.59313499999996</v>
      </c>
      <c r="E20" s="409"/>
      <c r="F20" s="409">
        <v>778.59313499999996</v>
      </c>
      <c r="G20" s="554">
        <v>4329.3566275000003</v>
      </c>
    </row>
    <row r="21" spans="1:7" s="301" customFormat="1" ht="9" customHeight="1">
      <c r="A21" s="551" t="s">
        <v>111</v>
      </c>
      <c r="B21" s="510" t="s">
        <v>451</v>
      </c>
      <c r="C21" s="511"/>
      <c r="D21" s="511"/>
      <c r="E21" s="511">
        <v>12533.313707500001</v>
      </c>
      <c r="F21" s="511">
        <v>12533.313707500001</v>
      </c>
      <c r="G21" s="553">
        <v>83336.981242499998</v>
      </c>
    </row>
    <row r="22" spans="1:7" s="301" customFormat="1" ht="9" customHeight="1">
      <c r="A22" s="551"/>
      <c r="B22" s="510" t="s">
        <v>69</v>
      </c>
      <c r="C22" s="511"/>
      <c r="D22" s="511"/>
      <c r="E22" s="511">
        <v>3711.7004625</v>
      </c>
      <c r="F22" s="511">
        <v>3711.7004625</v>
      </c>
      <c r="G22" s="553">
        <v>28182.146365000001</v>
      </c>
    </row>
    <row r="23" spans="1:7" s="301" customFormat="1" ht="9" customHeight="1">
      <c r="A23" s="552" t="s">
        <v>593</v>
      </c>
      <c r="B23" s="408"/>
      <c r="C23" s="409"/>
      <c r="D23" s="409"/>
      <c r="E23" s="409">
        <v>16245.014170000002</v>
      </c>
      <c r="F23" s="409">
        <v>16245.014170000002</v>
      </c>
      <c r="G23" s="554">
        <v>111519.12760750001</v>
      </c>
    </row>
    <row r="24" spans="1:7" s="301" customFormat="1" ht="9" customHeight="1">
      <c r="A24" s="551" t="s">
        <v>90</v>
      </c>
      <c r="B24" s="510" t="s">
        <v>334</v>
      </c>
      <c r="C24" s="511">
        <v>23196.628925000001</v>
      </c>
      <c r="D24" s="511"/>
      <c r="E24" s="511"/>
      <c r="F24" s="511">
        <v>23196.628925000001</v>
      </c>
      <c r="G24" s="553">
        <v>153007.76736999999</v>
      </c>
    </row>
    <row r="25" spans="1:7" s="301" customFormat="1" ht="9" customHeight="1">
      <c r="A25" s="551"/>
      <c r="B25" s="510" t="s">
        <v>335</v>
      </c>
      <c r="C25" s="511">
        <v>42729.288795</v>
      </c>
      <c r="D25" s="511"/>
      <c r="E25" s="511"/>
      <c r="F25" s="511">
        <v>42729.288795</v>
      </c>
      <c r="G25" s="553">
        <v>534922.46911749989</v>
      </c>
    </row>
    <row r="26" spans="1:7" s="301" customFormat="1" ht="9" customHeight="1">
      <c r="A26" s="551"/>
      <c r="B26" s="510" t="s">
        <v>336</v>
      </c>
      <c r="C26" s="511">
        <v>6680.6939999999995</v>
      </c>
      <c r="D26" s="511"/>
      <c r="E26" s="511"/>
      <c r="F26" s="511">
        <v>6680.6939999999995</v>
      </c>
      <c r="G26" s="553">
        <v>100756.288885</v>
      </c>
    </row>
    <row r="27" spans="1:7" s="301" customFormat="1" ht="9" customHeight="1">
      <c r="A27" s="551"/>
      <c r="B27" s="510" t="s">
        <v>337</v>
      </c>
      <c r="C27" s="511">
        <v>152.43141249999999</v>
      </c>
      <c r="D27" s="511"/>
      <c r="E27" s="511"/>
      <c r="F27" s="511">
        <v>152.43141249999999</v>
      </c>
      <c r="G27" s="553">
        <v>928.33393749999993</v>
      </c>
    </row>
    <row r="28" spans="1:7" s="301" customFormat="1" ht="9" customHeight="1">
      <c r="A28" s="551"/>
      <c r="B28" s="510" t="s">
        <v>338</v>
      </c>
      <c r="C28" s="511">
        <v>14774.130192500001</v>
      </c>
      <c r="D28" s="511"/>
      <c r="E28" s="511"/>
      <c r="F28" s="511">
        <v>14774.130192500001</v>
      </c>
      <c r="G28" s="553">
        <v>131121.27520500001</v>
      </c>
    </row>
    <row r="29" spans="1:7" s="301" customFormat="1" ht="9" customHeight="1">
      <c r="A29" s="551"/>
      <c r="B29" s="510" t="s">
        <v>339</v>
      </c>
      <c r="C29" s="511">
        <v>2153.0954149999998</v>
      </c>
      <c r="D29" s="511"/>
      <c r="E29" s="511"/>
      <c r="F29" s="511">
        <v>2153.0954149999998</v>
      </c>
      <c r="G29" s="553">
        <v>14632.677582499999</v>
      </c>
    </row>
    <row r="30" spans="1:7" s="301" customFormat="1" ht="9" customHeight="1">
      <c r="A30" s="551"/>
      <c r="B30" s="510" t="s">
        <v>340</v>
      </c>
      <c r="C30" s="511">
        <v>5142.8621700000003</v>
      </c>
      <c r="D30" s="511"/>
      <c r="E30" s="511"/>
      <c r="F30" s="511">
        <v>5142.8621700000003</v>
      </c>
      <c r="G30" s="553">
        <v>24180.099030000001</v>
      </c>
    </row>
    <row r="31" spans="1:7" s="301" customFormat="1" ht="9" customHeight="1">
      <c r="A31" s="551"/>
      <c r="B31" s="510" t="s">
        <v>341</v>
      </c>
      <c r="C31" s="511">
        <v>2849.0742300000002</v>
      </c>
      <c r="D31" s="511"/>
      <c r="E31" s="511"/>
      <c r="F31" s="511">
        <v>2849.0742300000002</v>
      </c>
      <c r="G31" s="553">
        <v>15621.968975000002</v>
      </c>
    </row>
    <row r="32" spans="1:7" s="301" customFormat="1" ht="9" customHeight="1">
      <c r="A32" s="551"/>
      <c r="B32" s="510" t="s">
        <v>342</v>
      </c>
      <c r="C32" s="511">
        <v>1509.7744275</v>
      </c>
      <c r="D32" s="511"/>
      <c r="E32" s="511"/>
      <c r="F32" s="511">
        <v>1509.7744275</v>
      </c>
      <c r="G32" s="553">
        <v>14805.3309875</v>
      </c>
    </row>
    <row r="33" spans="1:8" s="301" customFormat="1" ht="9" customHeight="1">
      <c r="A33" s="551"/>
      <c r="B33" s="510" t="s">
        <v>343</v>
      </c>
      <c r="C33" s="511">
        <v>248.40172000000001</v>
      </c>
      <c r="D33" s="511"/>
      <c r="E33" s="511"/>
      <c r="F33" s="511">
        <v>248.40172000000001</v>
      </c>
      <c r="G33" s="553">
        <v>1742.9516775</v>
      </c>
    </row>
    <row r="34" spans="1:8" s="301" customFormat="1" ht="9" customHeight="1">
      <c r="A34" s="551"/>
      <c r="B34" s="510" t="s">
        <v>344</v>
      </c>
      <c r="C34" s="511">
        <v>201.42075249999999</v>
      </c>
      <c r="D34" s="511"/>
      <c r="E34" s="511"/>
      <c r="F34" s="511">
        <v>201.42075249999999</v>
      </c>
      <c r="G34" s="553">
        <v>1436.83132</v>
      </c>
    </row>
    <row r="35" spans="1:8" s="301" customFormat="1" ht="9" customHeight="1">
      <c r="A35" s="551"/>
      <c r="B35" s="510" t="s">
        <v>345</v>
      </c>
      <c r="C35" s="511">
        <v>55119.030890000002</v>
      </c>
      <c r="D35" s="511"/>
      <c r="E35" s="511"/>
      <c r="F35" s="511">
        <v>55119.030890000002</v>
      </c>
      <c r="G35" s="553">
        <v>396399.92213249998</v>
      </c>
    </row>
    <row r="36" spans="1:8" s="301" customFormat="1" ht="9" customHeight="1">
      <c r="A36" s="552" t="s">
        <v>594</v>
      </c>
      <c r="B36" s="408"/>
      <c r="C36" s="409">
        <v>154756.83293</v>
      </c>
      <c r="D36" s="409"/>
      <c r="E36" s="409"/>
      <c r="F36" s="409">
        <v>154756.83293</v>
      </c>
      <c r="G36" s="554">
        <v>1389555.91622</v>
      </c>
    </row>
    <row r="37" spans="1:8" s="301" customFormat="1" ht="9" customHeight="1">
      <c r="A37" s="551" t="s">
        <v>109</v>
      </c>
      <c r="B37" s="510" t="s">
        <v>229</v>
      </c>
      <c r="C37" s="511"/>
      <c r="D37" s="511"/>
      <c r="E37" s="511">
        <v>3441.9913624999999</v>
      </c>
      <c r="F37" s="511">
        <v>3441.9913624999999</v>
      </c>
      <c r="G37" s="553">
        <v>27184.993282500003</v>
      </c>
    </row>
    <row r="38" spans="1:8" s="301" customFormat="1" ht="9" customHeight="1">
      <c r="A38" s="552" t="s">
        <v>595</v>
      </c>
      <c r="B38" s="408"/>
      <c r="C38" s="409"/>
      <c r="D38" s="409"/>
      <c r="E38" s="409">
        <v>3441.9913624999999</v>
      </c>
      <c r="F38" s="409">
        <v>3441.9913624999999</v>
      </c>
      <c r="G38" s="554">
        <v>27184.993282500003</v>
      </c>
    </row>
    <row r="39" spans="1:8" s="301" customFormat="1" ht="9" customHeight="1">
      <c r="A39" s="551" t="s">
        <v>100</v>
      </c>
      <c r="B39" s="510" t="s">
        <v>428</v>
      </c>
      <c r="C39" s="511"/>
      <c r="D39" s="511">
        <v>78170.038577500003</v>
      </c>
      <c r="E39" s="511"/>
      <c r="F39" s="511">
        <v>78170.038577500003</v>
      </c>
      <c r="G39" s="553">
        <v>247037.3179125</v>
      </c>
    </row>
    <row r="40" spans="1:8" s="301" customFormat="1" ht="8.25" customHeight="1">
      <c r="A40" s="552" t="s">
        <v>596</v>
      </c>
      <c r="B40" s="408"/>
      <c r="C40" s="409"/>
      <c r="D40" s="409">
        <v>78170.038577500003</v>
      </c>
      <c r="E40" s="409"/>
      <c r="F40" s="409">
        <v>78170.038577500003</v>
      </c>
      <c r="G40" s="554">
        <v>247037.3179125</v>
      </c>
    </row>
    <row r="41" spans="1:8" s="301" customFormat="1" ht="9" customHeight="1">
      <c r="A41" s="551" t="s">
        <v>105</v>
      </c>
      <c r="B41" s="510" t="s">
        <v>346</v>
      </c>
      <c r="C41" s="511"/>
      <c r="D41" s="511">
        <v>22330.118052500002</v>
      </c>
      <c r="E41" s="511"/>
      <c r="F41" s="511">
        <v>22330.118052500002</v>
      </c>
      <c r="G41" s="553">
        <v>71650.333852500014</v>
      </c>
    </row>
    <row r="42" spans="1:8" s="301" customFormat="1" ht="9" customHeight="1">
      <c r="A42" s="552" t="s">
        <v>597</v>
      </c>
      <c r="B42" s="408"/>
      <c r="C42" s="409"/>
      <c r="D42" s="409">
        <v>22330.118052500002</v>
      </c>
      <c r="E42" s="409"/>
      <c r="F42" s="409">
        <v>22330.118052500002</v>
      </c>
      <c r="G42" s="554">
        <v>71650.333852500014</v>
      </c>
    </row>
    <row r="43" spans="1:8">
      <c r="A43" s="393" t="s">
        <v>419</v>
      </c>
      <c r="B43" s="393"/>
      <c r="C43" s="392">
        <v>1997271.7730950003</v>
      </c>
      <c r="D43" s="392">
        <v>2054496.7017575002</v>
      </c>
      <c r="E43" s="392">
        <v>386429.91485750006</v>
      </c>
      <c r="F43" s="392">
        <v>4438198.3897099998</v>
      </c>
      <c r="G43" s="518">
        <v>26624930.628644995</v>
      </c>
    </row>
    <row r="44" spans="1:8">
      <c r="A44" s="393" t="s">
        <v>347</v>
      </c>
      <c r="B44" s="393"/>
      <c r="C44" s="394"/>
      <c r="D44" s="394"/>
      <c r="E44" s="420"/>
      <c r="F44" s="395">
        <f>+'3. Tipo Generación'!D14*1000</f>
        <v>7683.6916000000019</v>
      </c>
      <c r="G44" s="519">
        <f>+'4. Tipo Recurso'!$G$21*1000</f>
        <v>28662.234530000002</v>
      </c>
    </row>
    <row r="45" spans="1:8">
      <c r="A45" s="520" t="s">
        <v>348</v>
      </c>
      <c r="B45" s="393"/>
      <c r="C45" s="394"/>
      <c r="D45" s="394"/>
      <c r="E45" s="420"/>
      <c r="F45" s="395"/>
      <c r="G45" s="519"/>
    </row>
    <row r="46" spans="1:8" ht="6.75" customHeight="1">
      <c r="A46" s="521"/>
      <c r="B46" s="521"/>
      <c r="C46" s="521"/>
      <c r="D46" s="521"/>
      <c r="E46" s="521"/>
      <c r="F46" s="521"/>
      <c r="G46" s="521"/>
    </row>
    <row r="47" spans="1:8" ht="23.25" customHeight="1">
      <c r="A47" s="912" t="s">
        <v>459</v>
      </c>
      <c r="B47" s="912"/>
      <c r="C47" s="912"/>
      <c r="D47" s="912"/>
      <c r="E47" s="912"/>
      <c r="F47" s="912"/>
      <c r="G47" s="912"/>
    </row>
    <row r="48" spans="1:8" ht="17.25" customHeight="1">
      <c r="A48" s="567"/>
      <c r="B48" s="567"/>
      <c r="C48" s="567"/>
      <c r="D48" s="567"/>
      <c r="E48" s="567"/>
      <c r="F48" s="567"/>
      <c r="G48" s="567"/>
      <c r="H48" s="46"/>
    </row>
    <row r="49" spans="1:8" ht="17.25" customHeight="1">
      <c r="A49" s="754" t="s">
        <v>520</v>
      </c>
      <c r="B49" s="567"/>
      <c r="C49" s="567"/>
      <c r="D49" s="567"/>
      <c r="E49" s="567"/>
      <c r="F49" s="567"/>
      <c r="G49" s="567"/>
      <c r="H49" s="46"/>
    </row>
    <row r="50" spans="1:8" s="329" customFormat="1" ht="17.25" customHeight="1">
      <c r="A50" s="755" t="s">
        <v>521</v>
      </c>
      <c r="B50" s="567"/>
      <c r="C50" s="567"/>
      <c r="D50" s="567"/>
      <c r="E50" s="567"/>
      <c r="F50" s="567"/>
      <c r="G50" s="567"/>
      <c r="H50" s="46"/>
    </row>
    <row r="51" spans="1:8" ht="17.25" customHeight="1">
      <c r="A51" s="755" t="s">
        <v>610</v>
      </c>
      <c r="B51" s="567"/>
      <c r="C51" s="567"/>
      <c r="D51" s="567"/>
      <c r="E51" s="567"/>
      <c r="F51" s="567"/>
      <c r="G51" s="567"/>
      <c r="H51" s="46"/>
    </row>
    <row r="52" spans="1:8" ht="17.25" customHeight="1">
      <c r="A52" s="755" t="s">
        <v>731</v>
      </c>
      <c r="B52" s="275"/>
      <c r="C52" s="275"/>
      <c r="D52" s="275"/>
      <c r="E52" s="275"/>
      <c r="F52" s="275"/>
      <c r="G52" s="46"/>
      <c r="H52" s="46"/>
    </row>
    <row r="53" spans="1:8" ht="17.25" customHeight="1">
      <c r="A53" s="567"/>
      <c r="B53" s="275"/>
      <c r="C53" s="275"/>
      <c r="D53" s="275"/>
      <c r="E53" s="275"/>
      <c r="F53" s="275"/>
      <c r="G53" s="46"/>
      <c r="H53" s="46"/>
    </row>
    <row r="54" spans="1:8" ht="22.5" customHeight="1">
      <c r="A54" s="705"/>
      <c r="B54" s="705"/>
      <c r="C54" s="705"/>
      <c r="D54" s="705"/>
      <c r="E54" s="705"/>
      <c r="F54" s="705"/>
      <c r="G54" s="705"/>
    </row>
    <row r="55" spans="1:8" ht="16.5" customHeight="1">
      <c r="A55" s="567"/>
      <c r="B55" s="271"/>
      <c r="C55" s="271"/>
      <c r="D55" s="271"/>
      <c r="E55" s="271"/>
      <c r="F55" s="271"/>
    </row>
    <row r="56" spans="1:8" s="574" customFormat="1" ht="16.5" customHeight="1">
      <c r="A56" s="567"/>
      <c r="B56" s="271"/>
      <c r="C56" s="271"/>
      <c r="D56" s="271"/>
      <c r="E56" s="271"/>
      <c r="F56" s="271"/>
    </row>
    <row r="57" spans="1:8" s="574" customFormat="1" ht="16.5" customHeight="1">
      <c r="A57" s="567"/>
      <c r="B57" s="271"/>
      <c r="C57" s="271"/>
      <c r="D57" s="271"/>
      <c r="E57" s="271"/>
      <c r="F57" s="271"/>
    </row>
    <row r="58" spans="1:8">
      <c r="A58" s="301"/>
      <c r="B58" s="271"/>
      <c r="C58" s="271"/>
      <c r="D58" s="271"/>
      <c r="E58" s="271"/>
      <c r="F58" s="271"/>
    </row>
    <row r="59" spans="1:8">
      <c r="A59" s="301"/>
      <c r="B59" s="271"/>
      <c r="C59" s="271"/>
      <c r="D59" s="271"/>
      <c r="E59" s="271"/>
      <c r="F59" s="271"/>
    </row>
    <row r="60" spans="1:8">
      <c r="A60" s="301"/>
      <c r="B60" s="271"/>
      <c r="C60" s="271"/>
      <c r="D60" s="271"/>
      <c r="E60" s="271"/>
      <c r="F60" s="271"/>
    </row>
    <row r="61" spans="1:8">
      <c r="A61" s="301"/>
      <c r="B61" s="271"/>
      <c r="C61" s="271"/>
      <c r="D61" s="271"/>
      <c r="E61" s="271"/>
      <c r="F61" s="271"/>
    </row>
    <row r="62" spans="1:8">
      <c r="A62" s="301"/>
      <c r="B62" s="271"/>
      <c r="C62" s="271"/>
      <c r="D62" s="271"/>
      <c r="E62" s="271"/>
      <c r="F62" s="271"/>
    </row>
    <row r="63" spans="1:8">
      <c r="A63" s="301"/>
    </row>
    <row r="64" spans="1:8">
      <c r="A64" s="301"/>
    </row>
    <row r="65" spans="1:1">
      <c r="A65" s="301"/>
    </row>
  </sheetData>
  <mergeCells count="6">
    <mergeCell ref="A47:G47"/>
    <mergeCell ref="A1:A4"/>
    <mergeCell ref="B1:B4"/>
    <mergeCell ref="C1:F1"/>
    <mergeCell ref="C2:E2"/>
    <mergeCell ref="F2:F3"/>
  </mergeCells>
  <phoneticPr fontId="13" type="noConversion"/>
  <pageMargins left="0.70866141732283472" right="0.47244094488188981"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110" zoomScaleNormal="100" zoomScaleSheetLayoutView="110" zoomScalePageLayoutView="115" workbookViewId="0">
      <selection activeCell="D18" sqref="D18"/>
    </sheetView>
  </sheetViews>
  <sheetFormatPr baseColWidth="10" defaultColWidth="9.28515625" defaultRowHeight="9.6"/>
  <cols>
    <col min="1" max="1" width="28.85546875" style="271" customWidth="1"/>
    <col min="2" max="2" width="27.42578125" style="271" customWidth="1"/>
    <col min="3" max="3" width="17.7109375" style="271" customWidth="1"/>
    <col min="4" max="4" width="18" style="271" customWidth="1"/>
    <col min="5" max="5" width="18.85546875" style="271" customWidth="1"/>
    <col min="6" max="6" width="15.140625" style="271" customWidth="1"/>
    <col min="7" max="7" width="9.28515625" style="271"/>
    <col min="8" max="8" width="15.7109375" style="271" customWidth="1"/>
    <col min="9" max="9" width="9.28515625" style="271"/>
    <col min="10" max="11" width="9.28515625" style="271" customWidth="1"/>
    <col min="12" max="16384" width="9.28515625" style="271"/>
  </cols>
  <sheetData>
    <row r="1" spans="1:12" ht="11.25" customHeight="1">
      <c r="A1" s="530" t="s">
        <v>351</v>
      </c>
      <c r="B1" s="531"/>
      <c r="C1" s="531"/>
      <c r="D1" s="531"/>
      <c r="E1" s="531"/>
      <c r="F1" s="531"/>
    </row>
    <row r="2" spans="1:12" s="301" customFormat="1" ht="11.25" customHeight="1">
      <c r="A2" s="913" t="s">
        <v>248</v>
      </c>
      <c r="B2" s="916" t="s">
        <v>54</v>
      </c>
      <c r="C2" s="916" t="s">
        <v>352</v>
      </c>
      <c r="D2" s="916"/>
      <c r="E2" s="916"/>
      <c r="F2" s="919"/>
      <c r="G2" s="342"/>
      <c r="H2" s="342"/>
      <c r="I2" s="342"/>
      <c r="J2" s="342"/>
      <c r="K2" s="342"/>
    </row>
    <row r="3" spans="1:12" s="301" customFormat="1" ht="11.25" customHeight="1">
      <c r="A3" s="914"/>
      <c r="B3" s="917"/>
      <c r="C3" s="396" t="str">
        <f>UPPER('1. Resumen'!Q4)&amp;" "&amp;'1. Resumen'!Q5</f>
        <v>JUNIO 2021</v>
      </c>
      <c r="D3" s="397" t="str">
        <f>UPPER('1. Resumen'!Q4)&amp;" "&amp;'1. Resumen'!Q5-1</f>
        <v>JUNIO 2020</v>
      </c>
      <c r="E3" s="397">
        <v>2021</v>
      </c>
      <c r="F3" s="522" t="s">
        <v>501</v>
      </c>
      <c r="G3" s="343"/>
      <c r="H3" s="343"/>
      <c r="I3" s="343"/>
      <c r="J3" s="343"/>
      <c r="K3" s="343"/>
      <c r="L3" s="342"/>
    </row>
    <row r="4" spans="1:12" s="301" customFormat="1" ht="11.25" customHeight="1">
      <c r="A4" s="914"/>
      <c r="B4" s="917"/>
      <c r="C4" s="399">
        <f>+'8. Max Potencia'!D8</f>
        <v>44371.875</v>
      </c>
      <c r="D4" s="399">
        <f>+'8. Max Potencia'!E8</f>
        <v>44011.8125</v>
      </c>
      <c r="E4" s="399">
        <f>+'8. Max Potencia'!G8</f>
        <v>44204.822916666664</v>
      </c>
      <c r="F4" s="523" t="s">
        <v>349</v>
      </c>
      <c r="G4" s="344"/>
      <c r="H4" s="344"/>
      <c r="I4" s="345"/>
      <c r="J4" s="345"/>
      <c r="K4" s="345"/>
      <c r="L4" s="342"/>
    </row>
    <row r="5" spans="1:12" s="301" customFormat="1" ht="11.25" customHeight="1">
      <c r="A5" s="915"/>
      <c r="B5" s="918"/>
      <c r="C5" s="525">
        <f>+'8. Max Potencia'!D9</f>
        <v>44371.875</v>
      </c>
      <c r="D5" s="525">
        <f>+'8. Max Potencia'!E9</f>
        <v>44011.8125</v>
      </c>
      <c r="E5" s="525">
        <f>+'8. Max Potencia'!G9</f>
        <v>44204.822916666664</v>
      </c>
      <c r="F5" s="526" t="s">
        <v>350</v>
      </c>
      <c r="G5" s="344"/>
      <c r="H5" s="344"/>
      <c r="I5" s="344"/>
      <c r="J5" s="344"/>
      <c r="K5" s="344"/>
      <c r="L5" s="346"/>
    </row>
    <row r="6" spans="1:12" s="301" customFormat="1" ht="10.199999999999999" customHeight="1">
      <c r="A6" s="557" t="s">
        <v>119</v>
      </c>
      <c r="B6" s="340" t="s">
        <v>86</v>
      </c>
      <c r="C6" s="341">
        <v>12.644590000000001</v>
      </c>
      <c r="D6" s="341">
        <v>0</v>
      </c>
      <c r="E6" s="341">
        <v>0</v>
      </c>
      <c r="F6" s="706" t="str">
        <f>+IF(D6=0,"",C6/D6-1)</f>
        <v/>
      </c>
      <c r="G6" s="344"/>
      <c r="H6" s="576"/>
      <c r="I6" s="576"/>
      <c r="J6" s="344"/>
      <c r="K6" s="344"/>
      <c r="L6" s="347"/>
    </row>
    <row r="7" spans="1:12" s="301" customFormat="1" ht="10.199999999999999" customHeight="1">
      <c r="A7" s="552" t="s">
        <v>536</v>
      </c>
      <c r="B7" s="408"/>
      <c r="C7" s="409">
        <v>12.644590000000001</v>
      </c>
      <c r="D7" s="409">
        <v>0</v>
      </c>
      <c r="E7" s="409">
        <v>0</v>
      </c>
      <c r="F7" s="707" t="str">
        <f t="shared" ref="F7:F70" si="0">+IF(D7=0,"",C7/D7-1)</f>
        <v/>
      </c>
      <c r="G7" s="344"/>
      <c r="H7" s="576"/>
      <c r="I7" s="576"/>
      <c r="J7" s="344"/>
      <c r="K7" s="344"/>
      <c r="L7" s="348"/>
    </row>
    <row r="8" spans="1:12" s="301" customFormat="1" ht="10.199999999999999" customHeight="1">
      <c r="A8" s="557" t="s">
        <v>118</v>
      </c>
      <c r="B8" s="340" t="s">
        <v>63</v>
      </c>
      <c r="C8" s="341">
        <v>8.1507699999999996</v>
      </c>
      <c r="D8" s="341">
        <v>3.1417199999999998</v>
      </c>
      <c r="E8" s="341">
        <v>19.876760000000001</v>
      </c>
      <c r="F8" s="706">
        <f t="shared" si="0"/>
        <v>1.5943655067924576</v>
      </c>
      <c r="G8" s="344"/>
      <c r="H8" s="576"/>
      <c r="I8" s="576"/>
      <c r="J8" s="344"/>
      <c r="K8" s="344"/>
      <c r="L8" s="349"/>
    </row>
    <row r="9" spans="1:12" s="301" customFormat="1" ht="10.199999999999999" customHeight="1">
      <c r="A9" s="552" t="s">
        <v>537</v>
      </c>
      <c r="B9" s="408"/>
      <c r="C9" s="409">
        <v>8.1507699999999996</v>
      </c>
      <c r="D9" s="409">
        <v>3.1417199999999998</v>
      </c>
      <c r="E9" s="409">
        <v>19.876760000000001</v>
      </c>
      <c r="F9" s="707">
        <f t="shared" si="0"/>
        <v>1.5943655067924576</v>
      </c>
      <c r="G9" s="344"/>
      <c r="H9" s="576"/>
      <c r="I9" s="576"/>
      <c r="J9" s="344"/>
      <c r="K9" s="344"/>
      <c r="L9" s="348"/>
    </row>
    <row r="10" spans="1:12" s="301" customFormat="1" ht="10.199999999999999" customHeight="1">
      <c r="A10" s="551" t="s">
        <v>106</v>
      </c>
      <c r="B10" s="510" t="s">
        <v>83</v>
      </c>
      <c r="C10" s="511">
        <v>16.507770000000001</v>
      </c>
      <c r="D10" s="511">
        <v>0</v>
      </c>
      <c r="E10" s="511">
        <v>14.8032</v>
      </c>
      <c r="F10" s="708" t="str">
        <f t="shared" si="0"/>
        <v/>
      </c>
      <c r="G10" s="344"/>
      <c r="H10" s="576"/>
      <c r="I10" s="576"/>
      <c r="J10" s="344"/>
      <c r="K10" s="344"/>
      <c r="L10" s="348"/>
    </row>
    <row r="11" spans="1:12" s="301" customFormat="1" ht="10.199999999999999" customHeight="1">
      <c r="A11" s="552" t="s">
        <v>538</v>
      </c>
      <c r="B11" s="408"/>
      <c r="C11" s="409">
        <v>16.507770000000001</v>
      </c>
      <c r="D11" s="409">
        <v>0</v>
      </c>
      <c r="E11" s="409">
        <v>14.8032</v>
      </c>
      <c r="F11" s="707" t="str">
        <f t="shared" si="0"/>
        <v/>
      </c>
      <c r="G11" s="344"/>
      <c r="H11" s="576"/>
      <c r="I11" s="576"/>
      <c r="J11" s="344"/>
      <c r="K11" s="344"/>
      <c r="L11" s="348"/>
    </row>
    <row r="12" spans="1:12" s="301" customFormat="1" ht="10.199999999999999" customHeight="1">
      <c r="A12" s="551" t="s">
        <v>415</v>
      </c>
      <c r="B12" s="510" t="s">
        <v>417</v>
      </c>
      <c r="C12" s="511">
        <v>18.254339999999999</v>
      </c>
      <c r="D12" s="511">
        <v>0</v>
      </c>
      <c r="E12" s="511">
        <v>20.57124</v>
      </c>
      <c r="F12" s="708" t="str">
        <f t="shared" si="0"/>
        <v/>
      </c>
      <c r="G12" s="344"/>
      <c r="H12" s="576"/>
      <c r="I12" s="576"/>
      <c r="J12" s="344"/>
      <c r="K12" s="344"/>
      <c r="L12" s="348"/>
    </row>
    <row r="13" spans="1:12" s="301" customFormat="1" ht="10.199999999999999" customHeight="1">
      <c r="A13" s="552" t="s">
        <v>539</v>
      </c>
      <c r="B13" s="408"/>
      <c r="C13" s="409">
        <v>18.254339999999999</v>
      </c>
      <c r="D13" s="409">
        <v>0</v>
      </c>
      <c r="E13" s="409">
        <v>20.57124</v>
      </c>
      <c r="F13" s="707" t="str">
        <f t="shared" si="0"/>
        <v/>
      </c>
      <c r="G13" s="344"/>
      <c r="H13" s="576"/>
      <c r="I13" s="576"/>
      <c r="J13" s="344"/>
      <c r="K13" s="344"/>
      <c r="L13" s="348"/>
    </row>
    <row r="14" spans="1:12" s="301" customFormat="1" ht="10.199999999999999" customHeight="1">
      <c r="A14" s="551" t="s">
        <v>487</v>
      </c>
      <c r="B14" s="510" t="s">
        <v>75</v>
      </c>
      <c r="C14" s="511">
        <v>0</v>
      </c>
      <c r="D14" s="511">
        <v>0.82318000000000002</v>
      </c>
      <c r="E14" s="511">
        <v>0.89524000000000004</v>
      </c>
      <c r="F14" s="708">
        <f t="shared" si="0"/>
        <v>-1</v>
      </c>
      <c r="G14" s="344"/>
      <c r="H14" s="576"/>
      <c r="I14" s="576"/>
      <c r="J14" s="344"/>
      <c r="K14" s="344"/>
      <c r="L14" s="348"/>
    </row>
    <row r="15" spans="1:12" s="301" customFormat="1" ht="10.199999999999999" customHeight="1">
      <c r="A15" s="552" t="s">
        <v>540</v>
      </c>
      <c r="B15" s="408"/>
      <c r="C15" s="409">
        <v>0</v>
      </c>
      <c r="D15" s="409">
        <v>0.82318000000000002</v>
      </c>
      <c r="E15" s="409">
        <v>0.89524000000000004</v>
      </c>
      <c r="F15" s="707">
        <f t="shared" si="0"/>
        <v>-1</v>
      </c>
      <c r="G15" s="344"/>
      <c r="H15" s="576"/>
      <c r="I15" s="576"/>
      <c r="J15" s="344"/>
      <c r="K15" s="344"/>
      <c r="L15" s="348"/>
    </row>
    <row r="16" spans="1:12" s="301" customFormat="1" ht="10.199999999999999" customHeight="1">
      <c r="A16" s="551" t="s">
        <v>447</v>
      </c>
      <c r="B16" s="510" t="s">
        <v>454</v>
      </c>
      <c r="C16" s="511">
        <v>11.875</v>
      </c>
      <c r="D16" s="511">
        <v>8.875</v>
      </c>
      <c r="E16" s="511">
        <v>9.21875</v>
      </c>
      <c r="F16" s="708">
        <f t="shared" si="0"/>
        <v>0.3380281690140845</v>
      </c>
      <c r="G16" s="344"/>
      <c r="H16" s="576"/>
      <c r="I16" s="576"/>
      <c r="J16" s="344"/>
      <c r="K16" s="344"/>
      <c r="L16" s="348"/>
    </row>
    <row r="17" spans="1:16" s="301" customFormat="1" ht="10.199999999999999" customHeight="1">
      <c r="A17" s="552" t="s">
        <v>541</v>
      </c>
      <c r="B17" s="408"/>
      <c r="C17" s="409">
        <v>11.875</v>
      </c>
      <c r="D17" s="409">
        <v>8.875</v>
      </c>
      <c r="E17" s="409">
        <v>9.21875</v>
      </c>
      <c r="F17" s="707">
        <f t="shared" si="0"/>
        <v>0.3380281690140845</v>
      </c>
      <c r="G17" s="344"/>
      <c r="H17" s="576"/>
      <c r="I17" s="576"/>
      <c r="J17" s="344"/>
      <c r="K17" s="344"/>
      <c r="L17" s="349"/>
    </row>
    <row r="18" spans="1:16" s="301" customFormat="1" ht="10.199999999999999" customHeight="1">
      <c r="A18" s="551" t="s">
        <v>94</v>
      </c>
      <c r="B18" s="510" t="s">
        <v>279</v>
      </c>
      <c r="C18" s="511">
        <v>157.25013999999999</v>
      </c>
      <c r="D18" s="511">
        <v>203.70605999999998</v>
      </c>
      <c r="E18" s="511">
        <v>215.75957</v>
      </c>
      <c r="F18" s="708">
        <f t="shared" si="0"/>
        <v>-0.2280536965861496</v>
      </c>
      <c r="G18" s="344"/>
      <c r="H18" s="576"/>
      <c r="I18" s="576"/>
      <c r="J18" s="344"/>
      <c r="K18" s="344"/>
      <c r="L18" s="349"/>
    </row>
    <row r="19" spans="1:16" s="301" customFormat="1" ht="10.199999999999999" customHeight="1">
      <c r="A19" s="552" t="s">
        <v>542</v>
      </c>
      <c r="B19" s="408"/>
      <c r="C19" s="409">
        <v>157.25013999999999</v>
      </c>
      <c r="D19" s="409">
        <v>203.70605999999998</v>
      </c>
      <c r="E19" s="409">
        <v>215.75957</v>
      </c>
      <c r="F19" s="707">
        <f t="shared" si="0"/>
        <v>-0.2280536965861496</v>
      </c>
      <c r="G19" s="344"/>
      <c r="H19" s="576"/>
      <c r="I19" s="576"/>
      <c r="J19" s="344"/>
      <c r="K19" s="344"/>
      <c r="L19" s="349"/>
    </row>
    <row r="20" spans="1:16" s="301" customFormat="1" ht="10.199999999999999" customHeight="1">
      <c r="A20" s="551" t="s">
        <v>489</v>
      </c>
      <c r="B20" s="510" t="s">
        <v>321</v>
      </c>
      <c r="C20" s="511">
        <v>16.12743</v>
      </c>
      <c r="D20" s="511">
        <v>17.854979999999998</v>
      </c>
      <c r="E20" s="511">
        <v>18.80396</v>
      </c>
      <c r="F20" s="708">
        <f t="shared" si="0"/>
        <v>-9.6754518907329889E-2</v>
      </c>
      <c r="G20" s="344"/>
      <c r="H20" s="576"/>
      <c r="I20" s="576"/>
      <c r="J20" s="344"/>
      <c r="K20" s="344"/>
      <c r="L20" s="344"/>
      <c r="M20" s="344"/>
      <c r="N20" s="344"/>
      <c r="O20" s="344"/>
      <c r="P20" s="344"/>
    </row>
    <row r="21" spans="1:16" s="301" customFormat="1" ht="10.199999999999999" customHeight="1">
      <c r="A21" s="552" t="s">
        <v>543</v>
      </c>
      <c r="B21" s="408"/>
      <c r="C21" s="409">
        <v>16.12743</v>
      </c>
      <c r="D21" s="409">
        <v>17.854979999999998</v>
      </c>
      <c r="E21" s="409">
        <v>18.80396</v>
      </c>
      <c r="F21" s="707">
        <f t="shared" si="0"/>
        <v>-9.6754518907329889E-2</v>
      </c>
      <c r="G21" s="344"/>
      <c r="H21" s="576"/>
      <c r="I21" s="576"/>
      <c r="J21" s="344"/>
      <c r="K21" s="344"/>
      <c r="L21" s="344"/>
      <c r="M21" s="344"/>
      <c r="N21" s="344"/>
      <c r="O21" s="344"/>
      <c r="P21" s="344"/>
    </row>
    <row r="22" spans="1:16" s="301" customFormat="1" ht="10.199999999999999" customHeight="1">
      <c r="A22" s="551" t="s">
        <v>234</v>
      </c>
      <c r="B22" s="510" t="s">
        <v>280</v>
      </c>
      <c r="C22" s="511">
        <v>0</v>
      </c>
      <c r="D22" s="511">
        <v>0</v>
      </c>
      <c r="E22" s="511">
        <v>0</v>
      </c>
      <c r="F22" s="708" t="str">
        <f t="shared" si="0"/>
        <v/>
      </c>
      <c r="G22" s="344"/>
      <c r="H22" s="576"/>
      <c r="I22" s="576"/>
      <c r="J22" s="344"/>
      <c r="K22" s="344"/>
      <c r="L22" s="348"/>
    </row>
    <row r="23" spans="1:16" s="301" customFormat="1" ht="10.199999999999999" customHeight="1">
      <c r="A23" s="552" t="s">
        <v>544</v>
      </c>
      <c r="B23" s="408"/>
      <c r="C23" s="409">
        <v>0</v>
      </c>
      <c r="D23" s="409">
        <v>0</v>
      </c>
      <c r="E23" s="409">
        <v>0</v>
      </c>
      <c r="F23" s="707" t="str">
        <f t="shared" si="0"/>
        <v/>
      </c>
      <c r="G23" s="344"/>
      <c r="H23" s="576"/>
      <c r="I23" s="576"/>
      <c r="J23" s="344"/>
      <c r="K23" s="344"/>
      <c r="L23" s="348"/>
    </row>
    <row r="24" spans="1:16" s="301" customFormat="1" ht="10.199999999999999" customHeight="1">
      <c r="A24" s="551" t="s">
        <v>93</v>
      </c>
      <c r="B24" s="510" t="s">
        <v>281</v>
      </c>
      <c r="C24" s="511">
        <v>150.60476</v>
      </c>
      <c r="D24" s="511">
        <v>126.67299</v>
      </c>
      <c r="E24" s="511">
        <v>0</v>
      </c>
      <c r="F24" s="708">
        <f t="shared" si="0"/>
        <v>0.18892559495122052</v>
      </c>
      <c r="G24" s="344"/>
      <c r="H24" s="576"/>
      <c r="I24" s="576"/>
      <c r="J24" s="344"/>
      <c r="K24" s="344"/>
      <c r="L24" s="348"/>
    </row>
    <row r="25" spans="1:16" s="301" customFormat="1" ht="10.199999999999999" customHeight="1">
      <c r="A25" s="551"/>
      <c r="B25" s="510" t="s">
        <v>282</v>
      </c>
      <c r="C25" s="511">
        <v>16.004169999999998</v>
      </c>
      <c r="D25" s="511">
        <v>17.533770000000001</v>
      </c>
      <c r="E25" s="511">
        <v>42.658540000000002</v>
      </c>
      <c r="F25" s="708">
        <f t="shared" si="0"/>
        <v>-8.7237371084484483E-2</v>
      </c>
      <c r="G25" s="344"/>
      <c r="H25" s="576"/>
      <c r="I25" s="576"/>
      <c r="J25" s="344"/>
      <c r="K25" s="344"/>
      <c r="L25" s="348"/>
    </row>
    <row r="26" spans="1:16" s="301" customFormat="1" ht="9" customHeight="1">
      <c r="A26" s="552" t="s">
        <v>545</v>
      </c>
      <c r="B26" s="408"/>
      <c r="C26" s="409">
        <v>166.60892999999999</v>
      </c>
      <c r="D26" s="409">
        <v>144.20676</v>
      </c>
      <c r="E26" s="409">
        <v>42.658540000000002</v>
      </c>
      <c r="F26" s="707">
        <f t="shared" si="0"/>
        <v>0.15534757177818848</v>
      </c>
      <c r="G26" s="344"/>
      <c r="H26" s="576"/>
      <c r="I26" s="576"/>
      <c r="J26" s="344"/>
      <c r="K26" s="344"/>
      <c r="L26" s="348"/>
    </row>
    <row r="27" spans="1:16" s="301" customFormat="1" ht="9" customHeight="1">
      <c r="A27" s="551" t="s">
        <v>91</v>
      </c>
      <c r="B27" s="510" t="s">
        <v>283</v>
      </c>
      <c r="C27" s="511">
        <v>1.6873200000000002</v>
      </c>
      <c r="D27" s="511">
        <v>1.6644000000000001</v>
      </c>
      <c r="E27" s="511">
        <v>1.65076</v>
      </c>
      <c r="F27" s="708">
        <f t="shared" si="0"/>
        <v>1.3770728190338977E-2</v>
      </c>
      <c r="G27" s="344"/>
      <c r="H27" s="576"/>
      <c r="I27" s="576"/>
      <c r="J27" s="344"/>
      <c r="K27" s="344"/>
      <c r="L27" s="348"/>
    </row>
    <row r="28" spans="1:16" s="301" customFormat="1" ht="9" customHeight="1">
      <c r="A28" s="551"/>
      <c r="B28" s="510" t="s">
        <v>284</v>
      </c>
      <c r="C28" s="511">
        <v>0.57096999999999998</v>
      </c>
      <c r="D28" s="511">
        <v>0.56020000000000003</v>
      </c>
      <c r="E28" s="511">
        <v>0.56249000000000005</v>
      </c>
      <c r="F28" s="708">
        <f t="shared" si="0"/>
        <v>1.9225276686897441E-2</v>
      </c>
      <c r="G28" s="344"/>
      <c r="H28" s="576"/>
      <c r="I28" s="576"/>
      <c r="J28" s="344"/>
      <c r="K28" s="344"/>
      <c r="L28" s="348"/>
    </row>
    <row r="29" spans="1:16" s="301" customFormat="1" ht="9" customHeight="1">
      <c r="A29" s="551"/>
      <c r="B29" s="510" t="s">
        <v>285</v>
      </c>
      <c r="C29" s="511">
        <v>4.6522100000000002</v>
      </c>
      <c r="D29" s="511">
        <v>4.6537100000000002</v>
      </c>
      <c r="E29" s="511">
        <v>4.6688700000000001</v>
      </c>
      <c r="F29" s="708">
        <f t="shared" si="0"/>
        <v>-3.2232347954641583E-4</v>
      </c>
      <c r="G29" s="344"/>
      <c r="H29" s="576"/>
      <c r="I29" s="576"/>
      <c r="J29" s="344"/>
      <c r="K29" s="344"/>
      <c r="L29" s="350"/>
    </row>
    <row r="30" spans="1:16" s="301" customFormat="1" ht="9" customHeight="1">
      <c r="A30" s="551"/>
      <c r="B30" s="510" t="s">
        <v>286</v>
      </c>
      <c r="C30" s="511">
        <v>13.991880000000002</v>
      </c>
      <c r="D30" s="511">
        <v>12.087350000000001</v>
      </c>
      <c r="E30" s="511">
        <v>14.582380000000001</v>
      </c>
      <c r="F30" s="708">
        <f t="shared" si="0"/>
        <v>0.15756389944859728</v>
      </c>
      <c r="G30" s="344"/>
      <c r="H30" s="576"/>
      <c r="I30" s="576"/>
      <c r="J30" s="344"/>
      <c r="K30" s="344"/>
      <c r="L30" s="348"/>
    </row>
    <row r="31" spans="1:16" s="301" customFormat="1" ht="9" customHeight="1">
      <c r="A31" s="551"/>
      <c r="B31" s="510" t="s">
        <v>287</v>
      </c>
      <c r="C31" s="511">
        <v>116.44800000000001</v>
      </c>
      <c r="D31" s="511">
        <v>141.1986</v>
      </c>
      <c r="E31" s="511">
        <v>94.758110000000002</v>
      </c>
      <c r="F31" s="708">
        <f t="shared" si="0"/>
        <v>-0.17528927340639344</v>
      </c>
      <c r="G31" s="344"/>
      <c r="H31" s="576"/>
      <c r="I31" s="576"/>
      <c r="J31" s="344"/>
      <c r="K31" s="344"/>
      <c r="L31" s="348"/>
    </row>
    <row r="32" spans="1:16" s="301" customFormat="1" ht="9" customHeight="1">
      <c r="A32" s="551"/>
      <c r="B32" s="510" t="s">
        <v>288</v>
      </c>
      <c r="C32" s="511">
        <v>8.4003099999999993</v>
      </c>
      <c r="D32" s="511">
        <v>7.2077299999999997</v>
      </c>
      <c r="E32" s="511">
        <v>8.1988000000000003</v>
      </c>
      <c r="F32" s="708">
        <f t="shared" si="0"/>
        <v>0.16545847305601069</v>
      </c>
      <c r="G32" s="344"/>
      <c r="H32" s="576"/>
      <c r="I32" s="576"/>
      <c r="J32" s="344"/>
      <c r="K32" s="344"/>
      <c r="L32" s="348"/>
    </row>
    <row r="33" spans="1:12" s="301" customFormat="1" ht="9" customHeight="1">
      <c r="A33" s="551"/>
      <c r="B33" s="510" t="s">
        <v>289</v>
      </c>
      <c r="C33" s="511">
        <v>0</v>
      </c>
      <c r="D33" s="511">
        <v>0</v>
      </c>
      <c r="E33" s="511">
        <v>0</v>
      </c>
      <c r="F33" s="708" t="str">
        <f t="shared" si="0"/>
        <v/>
      </c>
      <c r="G33" s="344"/>
      <c r="H33" s="576"/>
      <c r="I33" s="576"/>
      <c r="J33" s="344"/>
      <c r="K33" s="344"/>
      <c r="L33" s="350"/>
    </row>
    <row r="34" spans="1:12" s="301" customFormat="1" ht="9" customHeight="1">
      <c r="A34" s="551"/>
      <c r="B34" s="510" t="s">
        <v>290</v>
      </c>
      <c r="C34" s="511">
        <v>0</v>
      </c>
      <c r="D34" s="511">
        <v>0</v>
      </c>
      <c r="E34" s="511">
        <v>0</v>
      </c>
      <c r="F34" s="708" t="str">
        <f t="shared" si="0"/>
        <v/>
      </c>
      <c r="G34" s="344"/>
      <c r="H34" s="576"/>
      <c r="I34" s="576"/>
      <c r="J34" s="344"/>
      <c r="K34" s="344"/>
      <c r="L34" s="348"/>
    </row>
    <row r="35" spans="1:12" s="301" customFormat="1" ht="9" customHeight="1">
      <c r="A35" s="551"/>
      <c r="B35" s="510" t="s">
        <v>291</v>
      </c>
      <c r="C35" s="511">
        <v>0</v>
      </c>
      <c r="D35" s="511">
        <v>0</v>
      </c>
      <c r="E35" s="511">
        <v>0</v>
      </c>
      <c r="F35" s="708" t="str">
        <f t="shared" si="0"/>
        <v/>
      </c>
      <c r="G35" s="344"/>
      <c r="H35" s="576"/>
      <c r="I35" s="576"/>
      <c r="J35" s="344"/>
      <c r="K35" s="344"/>
      <c r="L35" s="348"/>
    </row>
    <row r="36" spans="1:12" s="301" customFormat="1" ht="9" customHeight="1">
      <c r="A36" s="552" t="s">
        <v>546</v>
      </c>
      <c r="B36" s="408"/>
      <c r="C36" s="409">
        <v>145.75068999999999</v>
      </c>
      <c r="D36" s="409">
        <v>167.37199000000001</v>
      </c>
      <c r="E36" s="409">
        <v>124.42141000000001</v>
      </c>
      <c r="F36" s="707">
        <f t="shared" si="0"/>
        <v>-0.12918111327946824</v>
      </c>
      <c r="G36" s="344"/>
      <c r="H36" s="576"/>
      <c r="I36" s="576"/>
      <c r="J36" s="344"/>
      <c r="K36" s="344"/>
      <c r="L36" s="348"/>
    </row>
    <row r="37" spans="1:12" s="301" customFormat="1" ht="9" customHeight="1">
      <c r="A37" s="551" t="s">
        <v>112</v>
      </c>
      <c r="B37" s="510" t="s">
        <v>70</v>
      </c>
      <c r="C37" s="511">
        <v>2.5543200000000001</v>
      </c>
      <c r="D37" s="511">
        <v>2.31291</v>
      </c>
      <c r="E37" s="511">
        <v>2.53803</v>
      </c>
      <c r="F37" s="708">
        <f t="shared" si="0"/>
        <v>0.10437500810667077</v>
      </c>
      <c r="G37" s="344"/>
      <c r="H37" s="576"/>
      <c r="I37" s="576"/>
      <c r="J37" s="344"/>
      <c r="K37" s="344"/>
      <c r="L37" s="348"/>
    </row>
    <row r="38" spans="1:12" s="301" customFormat="1" ht="9" customHeight="1">
      <c r="A38" s="552" t="s">
        <v>547</v>
      </c>
      <c r="B38" s="408"/>
      <c r="C38" s="409">
        <v>2.5543200000000001</v>
      </c>
      <c r="D38" s="409">
        <v>2.31291</v>
      </c>
      <c r="E38" s="409">
        <v>2.53803</v>
      </c>
      <c r="F38" s="707">
        <f t="shared" si="0"/>
        <v>0.10437500810667077</v>
      </c>
      <c r="G38" s="344"/>
      <c r="H38" s="576"/>
      <c r="I38" s="576"/>
      <c r="J38" s="344"/>
      <c r="K38" s="344"/>
      <c r="L38" s="348"/>
    </row>
    <row r="39" spans="1:12" s="301" customFormat="1" ht="9" customHeight="1">
      <c r="A39" s="551" t="s">
        <v>92</v>
      </c>
      <c r="B39" s="510" t="s">
        <v>292</v>
      </c>
      <c r="C39" s="511">
        <v>125.73308</v>
      </c>
      <c r="D39" s="511">
        <v>139.61899</v>
      </c>
      <c r="E39" s="511">
        <v>166.58982</v>
      </c>
      <c r="F39" s="708">
        <f t="shared" si="0"/>
        <v>-9.9455740225595335E-2</v>
      </c>
      <c r="G39" s="344"/>
      <c r="H39" s="576"/>
      <c r="I39" s="576"/>
      <c r="J39" s="344"/>
      <c r="K39" s="344"/>
      <c r="L39" s="348"/>
    </row>
    <row r="40" spans="1:12" s="301" customFormat="1" ht="9" customHeight="1">
      <c r="A40" s="552" t="s">
        <v>548</v>
      </c>
      <c r="B40" s="408"/>
      <c r="C40" s="409">
        <v>125.73308</v>
      </c>
      <c r="D40" s="409">
        <v>139.61899</v>
      </c>
      <c r="E40" s="409">
        <v>166.58982</v>
      </c>
      <c r="F40" s="707">
        <f t="shared" si="0"/>
        <v>-9.9455740225595335E-2</v>
      </c>
      <c r="G40" s="344"/>
      <c r="H40" s="576"/>
      <c r="I40" s="576"/>
      <c r="J40" s="344"/>
      <c r="K40" s="344"/>
      <c r="L40" s="348"/>
    </row>
    <row r="41" spans="1:12" s="301" customFormat="1" ht="9" customHeight="1">
      <c r="A41" s="551" t="s">
        <v>101</v>
      </c>
      <c r="B41" s="510" t="s">
        <v>293</v>
      </c>
      <c r="C41" s="511">
        <v>5.508</v>
      </c>
      <c r="D41" s="511">
        <v>16.206000000000003</v>
      </c>
      <c r="E41" s="511">
        <v>16.602</v>
      </c>
      <c r="F41" s="708">
        <f t="shared" si="0"/>
        <v>-0.66012587930396149</v>
      </c>
      <c r="G41" s="344"/>
      <c r="H41" s="576"/>
      <c r="I41" s="576"/>
      <c r="J41" s="344"/>
      <c r="K41" s="344"/>
      <c r="L41" s="348"/>
    </row>
    <row r="42" spans="1:12" s="301" customFormat="1" ht="9" customHeight="1">
      <c r="A42" s="551"/>
      <c r="B42" s="510" t="s">
        <v>294</v>
      </c>
      <c r="C42" s="511">
        <v>0</v>
      </c>
      <c r="D42" s="511">
        <v>10.65</v>
      </c>
      <c r="E42" s="511">
        <v>9.5640000000000001</v>
      </c>
      <c r="F42" s="708">
        <f t="shared" si="0"/>
        <v>-1</v>
      </c>
      <c r="G42" s="344"/>
      <c r="H42" s="576"/>
      <c r="I42" s="576"/>
      <c r="J42" s="344"/>
      <c r="K42" s="344"/>
      <c r="L42" s="348"/>
    </row>
    <row r="43" spans="1:12" s="301" customFormat="1" ht="9" customHeight="1">
      <c r="A43" s="551"/>
      <c r="B43" s="510" t="s">
        <v>295</v>
      </c>
      <c r="C43" s="511">
        <v>22.576899999999998</v>
      </c>
      <c r="D43" s="511">
        <v>0</v>
      </c>
      <c r="E43" s="511">
        <v>22.52505</v>
      </c>
      <c r="F43" s="708" t="str">
        <f t="shared" si="0"/>
        <v/>
      </c>
      <c r="G43" s="344"/>
      <c r="H43" s="576"/>
      <c r="I43" s="576"/>
      <c r="J43" s="344"/>
      <c r="K43" s="344"/>
      <c r="L43" s="348"/>
    </row>
    <row r="44" spans="1:12" s="301" customFormat="1" ht="9" customHeight="1">
      <c r="A44" s="552" t="s">
        <v>549</v>
      </c>
      <c r="B44" s="408"/>
      <c r="C44" s="409">
        <v>28.084899999999998</v>
      </c>
      <c r="D44" s="409">
        <v>26.856000000000002</v>
      </c>
      <c r="E44" s="409">
        <v>48.691050000000004</v>
      </c>
      <c r="F44" s="707">
        <f t="shared" si="0"/>
        <v>4.5758862079237295E-2</v>
      </c>
      <c r="G44" s="344"/>
      <c r="H44" s="576"/>
      <c r="I44" s="576"/>
      <c r="J44" s="344"/>
      <c r="K44" s="344"/>
      <c r="L44" s="348"/>
    </row>
    <row r="45" spans="1:12" s="301" customFormat="1" ht="9" customHeight="1">
      <c r="A45" s="551" t="s">
        <v>113</v>
      </c>
      <c r="B45" s="510" t="s">
        <v>73</v>
      </c>
      <c r="C45" s="511">
        <v>2.6180699999999999</v>
      </c>
      <c r="D45" s="511">
        <v>2.42727</v>
      </c>
      <c r="E45" s="511">
        <v>3.5196800000000001</v>
      </c>
      <c r="F45" s="708">
        <f t="shared" si="0"/>
        <v>7.8606829895314423E-2</v>
      </c>
      <c r="G45" s="344"/>
      <c r="H45" s="576"/>
      <c r="I45" s="576"/>
      <c r="J45" s="344"/>
      <c r="K45" s="344"/>
      <c r="L45" s="348"/>
    </row>
    <row r="46" spans="1:12" s="301" customFormat="1" ht="9" customHeight="1">
      <c r="A46" s="552" t="s">
        <v>550</v>
      </c>
      <c r="B46" s="408"/>
      <c r="C46" s="409">
        <v>2.6180699999999999</v>
      </c>
      <c r="D46" s="409">
        <v>2.42727</v>
      </c>
      <c r="E46" s="409">
        <v>3.5196800000000001</v>
      </c>
      <c r="F46" s="707">
        <f t="shared" si="0"/>
        <v>7.8606829895314423E-2</v>
      </c>
      <c r="G46" s="344"/>
      <c r="H46" s="576"/>
      <c r="I46" s="576"/>
      <c r="J46" s="344"/>
      <c r="K46" s="344"/>
      <c r="L46" s="351"/>
    </row>
    <row r="47" spans="1:12" s="301" customFormat="1" ht="9" customHeight="1">
      <c r="A47" s="551" t="s">
        <v>418</v>
      </c>
      <c r="B47" s="510" t="s">
        <v>420</v>
      </c>
      <c r="C47" s="511">
        <v>11.201129999999999</v>
      </c>
      <c r="D47" s="511">
        <v>6.9821400000000002</v>
      </c>
      <c r="E47" s="511">
        <v>8.6528799999999997</v>
      </c>
      <c r="F47" s="708">
        <f t="shared" si="0"/>
        <v>0.60425456951593626</v>
      </c>
      <c r="G47" s="344"/>
      <c r="H47" s="576"/>
      <c r="I47" s="576"/>
      <c r="J47" s="344"/>
      <c r="K47" s="344"/>
      <c r="L47" s="348"/>
    </row>
    <row r="48" spans="1:12" s="301" customFormat="1" ht="9" customHeight="1">
      <c r="A48" s="552" t="s">
        <v>551</v>
      </c>
      <c r="B48" s="408"/>
      <c r="C48" s="409">
        <v>11.201129999999999</v>
      </c>
      <c r="D48" s="409">
        <v>6.9821400000000002</v>
      </c>
      <c r="E48" s="409">
        <v>8.6528799999999997</v>
      </c>
      <c r="F48" s="707">
        <f t="shared" si="0"/>
        <v>0.60425456951593626</v>
      </c>
      <c r="G48" s="344"/>
      <c r="H48" s="576"/>
      <c r="I48" s="576"/>
      <c r="J48" s="344"/>
      <c r="K48" s="344"/>
      <c r="L48" s="348"/>
    </row>
    <row r="49" spans="1:12" s="301" customFormat="1" ht="9" customHeight="1">
      <c r="A49" s="551" t="s">
        <v>89</v>
      </c>
      <c r="B49" s="510" t="s">
        <v>296</v>
      </c>
      <c r="C49" s="511">
        <v>639.10559999999998</v>
      </c>
      <c r="D49" s="511">
        <v>652.96079999999995</v>
      </c>
      <c r="E49" s="511">
        <v>643.63199999999995</v>
      </c>
      <c r="F49" s="708">
        <f t="shared" si="0"/>
        <v>-2.1219037957561859E-2</v>
      </c>
      <c r="G49" s="344"/>
      <c r="H49" s="576"/>
      <c r="I49" s="576"/>
      <c r="J49" s="344"/>
      <c r="K49" s="344"/>
      <c r="L49" s="348"/>
    </row>
    <row r="50" spans="1:12" s="301" customFormat="1" ht="9" customHeight="1">
      <c r="A50" s="551"/>
      <c r="B50" s="510" t="s">
        <v>297</v>
      </c>
      <c r="C50" s="511">
        <v>213.95519999999999</v>
      </c>
      <c r="D50" s="511">
        <v>216.20736000000002</v>
      </c>
      <c r="E50" s="511">
        <v>209.27424000000002</v>
      </c>
      <c r="F50" s="708">
        <f t="shared" si="0"/>
        <v>-1.0416666666666852E-2</v>
      </c>
      <c r="G50" s="344"/>
      <c r="H50" s="576"/>
      <c r="I50" s="576"/>
      <c r="J50" s="344"/>
      <c r="K50" s="344"/>
      <c r="L50" s="348"/>
    </row>
    <row r="51" spans="1:12" s="301" customFormat="1" ht="9" customHeight="1">
      <c r="A51" s="551"/>
      <c r="B51" s="510" t="s">
        <v>298</v>
      </c>
      <c r="C51" s="511">
        <v>0</v>
      </c>
      <c r="D51" s="511">
        <v>0</v>
      </c>
      <c r="E51" s="511">
        <v>0</v>
      </c>
      <c r="F51" s="708" t="str">
        <f t="shared" si="0"/>
        <v/>
      </c>
      <c r="G51" s="344"/>
      <c r="H51" s="576"/>
      <c r="I51" s="576"/>
      <c r="J51" s="344"/>
      <c r="K51" s="344"/>
      <c r="L51" s="348"/>
    </row>
    <row r="52" spans="1:12" s="301" customFormat="1" ht="9" customHeight="1">
      <c r="A52" s="552" t="s">
        <v>552</v>
      </c>
      <c r="B52" s="408"/>
      <c r="C52" s="409">
        <v>853.06079999999997</v>
      </c>
      <c r="D52" s="409">
        <v>869.16815999999994</v>
      </c>
      <c r="E52" s="409">
        <v>852.90624000000003</v>
      </c>
      <c r="F52" s="707">
        <f t="shared" si="0"/>
        <v>-1.8531925973910512E-2</v>
      </c>
      <c r="G52" s="344"/>
      <c r="H52" s="576"/>
      <c r="I52" s="576"/>
      <c r="J52" s="344"/>
      <c r="K52" s="344"/>
      <c r="L52" s="348"/>
    </row>
    <row r="53" spans="1:12" s="301" customFormat="1" ht="9" customHeight="1">
      <c r="A53" s="551" t="s">
        <v>235</v>
      </c>
      <c r="B53" s="510" t="s">
        <v>299</v>
      </c>
      <c r="C53" s="511">
        <v>309.23145999999997</v>
      </c>
      <c r="D53" s="511">
        <v>30.739879999999999</v>
      </c>
      <c r="E53" s="511">
        <v>454.81696999999997</v>
      </c>
      <c r="F53" s="708">
        <f t="shared" si="0"/>
        <v>9.0596183199153657</v>
      </c>
      <c r="G53" s="344"/>
      <c r="H53" s="576"/>
      <c r="I53" s="576"/>
      <c r="J53" s="344"/>
      <c r="K53" s="344"/>
      <c r="L53" s="348"/>
    </row>
    <row r="54" spans="1:12" s="301" customFormat="1" ht="9" customHeight="1">
      <c r="A54" s="551"/>
      <c r="B54" s="510" t="s">
        <v>300</v>
      </c>
      <c r="C54" s="511">
        <v>6.4378700000000002</v>
      </c>
      <c r="D54" s="511">
        <v>0</v>
      </c>
      <c r="E54" s="511">
        <v>6.4359200000000003</v>
      </c>
      <c r="F54" s="708" t="str">
        <f t="shared" si="0"/>
        <v/>
      </c>
      <c r="G54" s="344"/>
      <c r="H54" s="576"/>
      <c r="I54" s="576"/>
      <c r="J54" s="344"/>
      <c r="K54" s="344"/>
      <c r="L54" s="348"/>
    </row>
    <row r="55" spans="1:12" s="301" customFormat="1" ht="9" customHeight="1">
      <c r="A55" s="552" t="s">
        <v>553</v>
      </c>
      <c r="B55" s="408"/>
      <c r="C55" s="409">
        <v>315.66932999999995</v>
      </c>
      <c r="D55" s="409">
        <v>30.739879999999999</v>
      </c>
      <c r="E55" s="409">
        <v>461.25288999999998</v>
      </c>
      <c r="F55" s="707">
        <f t="shared" si="0"/>
        <v>9.2690488707177767</v>
      </c>
      <c r="G55" s="344"/>
      <c r="H55" s="576"/>
      <c r="I55" s="576"/>
      <c r="J55" s="344"/>
      <c r="K55" s="344"/>
    </row>
    <row r="56" spans="1:12" s="301" customFormat="1" ht="9" customHeight="1">
      <c r="A56" s="551" t="s">
        <v>236</v>
      </c>
      <c r="B56" s="510" t="s">
        <v>301</v>
      </c>
      <c r="C56" s="511">
        <v>72.859000000000009</v>
      </c>
      <c r="D56" s="511">
        <v>94.074659999999994</v>
      </c>
      <c r="E56" s="511">
        <v>94.774990000000003</v>
      </c>
      <c r="F56" s="708">
        <f t="shared" si="0"/>
        <v>-0.22551939066269266</v>
      </c>
      <c r="G56" s="344"/>
      <c r="H56" s="576"/>
      <c r="I56" s="576"/>
      <c r="J56" s="344"/>
      <c r="K56" s="344"/>
    </row>
    <row r="57" spans="1:12" s="301" customFormat="1" ht="9" customHeight="1">
      <c r="A57" s="552" t="s">
        <v>554</v>
      </c>
      <c r="B57" s="408"/>
      <c r="C57" s="409">
        <v>72.859000000000009</v>
      </c>
      <c r="D57" s="409">
        <v>94.074659999999994</v>
      </c>
      <c r="E57" s="409">
        <v>94.774990000000003</v>
      </c>
      <c r="F57" s="707">
        <f t="shared" si="0"/>
        <v>-0.22551939066269266</v>
      </c>
      <c r="G57" s="344"/>
      <c r="H57" s="576"/>
      <c r="I57" s="576"/>
      <c r="J57" s="344"/>
      <c r="K57" s="344"/>
    </row>
    <row r="58" spans="1:12" s="301" customFormat="1" ht="9" customHeight="1">
      <c r="A58" s="551" t="s">
        <v>488</v>
      </c>
      <c r="B58" s="510" t="s">
        <v>65</v>
      </c>
      <c r="C58" s="511">
        <v>2.66255</v>
      </c>
      <c r="D58" s="511">
        <v>2.29331</v>
      </c>
      <c r="E58" s="511">
        <v>9.6669199999999993</v>
      </c>
      <c r="F58" s="708">
        <f t="shared" si="0"/>
        <v>0.16100745211070455</v>
      </c>
      <c r="G58" s="344"/>
      <c r="H58" s="576"/>
      <c r="I58" s="576"/>
      <c r="J58" s="344"/>
      <c r="K58" s="344"/>
    </row>
    <row r="59" spans="1:12" s="301" customFormat="1" ht="9" customHeight="1">
      <c r="A59" s="551"/>
      <c r="B59" s="510" t="s">
        <v>64</v>
      </c>
      <c r="C59" s="511">
        <v>3.03159</v>
      </c>
      <c r="D59" s="511">
        <v>2.1327400000000001</v>
      </c>
      <c r="E59" s="511">
        <v>9.9454700000000003</v>
      </c>
      <c r="F59" s="708">
        <f t="shared" si="0"/>
        <v>0.42145315415850026</v>
      </c>
      <c r="G59" s="344"/>
      <c r="H59" s="576"/>
      <c r="I59" s="576"/>
      <c r="J59" s="344"/>
      <c r="K59" s="344"/>
    </row>
    <row r="60" spans="1:12" s="301" customFormat="1" ht="9" customHeight="1">
      <c r="A60" s="551"/>
      <c r="B60" s="510" t="s">
        <v>60</v>
      </c>
      <c r="C60" s="511">
        <v>4.5112699999999997</v>
      </c>
      <c r="D60" s="511">
        <v>3.7833600000000001</v>
      </c>
      <c r="E60" s="511">
        <v>17.723980000000001</v>
      </c>
      <c r="F60" s="708">
        <f t="shared" si="0"/>
        <v>0.19239776283515164</v>
      </c>
      <c r="G60" s="344"/>
      <c r="H60" s="576"/>
      <c r="I60" s="576"/>
      <c r="J60" s="344"/>
      <c r="K60" s="344"/>
    </row>
    <row r="61" spans="1:12" s="301" customFormat="1" ht="9" customHeight="1">
      <c r="A61" s="551"/>
      <c r="B61" s="510" t="s">
        <v>57</v>
      </c>
      <c r="C61" s="511">
        <v>6.2838200000000004</v>
      </c>
      <c r="D61" s="511">
        <v>4.4206000000000003</v>
      </c>
      <c r="E61" s="511">
        <v>20.018550000000001</v>
      </c>
      <c r="F61" s="708">
        <f t="shared" si="0"/>
        <v>0.42148577116228569</v>
      </c>
      <c r="G61" s="344"/>
      <c r="H61" s="576"/>
      <c r="I61" s="576"/>
      <c r="J61" s="344"/>
      <c r="K61" s="344"/>
    </row>
    <row r="62" spans="1:12" s="301" customFormat="1" ht="9" customHeight="1">
      <c r="A62" s="551"/>
      <c r="B62" s="510" t="s">
        <v>68</v>
      </c>
      <c r="C62" s="511">
        <v>1.8441700000000001</v>
      </c>
      <c r="D62" s="511">
        <v>1.87758</v>
      </c>
      <c r="E62" s="511">
        <v>6.5360100000000001</v>
      </c>
      <c r="F62" s="708">
        <f t="shared" si="0"/>
        <v>-1.779418187241022E-2</v>
      </c>
      <c r="G62" s="344"/>
      <c r="H62" s="576"/>
      <c r="I62" s="576"/>
      <c r="J62" s="344"/>
      <c r="K62" s="344"/>
    </row>
    <row r="63" spans="1:12" s="301" customFormat="1" ht="9" customHeight="1">
      <c r="A63" s="551"/>
      <c r="B63" s="510" t="s">
        <v>67</v>
      </c>
      <c r="C63" s="511">
        <v>2.0458799999999999</v>
      </c>
      <c r="D63" s="511">
        <v>2.2353299999999998</v>
      </c>
      <c r="E63" s="511">
        <v>6.6463900000000002</v>
      </c>
      <c r="F63" s="708">
        <f t="shared" si="0"/>
        <v>-8.4752586866368662E-2</v>
      </c>
      <c r="G63" s="344"/>
      <c r="H63" s="576"/>
      <c r="I63" s="576"/>
      <c r="J63" s="344"/>
      <c r="K63" s="344"/>
    </row>
    <row r="64" spans="1:12" s="301" customFormat="1" ht="9" customHeight="1">
      <c r="A64" s="552" t="s">
        <v>555</v>
      </c>
      <c r="B64" s="408"/>
      <c r="C64" s="409">
        <v>20.379279999999998</v>
      </c>
      <c r="D64" s="409">
        <v>16.742920000000002</v>
      </c>
      <c r="E64" s="409">
        <v>70.537320000000008</v>
      </c>
      <c r="F64" s="707">
        <f t="shared" si="0"/>
        <v>0.2171879218200885</v>
      </c>
      <c r="G64" s="344"/>
      <c r="H64" s="576"/>
      <c r="I64" s="576"/>
      <c r="J64" s="344"/>
      <c r="K64" s="344"/>
    </row>
    <row r="65" spans="1:11" s="301" customFormat="1" ht="9" customHeight="1">
      <c r="A65" s="551" t="s">
        <v>88</v>
      </c>
      <c r="B65" s="510" t="s">
        <v>455</v>
      </c>
      <c r="C65" s="511">
        <v>56.92864999999999</v>
      </c>
      <c r="D65" s="511">
        <v>69.841470000000001</v>
      </c>
      <c r="E65" s="511">
        <v>78.07471000000001</v>
      </c>
      <c r="F65" s="708">
        <f t="shared" si="0"/>
        <v>-0.18488757467447359</v>
      </c>
      <c r="G65" s="344"/>
      <c r="H65" s="576"/>
      <c r="I65" s="576"/>
      <c r="J65" s="344"/>
      <c r="K65" s="344"/>
    </row>
    <row r="66" spans="1:11" s="301" customFormat="1" ht="9" customHeight="1">
      <c r="A66" s="551"/>
      <c r="B66" s="510" t="s">
        <v>302</v>
      </c>
      <c r="C66" s="511">
        <v>15.29167</v>
      </c>
      <c r="D66" s="511">
        <v>25.638249999999999</v>
      </c>
      <c r="E66" s="511">
        <v>26.209009999999999</v>
      </c>
      <c r="F66" s="708">
        <f t="shared" si="0"/>
        <v>-0.40356030540305987</v>
      </c>
      <c r="G66" s="344"/>
      <c r="H66" s="577"/>
      <c r="I66" s="576"/>
      <c r="J66" s="344"/>
      <c r="K66" s="344"/>
    </row>
    <row r="67" spans="1:11" s="301" customFormat="1" ht="9" customHeight="1">
      <c r="A67" s="551"/>
      <c r="B67" s="510" t="s">
        <v>303</v>
      </c>
      <c r="C67" s="511">
        <v>200.59762000000001</v>
      </c>
      <c r="D67" s="511">
        <v>148.20229999999998</v>
      </c>
      <c r="E67" s="511">
        <v>266.86369000000002</v>
      </c>
      <c r="F67" s="708">
        <f t="shared" si="0"/>
        <v>0.35353918259028383</v>
      </c>
      <c r="G67" s="344"/>
      <c r="H67" s="577"/>
      <c r="I67" s="576"/>
      <c r="J67" s="344"/>
      <c r="K67" s="344"/>
    </row>
    <row r="68" spans="1:11" s="301" customFormat="1" ht="9" customHeight="1">
      <c r="A68" s="551"/>
      <c r="B68" s="510" t="s">
        <v>304</v>
      </c>
      <c r="C68" s="511">
        <v>64.79983</v>
      </c>
      <c r="D68" s="511">
        <v>101.61524</v>
      </c>
      <c r="E68" s="511">
        <v>131.36590000000001</v>
      </c>
      <c r="F68" s="708">
        <f t="shared" si="0"/>
        <v>-0.36230205232994583</v>
      </c>
      <c r="G68" s="352"/>
      <c r="H68" s="577"/>
      <c r="I68" s="576"/>
      <c r="J68" s="344"/>
      <c r="K68" s="344"/>
    </row>
    <row r="69" spans="1:11" s="301" customFormat="1" ht="9" customHeight="1">
      <c r="A69" s="551"/>
      <c r="B69" s="510" t="s">
        <v>305</v>
      </c>
      <c r="C69" s="511">
        <v>41.154029999999999</v>
      </c>
      <c r="D69" s="511">
        <v>63.685849999999995</v>
      </c>
      <c r="E69" s="511">
        <v>61.10615</v>
      </c>
      <c r="F69" s="708">
        <f t="shared" si="0"/>
        <v>-0.35379632995398502</v>
      </c>
      <c r="G69" s="352"/>
      <c r="H69" s="577"/>
      <c r="I69" s="576"/>
      <c r="J69" s="344"/>
      <c r="K69" s="344"/>
    </row>
    <row r="70" spans="1:11" s="301" customFormat="1" ht="9" customHeight="1">
      <c r="A70" s="551"/>
      <c r="B70" s="510" t="s">
        <v>306</v>
      </c>
      <c r="C70" s="511">
        <v>220.22007000000002</v>
      </c>
      <c r="D70" s="511">
        <v>0</v>
      </c>
      <c r="E70" s="511">
        <v>102.35541000000001</v>
      </c>
      <c r="F70" s="708" t="str">
        <f t="shared" si="0"/>
        <v/>
      </c>
      <c r="G70" s="352"/>
      <c r="H70" s="577"/>
      <c r="I70" s="576"/>
      <c r="J70" s="344"/>
      <c r="K70" s="344"/>
    </row>
    <row r="71" spans="1:11" s="301" customFormat="1" ht="9" customHeight="1">
      <c r="A71" s="551"/>
      <c r="B71" s="510" t="s">
        <v>307</v>
      </c>
      <c r="C71" s="511">
        <v>0</v>
      </c>
      <c r="D71" s="511">
        <v>0</v>
      </c>
      <c r="E71" s="511">
        <v>0</v>
      </c>
      <c r="F71" s="708" t="str">
        <f t="shared" ref="F71:F81" si="1">+IF(D71=0,"",C71/D71-1)</f>
        <v/>
      </c>
      <c r="G71" s="352"/>
      <c r="H71" s="576"/>
      <c r="I71" s="576"/>
      <c r="J71" s="344"/>
      <c r="K71" s="344"/>
    </row>
    <row r="72" spans="1:11" s="301" customFormat="1" ht="9" customHeight="1">
      <c r="A72" s="551"/>
      <c r="B72" s="510" t="s">
        <v>308</v>
      </c>
      <c r="C72" s="511">
        <v>461.2002</v>
      </c>
      <c r="D72" s="511">
        <v>463.23211000000003</v>
      </c>
      <c r="E72" s="511">
        <v>450.31046000000003</v>
      </c>
      <c r="F72" s="708">
        <f t="shared" si="1"/>
        <v>-4.3863755472391963E-3</v>
      </c>
      <c r="G72" s="352"/>
      <c r="H72" s="576"/>
      <c r="I72" s="576"/>
      <c r="J72" s="344"/>
      <c r="K72" s="344"/>
    </row>
    <row r="73" spans="1:11" s="301" customFormat="1" ht="9" customHeight="1">
      <c r="A73" s="551"/>
      <c r="B73" s="510" t="s">
        <v>413</v>
      </c>
      <c r="C73" s="511">
        <v>0.34782000000000002</v>
      </c>
      <c r="D73" s="511">
        <v>0.54369000000000001</v>
      </c>
      <c r="E73" s="511">
        <v>0.10693</v>
      </c>
      <c r="F73" s="708">
        <f t="shared" si="1"/>
        <v>-0.36026044253158962</v>
      </c>
      <c r="G73" s="344"/>
      <c r="H73" s="576"/>
      <c r="I73" s="576"/>
      <c r="J73" s="344"/>
      <c r="K73" s="344"/>
    </row>
    <row r="74" spans="1:11" s="301" customFormat="1" ht="9" customHeight="1">
      <c r="A74" s="552" t="s">
        <v>556</v>
      </c>
      <c r="B74" s="408"/>
      <c r="C74" s="409">
        <v>1060.53989</v>
      </c>
      <c r="D74" s="409">
        <v>872.75891000000001</v>
      </c>
      <c r="E74" s="409">
        <v>1116.3922600000001</v>
      </c>
      <c r="F74" s="707">
        <f t="shared" si="1"/>
        <v>0.21515790655176459</v>
      </c>
      <c r="G74" s="344"/>
      <c r="H74" s="576"/>
      <c r="I74" s="576"/>
      <c r="J74" s="344"/>
      <c r="K74" s="344"/>
    </row>
    <row r="75" spans="1:11" s="301" customFormat="1" ht="9" customHeight="1">
      <c r="A75" s="551" t="s">
        <v>96</v>
      </c>
      <c r="B75" s="510" t="s">
        <v>309</v>
      </c>
      <c r="C75" s="511">
        <v>0</v>
      </c>
      <c r="D75" s="511">
        <v>0</v>
      </c>
      <c r="E75" s="511">
        <v>0</v>
      </c>
      <c r="F75" s="708" t="str">
        <f t="shared" si="1"/>
        <v/>
      </c>
      <c r="G75" s="344"/>
      <c r="H75" s="576"/>
      <c r="I75" s="576"/>
      <c r="J75" s="344"/>
      <c r="K75" s="344"/>
    </row>
    <row r="76" spans="1:11" s="301" customFormat="1" ht="9" customHeight="1">
      <c r="A76" s="551"/>
      <c r="B76" s="510" t="s">
        <v>310</v>
      </c>
      <c r="C76" s="511">
        <v>91.749669999999995</v>
      </c>
      <c r="D76" s="511">
        <v>91.338499999999996</v>
      </c>
      <c r="E76" s="511">
        <v>91.417310000000001</v>
      </c>
      <c r="F76" s="708">
        <f t="shared" si="1"/>
        <v>4.5016066609371297E-3</v>
      </c>
      <c r="G76" s="353"/>
      <c r="H76" s="576"/>
      <c r="I76" s="576"/>
      <c r="J76" s="344"/>
      <c r="K76" s="344"/>
    </row>
    <row r="77" spans="1:11" s="301" customFormat="1" ht="9" customHeight="1">
      <c r="A77" s="551"/>
      <c r="B77" s="510" t="s">
        <v>311</v>
      </c>
      <c r="C77" s="511">
        <v>0</v>
      </c>
      <c r="D77" s="511">
        <v>0</v>
      </c>
      <c r="E77" s="511">
        <v>0</v>
      </c>
      <c r="F77" s="708" t="str">
        <f t="shared" si="1"/>
        <v/>
      </c>
      <c r="G77" s="353"/>
      <c r="H77" s="271"/>
      <c r="I77" s="576"/>
      <c r="J77" s="344"/>
      <c r="K77" s="344"/>
    </row>
    <row r="78" spans="1:11" s="301" customFormat="1" ht="9" customHeight="1">
      <c r="A78" s="552" t="s">
        <v>557</v>
      </c>
      <c r="B78" s="408"/>
      <c r="C78" s="409">
        <v>91.749669999999995</v>
      </c>
      <c r="D78" s="409">
        <v>91.338499999999996</v>
      </c>
      <c r="E78" s="409">
        <v>91.417310000000001</v>
      </c>
      <c r="F78" s="707">
        <f t="shared" si="1"/>
        <v>4.5016066609371297E-3</v>
      </c>
      <c r="G78" s="353"/>
      <c r="H78" s="271"/>
      <c r="I78" s="576"/>
      <c r="J78" s="344"/>
      <c r="K78" s="344"/>
    </row>
    <row r="79" spans="1:11" s="301" customFormat="1" ht="9" customHeight="1">
      <c r="A79" s="551" t="s">
        <v>98</v>
      </c>
      <c r="B79" s="510" t="s">
        <v>422</v>
      </c>
      <c r="C79" s="511">
        <v>0</v>
      </c>
      <c r="D79" s="511">
        <v>0</v>
      </c>
      <c r="E79" s="511">
        <v>0</v>
      </c>
      <c r="F79" s="708" t="str">
        <f t="shared" si="1"/>
        <v/>
      </c>
      <c r="H79" s="271"/>
      <c r="I79" s="576"/>
      <c r="J79" s="344"/>
      <c r="K79" s="344"/>
    </row>
    <row r="80" spans="1:11" s="301" customFormat="1" ht="9" customHeight="1">
      <c r="A80" s="551"/>
      <c r="B80" s="510" t="s">
        <v>421</v>
      </c>
      <c r="C80" s="511">
        <v>119.07773</v>
      </c>
      <c r="D80" s="511">
        <v>128.52634</v>
      </c>
      <c r="E80" s="511">
        <v>119.04577</v>
      </c>
      <c r="F80" s="708">
        <f t="shared" si="1"/>
        <v>-7.351496977195493E-2</v>
      </c>
    </row>
    <row r="81" spans="1:6" s="301" customFormat="1" ht="9" customHeight="1">
      <c r="A81" s="552" t="s">
        <v>558</v>
      </c>
      <c r="B81" s="408"/>
      <c r="C81" s="409">
        <v>119.07773</v>
      </c>
      <c r="D81" s="409">
        <v>128.52634</v>
      </c>
      <c r="E81" s="409">
        <v>119.04577</v>
      </c>
      <c r="F81" s="707">
        <f t="shared" si="1"/>
        <v>-7.351496977195493E-2</v>
      </c>
    </row>
    <row r="82" spans="1:6" s="301" customFormat="1" ht="9" customHeight="1">
      <c r="A82" s="551" t="s">
        <v>97</v>
      </c>
      <c r="B82" s="301" t="s">
        <v>77</v>
      </c>
      <c r="C82" s="301">
        <v>28.0425</v>
      </c>
      <c r="D82" s="301">
        <v>69.253270000000001</v>
      </c>
      <c r="E82" s="301">
        <v>65.625450000000001</v>
      </c>
    </row>
    <row r="83" spans="1:6" s="301" customFormat="1" ht="9" customHeight="1">
      <c r="A83" s="551"/>
      <c r="B83" s="510" t="s">
        <v>79</v>
      </c>
      <c r="C83" s="511">
        <v>23.869620000000001</v>
      </c>
      <c r="D83" s="511">
        <v>19.12416</v>
      </c>
      <c r="E83" s="511">
        <v>12.93562</v>
      </c>
      <c r="F83" s="708"/>
    </row>
    <row r="84" spans="1:6" s="301" customFormat="1" ht="9" customHeight="1">
      <c r="A84" s="552" t="s">
        <v>559</v>
      </c>
      <c r="B84" s="408"/>
      <c r="C84" s="409">
        <v>51.912120000000002</v>
      </c>
      <c r="D84" s="409">
        <v>88.377430000000004</v>
      </c>
      <c r="E84" s="409">
        <v>78.561070000000001</v>
      </c>
      <c r="F84" s="707"/>
    </row>
    <row r="85" spans="1:6" s="301" customFormat="1" ht="9" customHeight="1"/>
    <row r="86" spans="1:6" s="301" customFormat="1" ht="9" customHeight="1"/>
    <row r="87" spans="1:6" s="301" customFormat="1" ht="9" customHeight="1"/>
    <row r="88" spans="1:6" s="301" customFormat="1" ht="9" customHeight="1"/>
    <row r="89" spans="1:6" s="301" customFormat="1" ht="9" customHeight="1"/>
    <row r="90" spans="1:6" s="301" customFormat="1" ht="9" customHeight="1"/>
    <row r="91" spans="1:6" s="301" customFormat="1" ht="9" customHeight="1"/>
    <row r="92" spans="1:6" s="301" customFormat="1" ht="9" customHeight="1"/>
    <row r="93" spans="1:6" s="301" customFormat="1" ht="9" customHeight="1"/>
    <row r="94" spans="1:6" s="301" customFormat="1" ht="9" customHeight="1"/>
    <row r="95" spans="1:6" s="301" customFormat="1" ht="9" customHeight="1"/>
    <row r="96" spans="1:6" s="301" customFormat="1" ht="9" customHeight="1"/>
    <row r="97" s="301" customFormat="1" ht="9" customHeight="1"/>
    <row r="98" s="301" customFormat="1" ht="9" customHeight="1"/>
    <row r="99" s="301" customFormat="1" ht="9" customHeight="1"/>
    <row r="100" s="301" customFormat="1" ht="9" customHeight="1"/>
    <row r="101" s="301" customFormat="1" ht="9" customHeight="1"/>
    <row r="102" s="301" customFormat="1" ht="9" customHeight="1"/>
    <row r="103" s="301" customFormat="1" ht="9" customHeight="1"/>
    <row r="104" s="301" customFormat="1" ht="9" customHeight="1"/>
    <row r="105" s="301" customFormat="1" ht="9" customHeight="1"/>
    <row r="106" s="301" customFormat="1" ht="9" customHeight="1"/>
    <row r="107" s="301" customFormat="1" ht="9" customHeight="1"/>
    <row r="108" s="301" customFormat="1" ht="9" customHeight="1"/>
    <row r="109" s="301" customFormat="1" ht="9" customHeight="1"/>
    <row r="110" s="301" customFormat="1" ht="9" customHeight="1"/>
    <row r="111" s="301" customFormat="1" ht="9" customHeight="1"/>
    <row r="112" s="301" customFormat="1" ht="9" customHeight="1"/>
    <row r="113" s="301" customFormat="1" ht="9" customHeight="1"/>
    <row r="114" s="301" customFormat="1" ht="9" customHeight="1"/>
    <row r="115" s="301" customFormat="1" ht="9" customHeight="1"/>
    <row r="116" s="301" customFormat="1" ht="9" customHeight="1"/>
    <row r="117" s="301" customFormat="1" ht="9" customHeight="1"/>
    <row r="118" s="301" customFormat="1" ht="9" customHeight="1"/>
    <row r="119" s="301" customFormat="1" ht="9" customHeight="1"/>
    <row r="120" s="301" customFormat="1" ht="9" customHeight="1"/>
    <row r="121" s="301" customFormat="1" ht="9" customHeight="1"/>
    <row r="122" s="301" customFormat="1" ht="9" customHeight="1"/>
    <row r="123" s="301" customFormat="1" ht="9" customHeight="1"/>
    <row r="124" s="301" customFormat="1" ht="9" customHeight="1"/>
    <row r="125" s="301" customFormat="1" ht="9" customHeight="1"/>
    <row r="126" s="301" customFormat="1" ht="9" customHeight="1"/>
    <row r="127" s="301" customFormat="1" ht="9" customHeight="1"/>
    <row r="128" s="301" customFormat="1" ht="9" customHeight="1"/>
    <row r="129" s="301" customFormat="1" ht="9" customHeight="1"/>
    <row r="130" s="301" customFormat="1" ht="9" customHeight="1"/>
    <row r="131" s="301" customFormat="1" ht="9" customHeight="1"/>
    <row r="132" s="301" customFormat="1" ht="9" customHeight="1"/>
    <row r="133" s="301" customFormat="1" ht="9" customHeight="1"/>
    <row r="134" s="301" customFormat="1" ht="9" customHeight="1"/>
    <row r="135" s="301" customFormat="1" ht="9" customHeight="1"/>
    <row r="136" s="301" customFormat="1" ht="9" customHeight="1"/>
    <row r="137" s="301" customFormat="1" ht="9" customHeight="1"/>
    <row r="138" s="301" customFormat="1" ht="9" customHeight="1"/>
    <row r="139" s="301" customFormat="1" ht="10.5" customHeight="1"/>
    <row r="140" s="301" customFormat="1" ht="10.5" customHeight="1"/>
    <row r="141" s="301" customFormat="1" ht="10.5" customHeight="1"/>
    <row r="142" s="301" customFormat="1" ht="10.5" customHeight="1"/>
    <row r="143" s="301" customFormat="1" ht="10.5" customHeight="1"/>
    <row r="144" s="301" customFormat="1" ht="10.5" customHeight="1"/>
    <row r="145" s="301" customFormat="1" ht="10.5" customHeight="1"/>
    <row r="146" s="301" customFormat="1" ht="10.5" customHeight="1"/>
    <row r="147" s="301" customFormat="1" ht="10.5" customHeight="1"/>
    <row r="148" s="301" customFormat="1" ht="10.5" customHeight="1"/>
    <row r="149" s="301" customFormat="1" ht="10.5" customHeight="1"/>
    <row r="150" s="301" customFormat="1" ht="10.5" customHeight="1"/>
    <row r="151" s="301" customFormat="1" ht="10.5" customHeight="1"/>
    <row r="152" s="301" customFormat="1" ht="10.5" customHeight="1"/>
    <row r="153" s="301" customFormat="1" ht="10.5" customHeight="1"/>
    <row r="154" s="301" customFormat="1" ht="10.5" customHeight="1"/>
    <row r="155" s="301" customFormat="1" ht="10.5" customHeight="1"/>
    <row r="156" s="301" customFormat="1" ht="10.5" customHeight="1"/>
    <row r="157" s="301" customFormat="1" ht="10.5" customHeight="1"/>
    <row r="158" s="301" customFormat="1" ht="10.5" customHeight="1"/>
    <row r="159" s="301" customFormat="1" ht="10.5" customHeight="1"/>
    <row r="160" s="301" customFormat="1" ht="10.5" customHeight="1"/>
    <row r="161" s="301" customFormat="1" ht="10.5" customHeight="1"/>
    <row r="162" s="301" customFormat="1" ht="10.5" customHeight="1"/>
    <row r="163" s="301" customFormat="1" ht="10.5" customHeight="1"/>
    <row r="164" s="301" customFormat="1" ht="10.5" customHeight="1"/>
    <row r="165" s="301" customFormat="1" ht="10.5" customHeight="1"/>
    <row r="166" s="301" customFormat="1" ht="10.5" customHeight="1"/>
    <row r="167" s="301" customFormat="1" ht="10.5" customHeight="1"/>
    <row r="168" s="301" customFormat="1" ht="10.5" customHeight="1"/>
    <row r="169" s="301" customFormat="1" ht="7.8"/>
    <row r="170" s="301" customFormat="1" ht="7.8"/>
    <row r="171" s="301" customFormat="1" ht="7.8"/>
    <row r="172" s="301" customFormat="1" ht="7.8"/>
    <row r="173" s="301" customFormat="1" ht="7.8"/>
    <row r="174" s="301" customFormat="1" ht="7.8"/>
    <row r="175" s="301" customFormat="1" ht="7.8"/>
    <row r="176" s="301" customFormat="1" ht="7.8"/>
    <row r="177" s="301" customFormat="1" ht="7.8"/>
    <row r="178" s="301" customFormat="1" ht="7.8"/>
    <row r="179" s="301" customFormat="1" ht="7.8"/>
    <row r="180" s="301" customFormat="1" ht="7.8"/>
    <row r="181" s="301" customFormat="1" ht="7.8"/>
    <row r="182" s="301" customFormat="1" ht="7.8"/>
    <row r="183" s="301" customFormat="1" ht="7.8"/>
    <row r="184" s="301" customFormat="1" ht="7.8"/>
    <row r="185" s="301" customFormat="1" ht="7.8"/>
    <row r="186" s="301" customFormat="1" ht="7.8"/>
    <row r="187" s="301" customFormat="1" ht="7.8"/>
    <row r="188" s="301" customFormat="1" ht="7.8"/>
    <row r="189" s="301" customFormat="1" ht="7.8"/>
  </sheetData>
  <mergeCells count="3">
    <mergeCell ref="A2:A5"/>
    <mergeCell ref="B2:B5"/>
    <mergeCell ref="C2:F2"/>
  </mergeCells>
  <pageMargins left="0.41818181818181815" right="0.52272727272727271" top="0.78060606060606064" bottom="0.53666666666666663" header="0.31496062992125984" footer="0.31496062992125984"/>
  <pageSetup paperSize="9" scale="92" orientation="portrait" r:id="rId1"/>
  <headerFooter>
    <oddHeader>&amp;R&amp;7Informe de la Operación Mensual - Junio 2021
INFSGI-MES-06-2021
12/07/2021
Versión: 01</oddHeader>
    <oddFooter>&amp;L&amp;7COES, 2021&amp;C21&amp;R&amp;7Dirección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84"/>
  <sheetViews>
    <sheetView showGridLines="0" view="pageBreakPreview" topLeftCell="A10" zoomScale="110" zoomScaleNormal="100" zoomScaleSheetLayoutView="110" zoomScalePageLayoutView="117" workbookViewId="0">
      <selection activeCell="A29" sqref="A29"/>
    </sheetView>
  </sheetViews>
  <sheetFormatPr baseColWidth="10" defaultColWidth="9.28515625" defaultRowHeight="9.6"/>
  <cols>
    <col min="1" max="1" width="28.7109375" style="271" customWidth="1"/>
    <col min="2" max="2" width="22.140625" style="271" customWidth="1"/>
    <col min="3" max="4" width="17.7109375" style="271" customWidth="1"/>
    <col min="5" max="5" width="15.140625" style="271" customWidth="1"/>
    <col min="6" max="6" width="13.28515625" style="271" customWidth="1"/>
    <col min="7" max="7" width="6.28515625" style="271" customWidth="1"/>
    <col min="8" max="16384" width="9.28515625" style="271"/>
  </cols>
  <sheetData>
    <row r="1" spans="1:11" s="301" customFormat="1" ht="11.25" customHeight="1">
      <c r="A1" s="920" t="s">
        <v>248</v>
      </c>
      <c r="B1" s="922" t="s">
        <v>54</v>
      </c>
      <c r="C1" s="922" t="s">
        <v>352</v>
      </c>
      <c r="D1" s="922"/>
      <c r="E1" s="922"/>
      <c r="F1" s="924"/>
      <c r="G1" s="342"/>
    </row>
    <row r="2" spans="1:11" s="301" customFormat="1" ht="11.25" customHeight="1">
      <c r="A2" s="914"/>
      <c r="B2" s="917"/>
      <c r="C2" s="396" t="str">
        <f>UPPER('1. Resumen'!Q4)&amp;" "&amp;'1. Resumen'!Q5</f>
        <v>JUNIO 2021</v>
      </c>
      <c r="D2" s="397" t="str">
        <f>UPPER('1. Resumen'!Q4)&amp;" "&amp;'1. Resumen'!Q5-1</f>
        <v>JUNIO 2020</v>
      </c>
      <c r="E2" s="398">
        <v>2021</v>
      </c>
      <c r="F2" s="522" t="s">
        <v>501</v>
      </c>
      <c r="G2" s="343"/>
      <c r="H2" s="342"/>
    </row>
    <row r="3" spans="1:11" s="301" customFormat="1" ht="11.25" customHeight="1">
      <c r="A3" s="914"/>
      <c r="B3" s="917"/>
      <c r="C3" s="399">
        <f>'21. ANEXOII-1'!C4</f>
        <v>44371.875</v>
      </c>
      <c r="D3" s="399">
        <f>'21. ANEXOII-1'!D4</f>
        <v>44011.8125</v>
      </c>
      <c r="E3" s="399">
        <f>'21. ANEXOII-1'!E4</f>
        <v>44204.822916666664</v>
      </c>
      <c r="F3" s="523" t="s">
        <v>349</v>
      </c>
      <c r="G3" s="344"/>
      <c r="H3" s="342"/>
    </row>
    <row r="4" spans="1:11" s="301" customFormat="1" ht="9" customHeight="1">
      <c r="A4" s="921"/>
      <c r="B4" s="923"/>
      <c r="C4" s="400">
        <f>+'8. Max Potencia'!D9</f>
        <v>44371.875</v>
      </c>
      <c r="D4" s="400">
        <f>+'8. Max Potencia'!E9</f>
        <v>44011.8125</v>
      </c>
      <c r="E4" s="400">
        <f>+'21. ANEXOII-1'!E5</f>
        <v>44204.822916666664</v>
      </c>
      <c r="F4" s="524" t="s">
        <v>350</v>
      </c>
      <c r="G4" s="344"/>
      <c r="H4" s="346"/>
    </row>
    <row r="5" spans="1:11" s="301" customFormat="1" ht="9.6" customHeight="1">
      <c r="A5" s="551" t="s">
        <v>87</v>
      </c>
      <c r="B5" s="510" t="s">
        <v>312</v>
      </c>
      <c r="C5" s="511">
        <v>40.090769999999999</v>
      </c>
      <c r="D5" s="511">
        <v>112.1328</v>
      </c>
      <c r="E5" s="511">
        <v>112.66211</v>
      </c>
      <c r="F5" s="708">
        <f t="shared" ref="F5:F69" si="0">+IF(D5=0,"",C5/D5-1)</f>
        <v>-0.64247062411711831</v>
      </c>
      <c r="J5" s="419"/>
      <c r="K5" s="419"/>
    </row>
    <row r="6" spans="1:11" s="301" customFormat="1" ht="9.6" customHeight="1">
      <c r="A6" s="551"/>
      <c r="B6" s="510" t="s">
        <v>313</v>
      </c>
      <c r="C6" s="511">
        <v>66.505769999999998</v>
      </c>
      <c r="D6" s="511">
        <v>79.475610000000003</v>
      </c>
      <c r="E6" s="511">
        <v>130.34826000000001</v>
      </c>
      <c r="F6" s="708">
        <f t="shared" si="0"/>
        <v>-0.16319270780054418</v>
      </c>
      <c r="J6" s="419"/>
      <c r="K6" s="419"/>
    </row>
    <row r="7" spans="1:11" s="301" customFormat="1" ht="9.6" customHeight="1">
      <c r="A7" s="551"/>
      <c r="B7" s="510" t="s">
        <v>314</v>
      </c>
      <c r="C7" s="511">
        <v>764.3053900000001</v>
      </c>
      <c r="D7" s="511">
        <v>737.60181</v>
      </c>
      <c r="E7" s="511">
        <v>329.78017</v>
      </c>
      <c r="F7" s="708">
        <f t="shared" si="0"/>
        <v>3.6203246301687031E-2</v>
      </c>
      <c r="J7" s="419"/>
      <c r="K7" s="419"/>
    </row>
    <row r="8" spans="1:11" s="301" customFormat="1" ht="9.6" customHeight="1">
      <c r="A8" s="551"/>
      <c r="B8" s="510" t="s">
        <v>315</v>
      </c>
      <c r="C8" s="511">
        <v>101.2364</v>
      </c>
      <c r="D8" s="511">
        <v>0</v>
      </c>
      <c r="E8" s="511">
        <v>101.40103999999999</v>
      </c>
      <c r="F8" s="708" t="str">
        <f t="shared" si="0"/>
        <v/>
      </c>
      <c r="K8" s="419"/>
    </row>
    <row r="9" spans="1:11" s="301" customFormat="1" ht="9.6" customHeight="1">
      <c r="A9" s="551"/>
      <c r="B9" s="510" t="s">
        <v>316</v>
      </c>
      <c r="C9" s="511">
        <v>0</v>
      </c>
      <c r="D9" s="511">
        <v>0</v>
      </c>
      <c r="E9" s="511">
        <v>0</v>
      </c>
      <c r="F9" s="708" t="str">
        <f t="shared" si="0"/>
        <v/>
      </c>
      <c r="K9" s="419"/>
    </row>
    <row r="10" spans="1:11" s="301" customFormat="1" ht="9.6" customHeight="1">
      <c r="A10" s="551"/>
      <c r="B10" s="510" t="s">
        <v>317</v>
      </c>
      <c r="C10" s="511">
        <v>0</v>
      </c>
      <c r="D10" s="511">
        <v>0</v>
      </c>
      <c r="E10" s="511">
        <v>0</v>
      </c>
      <c r="F10" s="708" t="str">
        <f t="shared" si="0"/>
        <v/>
      </c>
      <c r="K10" s="419"/>
    </row>
    <row r="11" spans="1:11" s="301" customFormat="1" ht="9.6" customHeight="1">
      <c r="A11" s="551"/>
      <c r="B11" s="510" t="s">
        <v>318</v>
      </c>
      <c r="C11" s="511">
        <v>0</v>
      </c>
      <c r="D11" s="511">
        <v>0</v>
      </c>
      <c r="E11" s="511">
        <v>0</v>
      </c>
      <c r="F11" s="708" t="str">
        <f t="shared" si="0"/>
        <v/>
      </c>
      <c r="J11" s="419"/>
      <c r="K11" s="419"/>
    </row>
    <row r="12" spans="1:11" s="301" customFormat="1" ht="9.6" customHeight="1">
      <c r="A12" s="551"/>
      <c r="B12" s="510" t="s">
        <v>423</v>
      </c>
      <c r="C12" s="511">
        <v>0</v>
      </c>
      <c r="D12" s="511">
        <v>0</v>
      </c>
      <c r="E12" s="511">
        <v>0</v>
      </c>
      <c r="F12" s="708" t="str">
        <f t="shared" si="0"/>
        <v/>
      </c>
      <c r="J12" s="419"/>
      <c r="K12" s="419"/>
    </row>
    <row r="13" spans="1:11" s="301" customFormat="1" ht="9.6" customHeight="1">
      <c r="A13" s="552" t="s">
        <v>560</v>
      </c>
      <c r="B13" s="408"/>
      <c r="C13" s="409">
        <v>972.13833000000011</v>
      </c>
      <c r="D13" s="409">
        <v>929.21021999999994</v>
      </c>
      <c r="E13" s="409">
        <v>674.19157999999993</v>
      </c>
      <c r="F13" s="707">
        <f t="shared" si="0"/>
        <v>4.6198491015305709E-2</v>
      </c>
      <c r="J13" s="419"/>
      <c r="K13" s="419"/>
    </row>
    <row r="14" spans="1:11" s="301" customFormat="1" ht="9.6" customHeight="1">
      <c r="A14" s="551" t="s">
        <v>237</v>
      </c>
      <c r="B14" s="510" t="s">
        <v>319</v>
      </c>
      <c r="C14" s="511">
        <v>540.08069</v>
      </c>
      <c r="D14" s="511">
        <v>546.11649</v>
      </c>
      <c r="E14" s="511">
        <v>0</v>
      </c>
      <c r="F14" s="708">
        <f t="shared" si="0"/>
        <v>-1.1052220745064845E-2</v>
      </c>
      <c r="J14" s="419"/>
      <c r="K14" s="419"/>
    </row>
    <row r="15" spans="1:11" s="301" customFormat="1" ht="9.6" customHeight="1">
      <c r="A15" s="552" t="s">
        <v>561</v>
      </c>
      <c r="B15" s="408"/>
      <c r="C15" s="409">
        <v>540.08069</v>
      </c>
      <c r="D15" s="409">
        <v>546.11649</v>
      </c>
      <c r="E15" s="409">
        <v>0</v>
      </c>
      <c r="F15" s="707">
        <f t="shared" si="0"/>
        <v>-1.1052220745064845E-2</v>
      </c>
      <c r="J15" s="419"/>
      <c r="K15" s="419"/>
    </row>
    <row r="16" spans="1:11" s="301" customFormat="1" ht="9.6" customHeight="1">
      <c r="A16" s="551" t="s">
        <v>448</v>
      </c>
      <c r="B16" s="510" t="s">
        <v>453</v>
      </c>
      <c r="C16" s="511">
        <v>7.9807899999999998</v>
      </c>
      <c r="D16" s="511">
        <v>4.8914400000000002</v>
      </c>
      <c r="E16" s="511">
        <v>3.98584</v>
      </c>
      <c r="F16" s="708">
        <f t="shared" si="0"/>
        <v>0.63158292854455933</v>
      </c>
      <c r="J16" s="419"/>
      <c r="K16" s="419"/>
    </row>
    <row r="17" spans="1:11" s="301" customFormat="1" ht="9.6" customHeight="1">
      <c r="A17" s="551"/>
      <c r="B17" s="510" t="s">
        <v>449</v>
      </c>
      <c r="C17" s="511">
        <v>3.1246800000000001</v>
      </c>
      <c r="D17" s="511">
        <v>0</v>
      </c>
      <c r="E17" s="511">
        <v>8.5023599999999995</v>
      </c>
      <c r="F17" s="708" t="str">
        <f t="shared" si="0"/>
        <v/>
      </c>
      <c r="J17" s="419"/>
      <c r="K17" s="419"/>
    </row>
    <row r="18" spans="1:11" s="301" customFormat="1" ht="9.6" customHeight="1">
      <c r="A18" s="552" t="s">
        <v>562</v>
      </c>
      <c r="B18" s="408"/>
      <c r="C18" s="409">
        <v>11.10547</v>
      </c>
      <c r="D18" s="409">
        <v>4.8914400000000002</v>
      </c>
      <c r="E18" s="409">
        <v>12.488199999999999</v>
      </c>
      <c r="F18" s="707">
        <f t="shared" si="0"/>
        <v>1.2703886789984136</v>
      </c>
      <c r="J18" s="419"/>
      <c r="K18" s="419"/>
    </row>
    <row r="19" spans="1:11" s="301" customFormat="1" ht="9.6" customHeight="1">
      <c r="A19" s="551" t="s">
        <v>108</v>
      </c>
      <c r="B19" s="510" t="s">
        <v>66</v>
      </c>
      <c r="C19" s="511">
        <v>7.3231299999999999</v>
      </c>
      <c r="D19" s="511">
        <v>7.0190599999999996</v>
      </c>
      <c r="E19" s="511">
        <v>7.0587499999999999</v>
      </c>
      <c r="F19" s="708">
        <f t="shared" si="0"/>
        <v>4.3320615581003752E-2</v>
      </c>
      <c r="J19" s="419"/>
      <c r="K19" s="419"/>
    </row>
    <row r="20" spans="1:11" s="301" customFormat="1" ht="9.6" customHeight="1">
      <c r="A20" s="551"/>
      <c r="B20" s="510" t="s">
        <v>412</v>
      </c>
      <c r="C20" s="511">
        <v>5.08894</v>
      </c>
      <c r="D20" s="511">
        <v>4.9965200000000003</v>
      </c>
      <c r="E20" s="511">
        <v>16.498329999999999</v>
      </c>
      <c r="F20" s="708"/>
      <c r="J20" s="419"/>
      <c r="K20" s="419"/>
    </row>
    <row r="21" spans="1:11" s="301" customFormat="1" ht="9.6" customHeight="1">
      <c r="A21" s="551"/>
      <c r="B21" s="510" t="s">
        <v>410</v>
      </c>
      <c r="C21" s="511">
        <v>7.2903399999999996</v>
      </c>
      <c r="D21" s="511">
        <v>7.2224000000000004</v>
      </c>
      <c r="E21" s="511">
        <v>16.502330000000001</v>
      </c>
      <c r="F21" s="708"/>
      <c r="J21" s="419"/>
      <c r="K21" s="419"/>
    </row>
    <row r="22" spans="1:11" s="301" customFormat="1" ht="9.6" customHeight="1">
      <c r="A22" s="551"/>
      <c r="B22" s="510" t="s">
        <v>411</v>
      </c>
      <c r="C22" s="511">
        <v>7.4527099999999997</v>
      </c>
      <c r="D22" s="511">
        <v>7.1738999999999997</v>
      </c>
      <c r="E22" s="511">
        <v>16.442630000000001</v>
      </c>
      <c r="F22" s="708"/>
      <c r="J22" s="419"/>
      <c r="K22" s="419"/>
    </row>
    <row r="23" spans="1:11" s="301" customFormat="1" ht="9.6" customHeight="1">
      <c r="A23" s="552" t="s">
        <v>563</v>
      </c>
      <c r="B23" s="408"/>
      <c r="C23" s="409">
        <v>27.15512</v>
      </c>
      <c r="D23" s="409">
        <v>26.41188</v>
      </c>
      <c r="E23" s="409">
        <v>56.502040000000001</v>
      </c>
      <c r="F23" s="707">
        <f t="shared" si="0"/>
        <v>2.8140367137818201E-2</v>
      </c>
      <c r="J23" s="419"/>
      <c r="K23" s="419"/>
    </row>
    <row r="24" spans="1:11" s="301" customFormat="1" ht="9.6" customHeight="1">
      <c r="A24" s="551" t="s">
        <v>485</v>
      </c>
      <c r="B24" s="510" t="s">
        <v>502</v>
      </c>
      <c r="C24" s="511">
        <v>0</v>
      </c>
      <c r="D24" s="511"/>
      <c r="E24" s="511">
        <v>0</v>
      </c>
      <c r="F24" s="708" t="str">
        <f t="shared" si="0"/>
        <v/>
      </c>
      <c r="J24" s="419"/>
      <c r="K24" s="419"/>
    </row>
    <row r="25" spans="1:11" s="301" customFormat="1" ht="9.6" customHeight="1">
      <c r="A25" s="552" t="s">
        <v>564</v>
      </c>
      <c r="B25" s="408"/>
      <c r="C25" s="409">
        <v>0</v>
      </c>
      <c r="D25" s="409"/>
      <c r="E25" s="409">
        <v>0</v>
      </c>
      <c r="F25" s="707" t="str">
        <f t="shared" si="0"/>
        <v/>
      </c>
      <c r="J25" s="419"/>
      <c r="K25" s="419"/>
    </row>
    <row r="26" spans="1:11" s="301" customFormat="1" ht="9.6" customHeight="1">
      <c r="A26" s="551" t="s">
        <v>486</v>
      </c>
      <c r="B26" s="510" t="s">
        <v>628</v>
      </c>
      <c r="C26" s="511">
        <v>0.30436000000000002</v>
      </c>
      <c r="D26" s="511"/>
      <c r="E26" s="511">
        <v>0</v>
      </c>
      <c r="F26" s="708" t="str">
        <f t="shared" si="0"/>
        <v/>
      </c>
      <c r="J26" s="419"/>
      <c r="K26" s="419"/>
    </row>
    <row r="27" spans="1:11" s="301" customFormat="1" ht="9.6" customHeight="1">
      <c r="A27" s="552" t="s">
        <v>565</v>
      </c>
      <c r="B27" s="408"/>
      <c r="C27" s="409">
        <v>0.30436000000000002</v>
      </c>
      <c r="D27" s="409"/>
      <c r="E27" s="409">
        <v>0</v>
      </c>
      <c r="F27" s="707" t="str">
        <f t="shared" si="0"/>
        <v/>
      </c>
      <c r="J27" s="419"/>
      <c r="K27" s="419"/>
    </row>
    <row r="28" spans="1:11" s="301" customFormat="1" ht="9.6" customHeight="1">
      <c r="A28" s="551" t="s">
        <v>114</v>
      </c>
      <c r="B28" s="510" t="s">
        <v>74</v>
      </c>
      <c r="C28" s="511">
        <v>3.2</v>
      </c>
      <c r="D28" s="511">
        <v>2.4</v>
      </c>
      <c r="E28" s="511">
        <v>3.2</v>
      </c>
      <c r="F28" s="708">
        <f t="shared" si="0"/>
        <v>0.33333333333333348</v>
      </c>
      <c r="J28" s="419"/>
      <c r="K28" s="419"/>
    </row>
    <row r="29" spans="1:11" s="301" customFormat="1" ht="9.6" customHeight="1">
      <c r="A29" s="552" t="s">
        <v>566</v>
      </c>
      <c r="B29" s="408"/>
      <c r="C29" s="409">
        <v>3.2</v>
      </c>
      <c r="D29" s="409">
        <v>2.4</v>
      </c>
      <c r="E29" s="409">
        <v>3.2</v>
      </c>
      <c r="F29" s="707">
        <f t="shared" si="0"/>
        <v>0.33333333333333348</v>
      </c>
      <c r="J29" s="419"/>
      <c r="K29" s="419"/>
    </row>
    <row r="30" spans="1:11" s="301" customFormat="1" ht="9.6" customHeight="1">
      <c r="A30" s="551" t="s">
        <v>103</v>
      </c>
      <c r="B30" s="510" t="s">
        <v>320</v>
      </c>
      <c r="C30" s="511">
        <v>15.986270000000001</v>
      </c>
      <c r="D30" s="511">
        <v>15.61232</v>
      </c>
      <c r="E30" s="511">
        <v>16.027529999999999</v>
      </c>
      <c r="F30" s="708">
        <f t="shared" si="0"/>
        <v>2.3952237719954583E-2</v>
      </c>
      <c r="J30" s="419"/>
      <c r="K30" s="419"/>
    </row>
    <row r="31" spans="1:11" s="301" customFormat="1" ht="9.6" customHeight="1">
      <c r="A31" s="552" t="s">
        <v>567</v>
      </c>
      <c r="B31" s="408"/>
      <c r="C31" s="409">
        <v>15.986270000000001</v>
      </c>
      <c r="D31" s="409">
        <v>15.61232</v>
      </c>
      <c r="E31" s="409">
        <v>16.027529999999999</v>
      </c>
      <c r="F31" s="707">
        <f t="shared" si="0"/>
        <v>2.3952237719954583E-2</v>
      </c>
      <c r="J31" s="419"/>
      <c r="K31" s="419"/>
    </row>
    <row r="32" spans="1:11" s="301" customFormat="1" ht="9.6" customHeight="1">
      <c r="A32" s="551" t="s">
        <v>238</v>
      </c>
      <c r="B32" s="510" t="s">
        <v>59</v>
      </c>
      <c r="C32" s="511">
        <v>15.518419999999999</v>
      </c>
      <c r="D32" s="511">
        <v>15.024900000000001</v>
      </c>
      <c r="E32" s="511">
        <v>7.4131999999999998</v>
      </c>
      <c r="F32" s="708">
        <f t="shared" si="0"/>
        <v>3.28468076326629E-2</v>
      </c>
      <c r="J32" s="419"/>
      <c r="K32" s="419"/>
    </row>
    <row r="33" spans="1:11" s="301" customFormat="1" ht="9.6" customHeight="1">
      <c r="A33" s="552" t="s">
        <v>568</v>
      </c>
      <c r="B33" s="408"/>
      <c r="C33" s="409">
        <v>15.518419999999999</v>
      </c>
      <c r="D33" s="409">
        <v>15.024900000000001</v>
      </c>
      <c r="E33" s="409">
        <v>7.4131999999999998</v>
      </c>
      <c r="F33" s="707">
        <f t="shared" si="0"/>
        <v>3.28468076326629E-2</v>
      </c>
      <c r="J33" s="419"/>
      <c r="K33" s="419"/>
    </row>
    <row r="34" spans="1:11" s="301" customFormat="1" ht="9.6" customHeight="1">
      <c r="A34" s="551" t="s">
        <v>409</v>
      </c>
      <c r="B34" s="510" t="s">
        <v>456</v>
      </c>
      <c r="C34" s="511">
        <v>0.52800000000000002</v>
      </c>
      <c r="D34" s="511">
        <v>0</v>
      </c>
      <c r="E34" s="511">
        <v>0.90400000000000003</v>
      </c>
      <c r="F34" s="708" t="str">
        <f t="shared" si="0"/>
        <v/>
      </c>
      <c r="J34" s="419"/>
      <c r="K34" s="419"/>
    </row>
    <row r="35" spans="1:11" s="301" customFormat="1" ht="9.6" customHeight="1">
      <c r="A35" s="552" t="s">
        <v>569</v>
      </c>
      <c r="B35" s="408"/>
      <c r="C35" s="409">
        <v>0.52800000000000002</v>
      </c>
      <c r="D35" s="409">
        <v>0</v>
      </c>
      <c r="E35" s="409">
        <v>0.90400000000000003</v>
      </c>
      <c r="F35" s="707" t="str">
        <f t="shared" si="0"/>
        <v/>
      </c>
      <c r="J35" s="419"/>
      <c r="K35" s="419"/>
    </row>
    <row r="36" spans="1:11" s="301" customFormat="1" ht="9.6" customHeight="1">
      <c r="A36" s="551" t="s">
        <v>425</v>
      </c>
      <c r="B36" s="510" t="s">
        <v>429</v>
      </c>
      <c r="C36" s="511">
        <v>67.226389999999995</v>
      </c>
      <c r="D36" s="511">
        <v>74.079190000000011</v>
      </c>
      <c r="E36" s="511">
        <v>89.74315</v>
      </c>
      <c r="F36" s="708">
        <f t="shared" si="0"/>
        <v>-9.2506411044721348E-2</v>
      </c>
      <c r="J36" s="419"/>
      <c r="K36" s="419"/>
    </row>
    <row r="37" spans="1:11" s="301" customFormat="1" ht="9.6" customHeight="1">
      <c r="A37" s="552" t="s">
        <v>570</v>
      </c>
      <c r="B37" s="408"/>
      <c r="C37" s="409">
        <v>67.226389999999995</v>
      </c>
      <c r="D37" s="409">
        <v>74.079190000000011</v>
      </c>
      <c r="E37" s="409">
        <v>89.74315</v>
      </c>
      <c r="F37" s="707">
        <f t="shared" si="0"/>
        <v>-9.2506411044721348E-2</v>
      </c>
      <c r="J37" s="419"/>
      <c r="K37" s="419"/>
    </row>
    <row r="38" spans="1:11" s="567" customFormat="1" ht="9.6" customHeight="1">
      <c r="A38" s="789" t="s">
        <v>462</v>
      </c>
      <c r="B38" s="790" t="s">
        <v>478</v>
      </c>
      <c r="C38" s="791">
        <v>9.2861399999999996</v>
      </c>
      <c r="D38" s="791">
        <v>0</v>
      </c>
      <c r="E38" s="791">
        <v>10.40391</v>
      </c>
      <c r="F38" s="792" t="str">
        <f t="shared" si="0"/>
        <v/>
      </c>
      <c r="J38" s="793"/>
      <c r="K38" s="793"/>
    </row>
    <row r="39" spans="1:11" s="301" customFormat="1" ht="9.6" customHeight="1">
      <c r="A39" s="552" t="s">
        <v>571</v>
      </c>
      <c r="B39" s="408"/>
      <c r="C39" s="409">
        <v>9.2861399999999996</v>
      </c>
      <c r="D39" s="409">
        <v>0</v>
      </c>
      <c r="E39" s="409">
        <v>10.40391</v>
      </c>
      <c r="F39" s="707" t="str">
        <f t="shared" si="0"/>
        <v/>
      </c>
      <c r="J39" s="419"/>
      <c r="K39" s="419"/>
    </row>
    <row r="40" spans="1:11" s="301" customFormat="1" ht="9.6" customHeight="1">
      <c r="A40" s="551" t="s">
        <v>116</v>
      </c>
      <c r="B40" s="510" t="s">
        <v>322</v>
      </c>
      <c r="C40" s="511">
        <v>0</v>
      </c>
      <c r="D40" s="511">
        <v>0</v>
      </c>
      <c r="E40" s="511">
        <v>0</v>
      </c>
      <c r="F40" s="708" t="str">
        <f t="shared" si="0"/>
        <v/>
      </c>
      <c r="J40" s="419"/>
      <c r="K40" s="419"/>
    </row>
    <row r="41" spans="1:11" s="301" customFormat="1" ht="9.6" customHeight="1">
      <c r="A41" s="551"/>
      <c r="B41" s="510" t="s">
        <v>323</v>
      </c>
      <c r="C41" s="511">
        <v>0</v>
      </c>
      <c r="D41" s="511">
        <v>0</v>
      </c>
      <c r="E41" s="511">
        <v>0</v>
      </c>
      <c r="F41" s="708" t="str">
        <f t="shared" si="0"/>
        <v/>
      </c>
      <c r="J41" s="419"/>
      <c r="K41" s="419"/>
    </row>
    <row r="42" spans="1:11" s="301" customFormat="1" ht="9.6" customHeight="1">
      <c r="A42" s="552" t="s">
        <v>572</v>
      </c>
      <c r="B42" s="408"/>
      <c r="C42" s="409">
        <v>0</v>
      </c>
      <c r="D42" s="409">
        <v>0</v>
      </c>
      <c r="E42" s="409">
        <v>0</v>
      </c>
      <c r="F42" s="707" t="str">
        <f t="shared" si="0"/>
        <v/>
      </c>
      <c r="J42" s="419"/>
      <c r="K42" s="419"/>
    </row>
    <row r="43" spans="1:11" s="301" customFormat="1" ht="9.6" customHeight="1">
      <c r="A43" s="551" t="s">
        <v>407</v>
      </c>
      <c r="B43" s="510" t="s">
        <v>324</v>
      </c>
      <c r="C43" s="511">
        <v>517.28671999999995</v>
      </c>
      <c r="D43" s="511">
        <v>261.18277</v>
      </c>
      <c r="E43" s="511">
        <v>616.02841999999998</v>
      </c>
      <c r="F43" s="708">
        <f t="shared" si="0"/>
        <v>0.98055453657988201</v>
      </c>
      <c r="J43" s="419"/>
      <c r="K43" s="419"/>
    </row>
    <row r="44" spans="1:11" s="301" customFormat="1" ht="9.6" customHeight="1">
      <c r="A44" s="551"/>
      <c r="B44" s="510" t="s">
        <v>325</v>
      </c>
      <c r="C44" s="511">
        <v>183.97984</v>
      </c>
      <c r="D44" s="511">
        <v>184.59640999999999</v>
      </c>
      <c r="E44" s="511">
        <v>175.20802</v>
      </c>
      <c r="F44" s="708">
        <f t="shared" si="0"/>
        <v>-3.3400974591000221E-3</v>
      </c>
      <c r="J44" s="419"/>
      <c r="K44" s="419"/>
    </row>
    <row r="45" spans="1:11" s="301" customFormat="1" ht="9.6" customHeight="1">
      <c r="A45" s="551"/>
      <c r="B45" s="510" t="s">
        <v>427</v>
      </c>
      <c r="C45" s="511">
        <v>79.525139999999993</v>
      </c>
      <c r="D45" s="511">
        <v>341.62626</v>
      </c>
      <c r="E45" s="511">
        <v>539.19046000000003</v>
      </c>
      <c r="F45" s="708">
        <f t="shared" si="0"/>
        <v>-0.7672159628478209</v>
      </c>
      <c r="J45" s="419"/>
      <c r="K45" s="419"/>
    </row>
    <row r="46" spans="1:11" s="301" customFormat="1" ht="9.6" customHeight="1">
      <c r="A46" s="551"/>
      <c r="B46" s="510" t="s">
        <v>326</v>
      </c>
      <c r="C46" s="511">
        <v>4.41751</v>
      </c>
      <c r="D46" s="511">
        <v>4.4319499999999996</v>
      </c>
      <c r="E46" s="511">
        <v>10.164020000000001</v>
      </c>
      <c r="F46" s="708">
        <f t="shared" si="0"/>
        <v>-3.2581595008968067E-3</v>
      </c>
      <c r="J46" s="419"/>
      <c r="K46" s="419"/>
    </row>
    <row r="47" spans="1:11" s="301" customFormat="1" ht="9.6" customHeight="1">
      <c r="A47" s="552" t="s">
        <v>573</v>
      </c>
      <c r="B47" s="408"/>
      <c r="C47" s="409">
        <v>785.20920999999987</v>
      </c>
      <c r="D47" s="409">
        <v>791.83739000000003</v>
      </c>
      <c r="E47" s="409">
        <v>1340.5909199999999</v>
      </c>
      <c r="F47" s="707">
        <f t="shared" si="0"/>
        <v>-8.370632763376018E-3</v>
      </c>
      <c r="J47" s="419"/>
      <c r="K47" s="419"/>
    </row>
    <row r="48" spans="1:11" s="301" customFormat="1" ht="9.6" customHeight="1">
      <c r="A48" s="551" t="s">
        <v>519</v>
      </c>
      <c r="B48" s="510" t="s">
        <v>733</v>
      </c>
      <c r="C48" s="511">
        <v>28.0063</v>
      </c>
      <c r="D48" s="511"/>
      <c r="E48" s="511"/>
      <c r="F48" s="708" t="str">
        <f t="shared" si="0"/>
        <v/>
      </c>
      <c r="J48" s="419"/>
      <c r="K48" s="419"/>
    </row>
    <row r="49" spans="1:11" s="301" customFormat="1" ht="9.6" customHeight="1">
      <c r="A49" s="552" t="s">
        <v>574</v>
      </c>
      <c r="B49" s="408"/>
      <c r="C49" s="409">
        <v>28.0063</v>
      </c>
      <c r="D49" s="409"/>
      <c r="E49" s="409"/>
      <c r="F49" s="707" t="str">
        <f t="shared" si="0"/>
        <v/>
      </c>
      <c r="J49" s="419"/>
      <c r="K49" s="419"/>
    </row>
    <row r="50" spans="1:11" s="301" customFormat="1" ht="9.6" customHeight="1">
      <c r="A50" s="551" t="s">
        <v>115</v>
      </c>
      <c r="B50" s="510" t="s">
        <v>72</v>
      </c>
      <c r="C50" s="511">
        <v>1.9338599999999999</v>
      </c>
      <c r="D50" s="511">
        <v>1.3103199999999999</v>
      </c>
      <c r="E50" s="511">
        <v>2.9035199999999999</v>
      </c>
      <c r="F50" s="708">
        <f t="shared" si="0"/>
        <v>0.47586849013981314</v>
      </c>
      <c r="J50" s="419"/>
      <c r="K50" s="419"/>
    </row>
    <row r="51" spans="1:11" s="301" customFormat="1" ht="9.6" customHeight="1">
      <c r="A51" s="552" t="s">
        <v>575</v>
      </c>
      <c r="B51" s="408"/>
      <c r="C51" s="409">
        <v>1.9338599999999999</v>
      </c>
      <c r="D51" s="409">
        <v>1.3103199999999999</v>
      </c>
      <c r="E51" s="409">
        <v>2.9035199999999999</v>
      </c>
      <c r="F51" s="707">
        <f t="shared" si="0"/>
        <v>0.47586849013981314</v>
      </c>
      <c r="J51" s="419"/>
      <c r="K51" s="419"/>
    </row>
    <row r="52" spans="1:11" s="301" customFormat="1" ht="9.6" customHeight="1">
      <c r="A52" s="551" t="s">
        <v>483</v>
      </c>
      <c r="B52" s="510" t="s">
        <v>231</v>
      </c>
      <c r="C52" s="511">
        <v>0</v>
      </c>
      <c r="D52" s="511">
        <v>0</v>
      </c>
      <c r="E52" s="511">
        <v>0</v>
      </c>
      <c r="F52" s="708" t="str">
        <f t="shared" si="0"/>
        <v/>
      </c>
      <c r="J52" s="419"/>
      <c r="K52" s="419"/>
    </row>
    <row r="53" spans="1:11" s="301" customFormat="1" ht="9.6" customHeight="1">
      <c r="A53" s="552" t="s">
        <v>576</v>
      </c>
      <c r="B53" s="408"/>
      <c r="C53" s="409">
        <v>0</v>
      </c>
      <c r="D53" s="409">
        <v>0</v>
      </c>
      <c r="E53" s="409">
        <v>0</v>
      </c>
      <c r="F53" s="707" t="str">
        <f t="shared" si="0"/>
        <v/>
      </c>
      <c r="J53" s="419"/>
      <c r="K53" s="419"/>
    </row>
    <row r="54" spans="1:11" s="301" customFormat="1" ht="9.6" customHeight="1">
      <c r="A54" s="551" t="s">
        <v>110</v>
      </c>
      <c r="B54" s="510" t="s">
        <v>81</v>
      </c>
      <c r="C54" s="511">
        <v>0</v>
      </c>
      <c r="D54" s="511">
        <v>0</v>
      </c>
      <c r="E54" s="511">
        <v>0</v>
      </c>
      <c r="F54" s="708" t="str">
        <f t="shared" si="0"/>
        <v/>
      </c>
      <c r="J54" s="419"/>
      <c r="K54" s="419"/>
    </row>
    <row r="55" spans="1:11" s="301" customFormat="1" ht="9.6" customHeight="1">
      <c r="A55" s="552" t="s">
        <v>577</v>
      </c>
      <c r="B55" s="408"/>
      <c r="C55" s="409">
        <v>0</v>
      </c>
      <c r="D55" s="409">
        <v>0</v>
      </c>
      <c r="E55" s="409">
        <v>0</v>
      </c>
      <c r="F55" s="707" t="str">
        <f t="shared" si="0"/>
        <v/>
      </c>
      <c r="J55" s="419"/>
      <c r="K55" s="419"/>
    </row>
    <row r="56" spans="1:11" s="301" customFormat="1" ht="9.6" customHeight="1">
      <c r="A56" s="551" t="s">
        <v>239</v>
      </c>
      <c r="B56" s="510" t="s">
        <v>71</v>
      </c>
      <c r="C56" s="511">
        <v>5.63774</v>
      </c>
      <c r="D56" s="511">
        <v>5.4946099999999998</v>
      </c>
      <c r="E56" s="511">
        <v>5.6152699999999998</v>
      </c>
      <c r="F56" s="708">
        <f t="shared" si="0"/>
        <v>2.6049164544890369E-2</v>
      </c>
      <c r="J56" s="419"/>
      <c r="K56" s="419"/>
    </row>
    <row r="57" spans="1:11" s="301" customFormat="1" ht="9.6" customHeight="1">
      <c r="A57" s="551"/>
      <c r="B57" s="510" t="s">
        <v>327</v>
      </c>
      <c r="C57" s="511">
        <v>97.819430000000011</v>
      </c>
      <c r="D57" s="511">
        <v>86.896360000000001</v>
      </c>
      <c r="E57" s="511">
        <v>238.92627999999999</v>
      </c>
      <c r="F57" s="708">
        <f t="shared" si="0"/>
        <v>0.12570227337485718</v>
      </c>
      <c r="J57" s="419"/>
      <c r="K57" s="419"/>
    </row>
    <row r="58" spans="1:11" s="301" customFormat="1" ht="9.6" customHeight="1">
      <c r="A58" s="551"/>
      <c r="B58" s="510" t="s">
        <v>328</v>
      </c>
      <c r="C58" s="511">
        <v>92.044839999999994</v>
      </c>
      <c r="D58" s="511">
        <v>76.757129999999989</v>
      </c>
      <c r="E58" s="511">
        <v>91.307590000000005</v>
      </c>
      <c r="F58" s="708">
        <f t="shared" si="0"/>
        <v>0.19916990121960021</v>
      </c>
      <c r="J58" s="419"/>
      <c r="K58" s="419"/>
    </row>
    <row r="59" spans="1:11" s="301" customFormat="1" ht="9.6" customHeight="1">
      <c r="A59" s="551"/>
      <c r="B59" s="510" t="s">
        <v>62</v>
      </c>
      <c r="C59" s="511">
        <v>9.9167500000000004</v>
      </c>
      <c r="D59" s="511">
        <v>9.9293600000000009</v>
      </c>
      <c r="E59" s="511">
        <v>9.9234399999999994</v>
      </c>
      <c r="F59" s="708">
        <f t="shared" si="0"/>
        <v>-1.2699710756786109E-3</v>
      </c>
      <c r="J59" s="419"/>
      <c r="K59" s="419"/>
    </row>
    <row r="60" spans="1:11" s="301" customFormat="1" ht="9.6" customHeight="1">
      <c r="A60" s="552" t="s">
        <v>578</v>
      </c>
      <c r="B60" s="408"/>
      <c r="C60" s="409">
        <v>205.41875999999999</v>
      </c>
      <c r="D60" s="409">
        <v>179.07746</v>
      </c>
      <c r="E60" s="409">
        <v>345.77258000000006</v>
      </c>
      <c r="F60" s="707">
        <f t="shared" si="0"/>
        <v>0.14709444728554888</v>
      </c>
      <c r="J60" s="419"/>
      <c r="K60" s="419"/>
    </row>
    <row r="61" spans="1:11" s="301" customFormat="1" ht="9.6" customHeight="1">
      <c r="A61" s="551" t="s">
        <v>240</v>
      </c>
      <c r="B61" s="510" t="s">
        <v>78</v>
      </c>
      <c r="C61" s="511">
        <v>27.913160000000001</v>
      </c>
      <c r="D61" s="511">
        <v>31.261310000000002</v>
      </c>
      <c r="E61" s="511">
        <v>26.21172</v>
      </c>
      <c r="F61" s="708">
        <f t="shared" si="0"/>
        <v>-0.10710203763054071</v>
      </c>
      <c r="J61" s="419"/>
      <c r="K61" s="419"/>
    </row>
    <row r="62" spans="1:11" s="301" customFormat="1" ht="9.6" customHeight="1">
      <c r="A62" s="552" t="s">
        <v>579</v>
      </c>
      <c r="B62" s="408"/>
      <c r="C62" s="409">
        <v>27.913160000000001</v>
      </c>
      <c r="D62" s="409">
        <v>31.261310000000002</v>
      </c>
      <c r="E62" s="409">
        <v>26.21172</v>
      </c>
      <c r="F62" s="707">
        <f t="shared" si="0"/>
        <v>-0.10710203763054071</v>
      </c>
      <c r="J62" s="419"/>
      <c r="K62" s="419"/>
    </row>
    <row r="63" spans="1:11" s="301" customFormat="1" ht="9.6" customHeight="1">
      <c r="A63" s="551" t="s">
        <v>99</v>
      </c>
      <c r="B63" s="510" t="s">
        <v>76</v>
      </c>
      <c r="C63" s="511">
        <v>90.099869999999996</v>
      </c>
      <c r="D63" s="511">
        <v>92.051659999999998</v>
      </c>
      <c r="E63" s="511">
        <v>78.827539999999999</v>
      </c>
      <c r="F63" s="708">
        <f t="shared" si="0"/>
        <v>-2.1203202636432605E-2</v>
      </c>
      <c r="J63" s="419"/>
      <c r="K63" s="419"/>
    </row>
    <row r="64" spans="1:11" s="301" customFormat="1" ht="9.6" customHeight="1">
      <c r="A64" s="552" t="s">
        <v>580</v>
      </c>
      <c r="B64" s="408"/>
      <c r="C64" s="409">
        <v>90.099869999999996</v>
      </c>
      <c r="D64" s="409">
        <v>92.051659999999998</v>
      </c>
      <c r="E64" s="409">
        <v>78.827539999999999</v>
      </c>
      <c r="F64" s="707">
        <f t="shared" si="0"/>
        <v>-2.1203202636432605E-2</v>
      </c>
      <c r="J64" s="419"/>
      <c r="K64" s="419"/>
    </row>
    <row r="65" spans="1:11" s="301" customFormat="1" ht="9.6" customHeight="1">
      <c r="A65" s="551" t="s">
        <v>107</v>
      </c>
      <c r="B65" s="510" t="s">
        <v>230</v>
      </c>
      <c r="C65" s="511">
        <v>0</v>
      </c>
      <c r="D65" s="511">
        <v>0</v>
      </c>
      <c r="E65" s="511">
        <v>0</v>
      </c>
      <c r="F65" s="708" t="str">
        <f t="shared" si="0"/>
        <v/>
      </c>
      <c r="J65" s="419"/>
      <c r="K65" s="419"/>
    </row>
    <row r="66" spans="1:11" s="301" customFormat="1" ht="9.6" customHeight="1">
      <c r="A66" s="552" t="s">
        <v>581</v>
      </c>
      <c r="B66" s="408"/>
      <c r="C66" s="409">
        <v>0</v>
      </c>
      <c r="D66" s="409">
        <v>0</v>
      </c>
      <c r="E66" s="409">
        <v>0</v>
      </c>
      <c r="F66" s="707" t="str">
        <f t="shared" si="0"/>
        <v/>
      </c>
      <c r="J66" s="419"/>
      <c r="K66" s="419"/>
    </row>
    <row r="67" spans="1:11" s="301" customFormat="1" ht="9.6" customHeight="1">
      <c r="A67" s="551" t="s">
        <v>408</v>
      </c>
      <c r="B67" s="510" t="s">
        <v>85</v>
      </c>
      <c r="C67" s="511">
        <v>2.8712999999999997</v>
      </c>
      <c r="D67" s="511">
        <v>2.4988999999999999</v>
      </c>
      <c r="E67" s="511">
        <v>2.8205400000000003</v>
      </c>
      <c r="F67" s="708">
        <f t="shared" si="0"/>
        <v>0.14902557125135063</v>
      </c>
      <c r="J67" s="419"/>
      <c r="K67" s="419"/>
    </row>
    <row r="68" spans="1:11" s="301" customFormat="1" ht="9.6" customHeight="1">
      <c r="A68" s="551"/>
      <c r="B68" s="510" t="s">
        <v>84</v>
      </c>
      <c r="C68" s="511">
        <v>3.1325000000000003</v>
      </c>
      <c r="D68" s="511">
        <v>2.6596000000000002</v>
      </c>
      <c r="E68" s="511">
        <v>4.4353800000000003</v>
      </c>
      <c r="F68" s="708">
        <f t="shared" si="0"/>
        <v>0.17780869303654678</v>
      </c>
      <c r="J68" s="419"/>
      <c r="K68" s="419"/>
    </row>
    <row r="69" spans="1:11" s="301" customFormat="1" ht="9.6" customHeight="1">
      <c r="A69" s="551"/>
      <c r="B69" s="510" t="s">
        <v>424</v>
      </c>
      <c r="C69" s="511">
        <v>1.21</v>
      </c>
      <c r="D69" s="511">
        <v>0</v>
      </c>
      <c r="E69" s="511">
        <v>2.3075299999999999</v>
      </c>
      <c r="F69" s="708" t="str">
        <f t="shared" si="0"/>
        <v/>
      </c>
      <c r="J69" s="419"/>
      <c r="K69" s="419"/>
    </row>
    <row r="70" spans="1:11" ht="9.6" customHeight="1">
      <c r="A70" s="551"/>
      <c r="B70" s="510" t="s">
        <v>475</v>
      </c>
      <c r="C70" s="511">
        <v>2.4020000000000001</v>
      </c>
      <c r="D70" s="511">
        <v>0</v>
      </c>
      <c r="E70" s="511">
        <v>2.4023700000000003</v>
      </c>
      <c r="F70" s="708" t="str">
        <f t="shared" ref="F70:F77" si="1">+IF(D70=0,"",C70/D70-1)</f>
        <v/>
      </c>
    </row>
    <row r="71" spans="1:11" ht="9.6" customHeight="1">
      <c r="A71" s="552" t="s">
        <v>582</v>
      </c>
      <c r="B71" s="408"/>
      <c r="C71" s="409">
        <v>9.6158000000000001</v>
      </c>
      <c r="D71" s="409">
        <v>5.1585000000000001</v>
      </c>
      <c r="E71" s="409">
        <v>11.965820000000001</v>
      </c>
      <c r="F71" s="707">
        <f t="shared" si="1"/>
        <v>0.86406901230978006</v>
      </c>
    </row>
    <row r="72" spans="1:11" ht="9.6" customHeight="1">
      <c r="A72" s="551" t="s">
        <v>241</v>
      </c>
      <c r="B72" s="510" t="s">
        <v>329</v>
      </c>
      <c r="C72" s="511">
        <v>0</v>
      </c>
      <c r="D72" s="511">
        <v>0</v>
      </c>
      <c r="E72" s="511">
        <v>0</v>
      </c>
      <c r="F72" s="708" t="str">
        <f t="shared" si="1"/>
        <v/>
      </c>
    </row>
    <row r="73" spans="1:11" ht="9.6" customHeight="1">
      <c r="A73" s="552" t="s">
        <v>583</v>
      </c>
      <c r="B73" s="408"/>
      <c r="C73" s="409">
        <v>0</v>
      </c>
      <c r="D73" s="409">
        <v>0</v>
      </c>
      <c r="E73" s="409">
        <v>0</v>
      </c>
      <c r="F73" s="707" t="str">
        <f t="shared" si="1"/>
        <v/>
      </c>
    </row>
    <row r="74" spans="1:11" ht="9.6" customHeight="1">
      <c r="A74" s="551" t="s">
        <v>484</v>
      </c>
      <c r="B74" s="510" t="s">
        <v>82</v>
      </c>
      <c r="C74" s="511">
        <v>0</v>
      </c>
      <c r="D74" s="511">
        <v>0</v>
      </c>
      <c r="E74" s="511">
        <v>0</v>
      </c>
      <c r="F74" s="708" t="str">
        <f t="shared" si="1"/>
        <v/>
      </c>
    </row>
    <row r="75" spans="1:11" ht="9.6" customHeight="1">
      <c r="A75" s="552" t="s">
        <v>584</v>
      </c>
      <c r="B75" s="408"/>
      <c r="C75" s="409">
        <v>0</v>
      </c>
      <c r="D75" s="409">
        <v>0</v>
      </c>
      <c r="E75" s="409">
        <v>0</v>
      </c>
      <c r="F75" s="707" t="str">
        <f t="shared" si="1"/>
        <v/>
      </c>
    </row>
    <row r="76" spans="1:11" ht="9.6" customHeight="1">
      <c r="A76" s="551" t="s">
        <v>439</v>
      </c>
      <c r="B76" s="510" t="s">
        <v>450</v>
      </c>
      <c r="C76" s="511">
        <v>9.8742999999999999</v>
      </c>
      <c r="D76" s="511">
        <v>10.220700000000001</v>
      </c>
      <c r="E76" s="511">
        <v>19.997630000000001</v>
      </c>
      <c r="F76" s="708">
        <f t="shared" si="1"/>
        <v>-3.3892003483127486E-2</v>
      </c>
    </row>
    <row r="77" spans="1:11" ht="9.6" customHeight="1">
      <c r="A77" s="552" t="s">
        <v>585</v>
      </c>
      <c r="B77" s="408"/>
      <c r="C77" s="409">
        <v>9.8742999999999999</v>
      </c>
      <c r="D77" s="409">
        <v>10.220700000000001</v>
      </c>
      <c r="E77" s="409">
        <v>19.997630000000001</v>
      </c>
      <c r="F77" s="707">
        <f t="shared" si="1"/>
        <v>-3.3892003483127486E-2</v>
      </c>
    </row>
    <row r="78" spans="1:11">
      <c r="F78" s="709"/>
    </row>
    <row r="79" spans="1:11">
      <c r="F79" s="709"/>
    </row>
    <row r="80" spans="1:11">
      <c r="F80" s="709"/>
    </row>
    <row r="81" spans="6:6">
      <c r="F81" s="709"/>
    </row>
    <row r="82" spans="6:6">
      <c r="F82" s="709"/>
    </row>
    <row r="83" spans="6:6">
      <c r="F83" s="709"/>
    </row>
    <row r="84" spans="6:6">
      <c r="F84" s="709"/>
    </row>
  </sheetData>
  <mergeCells count="3">
    <mergeCell ref="A1:A4"/>
    <mergeCell ref="B1:B4"/>
    <mergeCell ref="C1:F1"/>
  </mergeCells>
  <pageMargins left="0.51816239316239321" right="0.43180199430199429" top="0.89814814814814814" bottom="0.62992125984251968" header="0.31496062992125984" footer="0.31496062992125984"/>
  <pageSetup paperSize="9" scale="97" orientation="portrait" r:id="rId1"/>
  <headerFooter>
    <oddHeader>&amp;R&amp;7Informe de la Operación Mensual - Junio 2021
INFSGI-MES-06-2021
12/07/2021
Versión: 01</oddHeader>
    <oddFooter>&amp;L&amp;7COES, 2021&amp;C22&amp;R&amp;7Dirección Ejecutiva
Sub Dirección de Gestión de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55"/>
  <sheetViews>
    <sheetView showGridLines="0" view="pageBreakPreview" zoomScale="110" zoomScaleNormal="100" zoomScaleSheetLayoutView="110" zoomScalePageLayoutView="140" workbookViewId="0">
      <selection activeCell="A47" sqref="A47:F47"/>
    </sheetView>
  </sheetViews>
  <sheetFormatPr baseColWidth="10" defaultColWidth="9.28515625" defaultRowHeight="9.6"/>
  <cols>
    <col min="1" max="1" width="27" style="271" customWidth="1"/>
    <col min="2" max="2" width="19.42578125" style="271" customWidth="1"/>
    <col min="3" max="3" width="16.42578125" style="271" customWidth="1"/>
    <col min="4" max="4" width="17.7109375" style="271" customWidth="1"/>
    <col min="5" max="5" width="15.140625" style="271" customWidth="1"/>
    <col min="6" max="6" width="12.85546875" style="271" customWidth="1"/>
    <col min="7" max="16384" width="9.28515625" style="271"/>
  </cols>
  <sheetData>
    <row r="1" spans="1:6" s="301" customFormat="1" ht="11.25" customHeight="1">
      <c r="A1" s="920" t="s">
        <v>248</v>
      </c>
      <c r="B1" s="922" t="s">
        <v>54</v>
      </c>
      <c r="C1" s="922" t="s">
        <v>352</v>
      </c>
      <c r="D1" s="922"/>
      <c r="E1" s="922"/>
      <c r="F1" s="924"/>
    </row>
    <row r="2" spans="1:6" s="301" customFormat="1" ht="11.25" customHeight="1">
      <c r="A2" s="914"/>
      <c r="B2" s="917"/>
      <c r="C2" s="396" t="str">
        <f>UPPER('1. Resumen'!Q4)&amp;" "&amp;'1. Resumen'!Q5</f>
        <v>JUNIO 2021</v>
      </c>
      <c r="D2" s="397" t="str">
        <f>UPPER('1. Resumen'!Q4)&amp;" "&amp;'1. Resumen'!Q5-1</f>
        <v>JUNIO 2020</v>
      </c>
      <c r="E2" s="398">
        <v>2021</v>
      </c>
      <c r="F2" s="522" t="s">
        <v>501</v>
      </c>
    </row>
    <row r="3" spans="1:6" s="301" customFormat="1" ht="11.25" customHeight="1">
      <c r="A3" s="914"/>
      <c r="B3" s="917"/>
      <c r="C3" s="399">
        <f>'21. ANEXOII-1'!C4</f>
        <v>44371.875</v>
      </c>
      <c r="D3" s="399">
        <f>'21. ANEXOII-1'!D4</f>
        <v>44011.8125</v>
      </c>
      <c r="E3" s="399">
        <f>'21. ANEXOII-1'!E4</f>
        <v>44204.822916666664</v>
      </c>
      <c r="F3" s="523" t="s">
        <v>349</v>
      </c>
    </row>
    <row r="4" spans="1:6" s="301" customFormat="1" ht="11.25" customHeight="1">
      <c r="A4" s="921"/>
      <c r="B4" s="923"/>
      <c r="C4" s="400">
        <f>+'8. Max Potencia'!D9</f>
        <v>44371.875</v>
      </c>
      <c r="D4" s="400">
        <f>+'8. Max Potencia'!E9</f>
        <v>44011.8125</v>
      </c>
      <c r="E4" s="400">
        <f>+'22. ANEXOII-2'!E4</f>
        <v>44204.822916666664</v>
      </c>
      <c r="F4" s="524" t="s">
        <v>350</v>
      </c>
    </row>
    <row r="5" spans="1:6" s="301" customFormat="1" ht="10.5" customHeight="1">
      <c r="A5" s="551" t="s">
        <v>104</v>
      </c>
      <c r="B5" s="510" t="s">
        <v>61</v>
      </c>
      <c r="C5" s="511">
        <v>14.931290000000001</v>
      </c>
      <c r="D5" s="511">
        <v>6.5880700000000001</v>
      </c>
      <c r="E5" s="511">
        <v>18.21508</v>
      </c>
      <c r="F5" s="708">
        <f t="shared" ref="F5:F40" si="0">+IF(D5=0,"",C5/D5-1)</f>
        <v>1.2664133805499942</v>
      </c>
    </row>
    <row r="6" spans="1:6" s="301" customFormat="1" ht="10.5" customHeight="1">
      <c r="A6" s="552" t="s">
        <v>586</v>
      </c>
      <c r="B6" s="408"/>
      <c r="C6" s="409">
        <v>14.931290000000001</v>
      </c>
      <c r="D6" s="409">
        <v>6.5880700000000001</v>
      </c>
      <c r="E6" s="409">
        <v>18.21508</v>
      </c>
      <c r="F6" s="707">
        <f t="shared" si="0"/>
        <v>1.2664133805499942</v>
      </c>
    </row>
    <row r="7" spans="1:6" s="301" customFormat="1" ht="10.5" customHeight="1">
      <c r="A7" s="551" t="s">
        <v>242</v>
      </c>
      <c r="B7" s="510" t="s">
        <v>330</v>
      </c>
      <c r="C7" s="511">
        <v>0</v>
      </c>
      <c r="D7" s="511">
        <v>0</v>
      </c>
      <c r="E7" s="511">
        <v>0</v>
      </c>
      <c r="F7" s="708" t="str">
        <f t="shared" si="0"/>
        <v/>
      </c>
    </row>
    <row r="8" spans="1:6" s="301" customFormat="1" ht="10.5" customHeight="1">
      <c r="A8" s="552" t="s">
        <v>587</v>
      </c>
      <c r="B8" s="408"/>
      <c r="C8" s="409">
        <v>0</v>
      </c>
      <c r="D8" s="409">
        <v>0</v>
      </c>
      <c r="E8" s="409">
        <v>0</v>
      </c>
      <c r="F8" s="707" t="str">
        <f t="shared" si="0"/>
        <v/>
      </c>
    </row>
    <row r="9" spans="1:6" s="301" customFormat="1" ht="10.5" customHeight="1">
      <c r="A9" s="551" t="s">
        <v>95</v>
      </c>
      <c r="B9" s="510" t="s">
        <v>331</v>
      </c>
      <c r="C9" s="511">
        <v>53.209540000000004</v>
      </c>
      <c r="D9" s="511">
        <v>108.07562</v>
      </c>
      <c r="E9" s="511">
        <v>109.55790999999999</v>
      </c>
      <c r="F9" s="708">
        <f t="shared" si="0"/>
        <v>-0.50766380058703331</v>
      </c>
    </row>
    <row r="10" spans="1:6" s="301" customFormat="1" ht="10.5" customHeight="1">
      <c r="A10" s="552" t="s">
        <v>588</v>
      </c>
      <c r="B10" s="408"/>
      <c r="C10" s="409">
        <v>53.209540000000004</v>
      </c>
      <c r="D10" s="409">
        <v>108.07562</v>
      </c>
      <c r="E10" s="409">
        <v>109.55790999999999</v>
      </c>
      <c r="F10" s="707">
        <f t="shared" si="0"/>
        <v>-0.50766380058703331</v>
      </c>
    </row>
    <row r="11" spans="1:6" s="301" customFormat="1" ht="10.5" customHeight="1">
      <c r="A11" s="551" t="s">
        <v>426</v>
      </c>
      <c r="B11" s="510" t="s">
        <v>457</v>
      </c>
      <c r="C11" s="511">
        <v>0</v>
      </c>
      <c r="D11" s="511">
        <v>5.82</v>
      </c>
      <c r="E11" s="511">
        <v>6.7641600000000004</v>
      </c>
      <c r="F11" s="708">
        <f t="shared" si="0"/>
        <v>-1</v>
      </c>
    </row>
    <row r="12" spans="1:6" s="301" customFormat="1" ht="10.5" customHeight="1">
      <c r="A12" s="552" t="s">
        <v>589</v>
      </c>
      <c r="B12" s="408"/>
      <c r="C12" s="409">
        <v>0</v>
      </c>
      <c r="D12" s="409">
        <v>5.82</v>
      </c>
      <c r="E12" s="409">
        <v>6.7641600000000004</v>
      </c>
      <c r="F12" s="707">
        <f t="shared" si="0"/>
        <v>-1</v>
      </c>
    </row>
    <row r="13" spans="1:6" s="301" customFormat="1" ht="10.5" customHeight="1">
      <c r="A13" s="551" t="s">
        <v>399</v>
      </c>
      <c r="B13" s="510" t="s">
        <v>403</v>
      </c>
      <c r="C13" s="511">
        <v>20.099779999999999</v>
      </c>
      <c r="D13" s="511">
        <v>20.038219999999999</v>
      </c>
      <c r="E13" s="511">
        <v>20.4907</v>
      </c>
      <c r="F13" s="708">
        <f t="shared" si="0"/>
        <v>3.0721291611730539E-3</v>
      </c>
    </row>
    <row r="14" spans="1:6" s="301" customFormat="1" ht="10.5" customHeight="1">
      <c r="A14" s="552" t="s">
        <v>590</v>
      </c>
      <c r="B14" s="408"/>
      <c r="C14" s="409">
        <v>20.099779999999999</v>
      </c>
      <c r="D14" s="409">
        <v>20.038219999999999</v>
      </c>
      <c r="E14" s="409">
        <v>20.4907</v>
      </c>
      <c r="F14" s="707">
        <f t="shared" si="0"/>
        <v>3.0721291611730539E-3</v>
      </c>
    </row>
    <row r="15" spans="1:6" s="301" customFormat="1" ht="10.5" customHeight="1">
      <c r="A15" s="551" t="s">
        <v>102</v>
      </c>
      <c r="B15" s="510" t="s">
        <v>332</v>
      </c>
      <c r="C15" s="511">
        <v>28.000039999999998</v>
      </c>
      <c r="D15" s="511">
        <v>0</v>
      </c>
      <c r="E15" s="511">
        <v>0</v>
      </c>
      <c r="F15" s="708" t="str">
        <f t="shared" si="0"/>
        <v/>
      </c>
    </row>
    <row r="16" spans="1:6" s="301" customFormat="1" ht="10.5" customHeight="1">
      <c r="A16" s="552" t="s">
        <v>591</v>
      </c>
      <c r="B16" s="408"/>
      <c r="C16" s="409">
        <v>28.000039999999998</v>
      </c>
      <c r="D16" s="409">
        <v>0</v>
      </c>
      <c r="E16" s="409">
        <v>0</v>
      </c>
      <c r="F16" s="707" t="str">
        <f t="shared" si="0"/>
        <v/>
      </c>
    </row>
    <row r="17" spans="1:6" s="301" customFormat="1" ht="10.5" customHeight="1">
      <c r="A17" s="551" t="s">
        <v>117</v>
      </c>
      <c r="B17" s="510" t="s">
        <v>333</v>
      </c>
      <c r="C17" s="511">
        <v>0</v>
      </c>
      <c r="D17" s="511">
        <v>0</v>
      </c>
      <c r="E17" s="511">
        <v>0</v>
      </c>
      <c r="F17" s="708" t="str">
        <f t="shared" si="0"/>
        <v/>
      </c>
    </row>
    <row r="18" spans="1:6" s="301" customFormat="1" ht="10.5" customHeight="1">
      <c r="A18" s="552" t="s">
        <v>592</v>
      </c>
      <c r="B18" s="408"/>
      <c r="C18" s="409">
        <v>0</v>
      </c>
      <c r="D18" s="409">
        <v>0</v>
      </c>
      <c r="E18" s="409">
        <v>0</v>
      </c>
      <c r="F18" s="707" t="str">
        <f t="shared" si="0"/>
        <v/>
      </c>
    </row>
    <row r="19" spans="1:6" s="301" customFormat="1" ht="10.5" customHeight="1">
      <c r="A19" s="551" t="s">
        <v>111</v>
      </c>
      <c r="B19" s="510" t="s">
        <v>451</v>
      </c>
      <c r="C19" s="511">
        <v>16.746359999999999</v>
      </c>
      <c r="D19" s="511">
        <v>16.853449999999999</v>
      </c>
      <c r="E19" s="511">
        <v>19.985199999999999</v>
      </c>
      <c r="F19" s="708">
        <f t="shared" si="0"/>
        <v>-6.3541886082670862E-3</v>
      </c>
    </row>
    <row r="20" spans="1:6" s="301" customFormat="1" ht="10.5" customHeight="1">
      <c r="A20" s="551"/>
      <c r="B20" s="510" t="s">
        <v>69</v>
      </c>
      <c r="C20" s="511">
        <v>4.8210600000000001</v>
      </c>
      <c r="D20" s="511">
        <v>5.7155199999999997</v>
      </c>
      <c r="E20" s="511">
        <v>3.3915500000000001</v>
      </c>
      <c r="F20" s="708">
        <f t="shared" si="0"/>
        <v>-0.15649669671350985</v>
      </c>
    </row>
    <row r="21" spans="1:6" s="301" customFormat="1" ht="10.5" customHeight="1">
      <c r="A21" s="552" t="s">
        <v>593</v>
      </c>
      <c r="B21" s="408"/>
      <c r="C21" s="409">
        <v>21.567419999999998</v>
      </c>
      <c r="D21" s="409">
        <v>22.56897</v>
      </c>
      <c r="E21" s="409">
        <v>23.376749999999998</v>
      </c>
      <c r="F21" s="707">
        <f t="shared" si="0"/>
        <v>-4.4377302109932404E-2</v>
      </c>
    </row>
    <row r="22" spans="1:6" s="301" customFormat="1" ht="10.5" customHeight="1">
      <c r="A22" s="551" t="s">
        <v>90</v>
      </c>
      <c r="B22" s="510" t="s">
        <v>334</v>
      </c>
      <c r="C22" s="511">
        <v>28.121549999999999</v>
      </c>
      <c r="D22" s="511">
        <v>25.793559999999999</v>
      </c>
      <c r="E22" s="511">
        <v>45.227310000000003</v>
      </c>
      <c r="F22" s="708">
        <f t="shared" si="0"/>
        <v>9.0254699235002844E-2</v>
      </c>
    </row>
    <row r="23" spans="1:6" s="301" customFormat="1" ht="10.5" customHeight="1">
      <c r="A23" s="551"/>
      <c r="B23" s="510" t="s">
        <v>335</v>
      </c>
      <c r="C23" s="511">
        <v>78.426950000000005</v>
      </c>
      <c r="D23" s="511">
        <v>81.890280000000004</v>
      </c>
      <c r="E23" s="511">
        <v>164.11106999999998</v>
      </c>
      <c r="F23" s="708">
        <f t="shared" si="0"/>
        <v>-4.2292320895715552E-2</v>
      </c>
    </row>
    <row r="24" spans="1:6" s="301" customFormat="1" ht="10.5" customHeight="1">
      <c r="A24" s="551"/>
      <c r="B24" s="510" t="s">
        <v>336</v>
      </c>
      <c r="C24" s="511">
        <v>14.95791</v>
      </c>
      <c r="D24" s="511">
        <v>12.89828</v>
      </c>
      <c r="E24" s="511">
        <v>13.955640000000001</v>
      </c>
      <c r="F24" s="708">
        <f t="shared" si="0"/>
        <v>0.1596825313142527</v>
      </c>
    </row>
    <row r="25" spans="1:6" s="301" customFormat="1" ht="10.5" customHeight="1">
      <c r="A25" s="551"/>
      <c r="B25" s="510" t="s">
        <v>337</v>
      </c>
      <c r="C25" s="511">
        <v>0.22219</v>
      </c>
      <c r="D25" s="511">
        <v>0</v>
      </c>
      <c r="E25" s="511">
        <v>0.21765999999999999</v>
      </c>
      <c r="F25" s="708" t="str">
        <f t="shared" si="0"/>
        <v/>
      </c>
    </row>
    <row r="26" spans="1:6" s="301" customFormat="1" ht="10.5" customHeight="1">
      <c r="A26" s="551"/>
      <c r="B26" s="510" t="s">
        <v>338</v>
      </c>
      <c r="C26" s="511">
        <v>37.13006</v>
      </c>
      <c r="D26" s="511">
        <v>32.845260000000003</v>
      </c>
      <c r="E26" s="511">
        <v>46.688270000000003</v>
      </c>
      <c r="F26" s="708">
        <f t="shared" si="0"/>
        <v>0.13045413554345431</v>
      </c>
    </row>
    <row r="27" spans="1:6" s="301" customFormat="1" ht="10.5" customHeight="1">
      <c r="A27" s="551"/>
      <c r="B27" s="510" t="s">
        <v>339</v>
      </c>
      <c r="C27" s="511">
        <v>2.95486</v>
      </c>
      <c r="D27" s="511">
        <v>3.5108899999999998</v>
      </c>
      <c r="E27" s="511">
        <v>3.5510899999999999</v>
      </c>
      <c r="F27" s="708">
        <f t="shared" si="0"/>
        <v>-0.15837294816983727</v>
      </c>
    </row>
    <row r="28" spans="1:6" s="301" customFormat="1" ht="10.5" customHeight="1">
      <c r="A28" s="551"/>
      <c r="B28" s="510" t="s">
        <v>340</v>
      </c>
      <c r="C28" s="511">
        <v>5.6732399999999998</v>
      </c>
      <c r="D28" s="511">
        <v>5.6703600000000005</v>
      </c>
      <c r="E28" s="511">
        <v>0</v>
      </c>
      <c r="F28" s="708">
        <f t="shared" si="0"/>
        <v>5.0790426004687639E-4</v>
      </c>
    </row>
    <row r="29" spans="1:6" s="301" customFormat="1" ht="10.5" customHeight="1">
      <c r="A29" s="551"/>
      <c r="B29" s="510" t="s">
        <v>341</v>
      </c>
      <c r="C29" s="511">
        <v>2.9760499999999999</v>
      </c>
      <c r="D29" s="511">
        <v>3.6545700000000001</v>
      </c>
      <c r="E29" s="511">
        <v>0</v>
      </c>
      <c r="F29" s="708">
        <f t="shared" si="0"/>
        <v>-0.18566342962373139</v>
      </c>
    </row>
    <row r="30" spans="1:6" s="301" customFormat="1" ht="10.5" customHeight="1">
      <c r="A30" s="551"/>
      <c r="B30" s="510" t="s">
        <v>342</v>
      </c>
      <c r="C30" s="511">
        <v>1.6467400000000001</v>
      </c>
      <c r="D30" s="511">
        <v>1.1615800000000001</v>
      </c>
      <c r="E30" s="511">
        <v>2.56616</v>
      </c>
      <c r="F30" s="708">
        <f t="shared" si="0"/>
        <v>0.41767248058678708</v>
      </c>
    </row>
    <row r="31" spans="1:6" s="301" customFormat="1" ht="10.5" customHeight="1">
      <c r="A31" s="551"/>
      <c r="B31" s="510" t="s">
        <v>343</v>
      </c>
      <c r="C31" s="511">
        <v>0.32900000000000001</v>
      </c>
      <c r="D31" s="511">
        <v>0</v>
      </c>
      <c r="E31" s="511">
        <v>0</v>
      </c>
      <c r="F31" s="708" t="str">
        <f t="shared" si="0"/>
        <v/>
      </c>
    </row>
    <row r="32" spans="1:6" s="301" customFormat="1" ht="10.5" customHeight="1">
      <c r="A32" s="551"/>
      <c r="B32" s="510" t="s">
        <v>344</v>
      </c>
      <c r="C32" s="511">
        <v>0.27621000000000001</v>
      </c>
      <c r="D32" s="511">
        <v>0</v>
      </c>
      <c r="E32" s="511">
        <v>0.32818000000000003</v>
      </c>
      <c r="F32" s="708" t="str">
        <f t="shared" si="0"/>
        <v/>
      </c>
    </row>
    <row r="33" spans="1:7" s="301" customFormat="1" ht="10.5" customHeight="1">
      <c r="A33" s="551"/>
      <c r="B33" s="510" t="s">
        <v>345</v>
      </c>
      <c r="C33" s="511">
        <v>84.086970000000008</v>
      </c>
      <c r="D33" s="511">
        <v>91.853829999999988</v>
      </c>
      <c r="E33" s="511">
        <v>94.893659999999983</v>
      </c>
      <c r="F33" s="708">
        <f t="shared" si="0"/>
        <v>-8.4556735413210071E-2</v>
      </c>
    </row>
    <row r="34" spans="1:7" s="301" customFormat="1" ht="10.5" customHeight="1">
      <c r="A34" s="552" t="s">
        <v>594</v>
      </c>
      <c r="B34" s="408"/>
      <c r="C34" s="409">
        <v>256.80172999999996</v>
      </c>
      <c r="D34" s="409">
        <v>259.27860999999996</v>
      </c>
      <c r="E34" s="409">
        <v>371.53903999999989</v>
      </c>
      <c r="F34" s="707">
        <f t="shared" si="0"/>
        <v>-9.5529669801917017E-3</v>
      </c>
    </row>
    <row r="35" spans="1:7" s="301" customFormat="1" ht="10.5" customHeight="1">
      <c r="A35" s="551" t="s">
        <v>109</v>
      </c>
      <c r="B35" s="510" t="s">
        <v>229</v>
      </c>
      <c r="C35" s="511">
        <v>0</v>
      </c>
      <c r="D35" s="511">
        <v>0</v>
      </c>
      <c r="E35" s="511">
        <v>0</v>
      </c>
      <c r="F35" s="708" t="str">
        <f t="shared" si="0"/>
        <v/>
      </c>
    </row>
    <row r="36" spans="1:7" s="301" customFormat="1" ht="10.5" customHeight="1">
      <c r="A36" s="552" t="s">
        <v>595</v>
      </c>
      <c r="B36" s="408"/>
      <c r="C36" s="409">
        <v>0</v>
      </c>
      <c r="D36" s="409">
        <v>0</v>
      </c>
      <c r="E36" s="409">
        <v>0</v>
      </c>
      <c r="F36" s="707" t="str">
        <f t="shared" si="0"/>
        <v/>
      </c>
    </row>
    <row r="37" spans="1:7" s="301" customFormat="1" ht="10.5" customHeight="1">
      <c r="A37" s="551" t="s">
        <v>100</v>
      </c>
      <c r="B37" s="510" t="s">
        <v>428</v>
      </c>
      <c r="C37" s="511">
        <v>290.87457999999998</v>
      </c>
      <c r="D37" s="511">
        <v>0</v>
      </c>
      <c r="E37" s="511">
        <v>0</v>
      </c>
      <c r="F37" s="708" t="str">
        <f t="shared" si="0"/>
        <v/>
      </c>
    </row>
    <row r="38" spans="1:7" s="301" customFormat="1" ht="10.5" customHeight="1">
      <c r="A38" s="552" t="s">
        <v>596</v>
      </c>
      <c r="B38" s="408"/>
      <c r="C38" s="409">
        <v>290.87457999999998</v>
      </c>
      <c r="D38" s="409">
        <v>0</v>
      </c>
      <c r="E38" s="409">
        <v>0</v>
      </c>
      <c r="F38" s="707" t="str">
        <f t="shared" si="0"/>
        <v/>
      </c>
    </row>
    <row r="39" spans="1:7" s="301" customFormat="1" ht="10.5" customHeight="1">
      <c r="A39" s="551" t="s">
        <v>105</v>
      </c>
      <c r="B39" s="510" t="s">
        <v>346</v>
      </c>
      <c r="C39" s="511">
        <v>89.145039999999995</v>
      </c>
      <c r="D39" s="511">
        <v>0</v>
      </c>
      <c r="E39" s="511">
        <v>80.662229999999994</v>
      </c>
      <c r="F39" s="708" t="str">
        <f t="shared" si="0"/>
        <v/>
      </c>
    </row>
    <row r="40" spans="1:7" s="301" customFormat="1" ht="10.5" customHeight="1">
      <c r="A40" s="552" t="s">
        <v>597</v>
      </c>
      <c r="B40" s="408"/>
      <c r="C40" s="409">
        <v>89.145039999999995</v>
      </c>
      <c r="D40" s="409">
        <v>0</v>
      </c>
      <c r="E40" s="409">
        <v>80.662229999999994</v>
      </c>
      <c r="F40" s="707" t="str">
        <f t="shared" si="0"/>
        <v/>
      </c>
    </row>
    <row r="41" spans="1:7" s="301" customFormat="1" ht="10.5" customHeight="1">
      <c r="A41" s="551"/>
      <c r="B41" s="510"/>
      <c r="C41" s="512"/>
      <c r="D41" s="592"/>
      <c r="E41" s="592"/>
      <c r="F41" s="593"/>
    </row>
    <row r="42" spans="1:7" s="328" customFormat="1" ht="12" customHeight="1">
      <c r="A42" s="393" t="s">
        <v>401</v>
      </c>
      <c r="B42" s="403"/>
      <c r="C42" s="392">
        <v>6830.1017300000021</v>
      </c>
      <c r="D42" s="392">
        <v>5682.0378000000001</v>
      </c>
      <c r="E42" s="392">
        <v>6909.6371900000022</v>
      </c>
      <c r="F42" s="527">
        <f>+IF(D42=0,"",C42/D42-1)</f>
        <v>0.20205144182602974</v>
      </c>
    </row>
    <row r="43" spans="1:7" s="328" customFormat="1" ht="12" customHeight="1">
      <c r="A43" s="403" t="s">
        <v>347</v>
      </c>
      <c r="B43" s="393"/>
      <c r="C43" s="392">
        <f>+'8. Max Potencia'!D16</f>
        <v>0</v>
      </c>
      <c r="D43" s="392">
        <f>+'8. Max Potencia'!E16</f>
        <v>38.844000000000001</v>
      </c>
      <c r="E43" s="395">
        <v>0</v>
      </c>
      <c r="F43" s="528">
        <v>0</v>
      </c>
    </row>
    <row r="44" spans="1:7" s="328" customFormat="1" ht="12" customHeight="1">
      <c r="A44" s="529" t="s">
        <v>348</v>
      </c>
      <c r="B44" s="529"/>
      <c r="C44" s="392">
        <v>0</v>
      </c>
      <c r="D44" s="392">
        <v>0</v>
      </c>
      <c r="E44" s="395">
        <v>0</v>
      </c>
      <c r="F44" s="528">
        <v>0</v>
      </c>
    </row>
    <row r="45" spans="1:7" ht="12" customHeight="1">
      <c r="A45" s="578" t="s">
        <v>445</v>
      </c>
      <c r="B45" s="529"/>
      <c r="C45" s="392">
        <f>+C42+C43-C44</f>
        <v>6830.1017300000021</v>
      </c>
      <c r="D45" s="392">
        <f>+D42+D43-D44</f>
        <v>5720.8818000000001</v>
      </c>
      <c r="E45" s="392">
        <f>+E42+E43-E44</f>
        <v>6909.6371900000022</v>
      </c>
      <c r="F45" s="527">
        <f>+IF(D45=0,"",C45/D45-1)</f>
        <v>0.19388967798635548</v>
      </c>
    </row>
    <row r="46" spans="1:7" ht="12" customHeight="1">
      <c r="A46" s="510"/>
      <c r="B46" s="513"/>
      <c r="C46" s="513"/>
      <c r="D46" s="513"/>
      <c r="E46" s="513"/>
      <c r="F46" s="513"/>
    </row>
    <row r="47" spans="1:7" ht="27.75" customHeight="1">
      <c r="A47" s="912" t="s">
        <v>459</v>
      </c>
      <c r="B47" s="912"/>
      <c r="C47" s="912"/>
      <c r="D47" s="912"/>
      <c r="E47" s="912"/>
      <c r="F47" s="912"/>
    </row>
    <row r="48" spans="1:7" ht="15" customHeight="1">
      <c r="A48" s="925"/>
      <c r="B48" s="925"/>
      <c r="C48" s="925"/>
      <c r="D48" s="925"/>
      <c r="E48" s="925"/>
      <c r="F48" s="925"/>
      <c r="G48" s="567"/>
    </row>
    <row r="49" spans="1:7" ht="15" customHeight="1">
      <c r="A49" s="781" t="s">
        <v>520</v>
      </c>
      <c r="B49" s="567"/>
      <c r="C49" s="567"/>
      <c r="D49" s="567"/>
      <c r="E49" s="567"/>
      <c r="F49" s="567"/>
      <c r="G49" s="567"/>
    </row>
    <row r="50" spans="1:7" ht="15" customHeight="1">
      <c r="A50" s="755" t="s">
        <v>521</v>
      </c>
      <c r="B50" s="567"/>
      <c r="C50" s="567"/>
      <c r="D50" s="567"/>
      <c r="E50" s="567"/>
      <c r="F50" s="567"/>
      <c r="G50" s="567"/>
    </row>
    <row r="51" spans="1:7" ht="15" customHeight="1">
      <c r="A51" s="567" t="s">
        <v>610</v>
      </c>
      <c r="B51" s="567"/>
      <c r="C51" s="567"/>
      <c r="D51" s="567"/>
      <c r="E51" s="567"/>
      <c r="F51" s="567"/>
      <c r="G51" s="567"/>
    </row>
    <row r="52" spans="1:7" ht="15" customHeight="1">
      <c r="A52" s="940" t="s">
        <v>731</v>
      </c>
      <c r="B52" s="567"/>
      <c r="C52" s="567"/>
      <c r="D52" s="567"/>
      <c r="E52" s="567"/>
      <c r="F52" s="567"/>
      <c r="G52" s="46"/>
    </row>
    <row r="53" spans="1:7" ht="15" customHeight="1">
      <c r="A53" s="925"/>
      <c r="B53" s="925"/>
      <c r="C53" s="925"/>
      <c r="D53" s="925"/>
      <c r="E53" s="925"/>
      <c r="F53" s="925"/>
      <c r="G53" s="46"/>
    </row>
    <row r="54" spans="1:7" ht="12" customHeight="1">
      <c r="A54" s="301"/>
    </row>
    <row r="55" spans="1:7" ht="12" customHeight="1">
      <c r="A55" s="301"/>
    </row>
  </sheetData>
  <mergeCells count="6">
    <mergeCell ref="A53:F53"/>
    <mergeCell ref="A1:A4"/>
    <mergeCell ref="B1:B4"/>
    <mergeCell ref="C1:F1"/>
    <mergeCell ref="A47:F47"/>
    <mergeCell ref="A48:F4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zoomScale="115" zoomScaleNormal="100" zoomScaleSheetLayoutView="115" workbookViewId="0">
      <selection activeCell="F18" sqref="F18"/>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74" t="s">
        <v>360</v>
      </c>
      <c r="B3" s="272"/>
    </row>
    <row r="4" spans="1:13" ht="11.25" customHeight="1">
      <c r="B4" s="272"/>
    </row>
    <row r="5" spans="1:13" ht="11.25" customHeight="1">
      <c r="A5" s="273" t="s">
        <v>406</v>
      </c>
      <c r="B5" s="574"/>
      <c r="C5" s="710">
        <v>6903.8388500000001</v>
      </c>
      <c r="D5" s="574"/>
      <c r="E5" s="574"/>
      <c r="F5" s="574"/>
      <c r="G5" s="574"/>
      <c r="H5" s="574"/>
      <c r="I5" s="574"/>
      <c r="J5" s="574"/>
      <c r="K5" s="574"/>
    </row>
    <row r="6" spans="1:13" ht="11.25" customHeight="1">
      <c r="A6" s="273" t="s">
        <v>361</v>
      </c>
      <c r="B6" s="574"/>
      <c r="C6" s="710" t="s">
        <v>662</v>
      </c>
      <c r="D6" s="574"/>
      <c r="E6" s="574"/>
      <c r="F6" s="574"/>
      <c r="G6" s="574"/>
      <c r="H6" s="574"/>
      <c r="I6" s="574"/>
      <c r="J6" s="574"/>
      <c r="K6" s="574"/>
    </row>
    <row r="7" spans="1:13" ht="11.25" customHeight="1">
      <c r="A7" s="273" t="s">
        <v>362</v>
      </c>
      <c r="B7" s="574"/>
      <c r="C7" s="710" t="s">
        <v>634</v>
      </c>
      <c r="D7" s="574"/>
      <c r="E7" s="574"/>
      <c r="F7" s="574"/>
      <c r="G7" s="574"/>
      <c r="H7" s="574"/>
      <c r="I7" s="574"/>
      <c r="J7" s="574"/>
      <c r="K7" s="574"/>
    </row>
    <row r="8" spans="1:13" ht="11.25" customHeight="1">
      <c r="A8" s="574"/>
      <c r="B8" s="574"/>
      <c r="C8" s="574"/>
      <c r="D8" s="574"/>
      <c r="E8" s="574"/>
      <c r="F8" s="574"/>
      <c r="G8" s="574"/>
      <c r="H8" s="574"/>
      <c r="I8" s="574"/>
      <c r="J8" s="574"/>
      <c r="K8" s="574"/>
    </row>
    <row r="9" spans="1:13" ht="14.25" customHeight="1">
      <c r="A9" s="926" t="s">
        <v>353</v>
      </c>
      <c r="B9" s="929" t="s">
        <v>354</v>
      </c>
      <c r="C9" s="930"/>
      <c r="D9" s="930"/>
      <c r="E9" s="930"/>
      <c r="F9" s="931"/>
      <c r="G9" s="929" t="s">
        <v>355</v>
      </c>
      <c r="H9" s="930"/>
      <c r="I9" s="930"/>
      <c r="J9" s="930"/>
      <c r="K9" s="931"/>
    </row>
    <row r="10" spans="1:13" ht="26.25" customHeight="1">
      <c r="A10" s="927"/>
      <c r="B10" s="401" t="s">
        <v>356</v>
      </c>
      <c r="C10" s="401" t="s">
        <v>197</v>
      </c>
      <c r="D10" s="401" t="s">
        <v>347</v>
      </c>
      <c r="E10" s="401" t="s">
        <v>348</v>
      </c>
      <c r="F10" s="402" t="s">
        <v>359</v>
      </c>
      <c r="G10" s="401" t="s">
        <v>356</v>
      </c>
      <c r="H10" s="401" t="s">
        <v>197</v>
      </c>
      <c r="I10" s="401" t="s">
        <v>347</v>
      </c>
      <c r="J10" s="401" t="s">
        <v>348</v>
      </c>
      <c r="K10" s="402" t="s">
        <v>359</v>
      </c>
      <c r="L10" s="36"/>
      <c r="M10" s="46"/>
    </row>
    <row r="11" spans="1:13" ht="11.25" customHeight="1">
      <c r="A11" s="928"/>
      <c r="B11" s="401" t="s">
        <v>357</v>
      </c>
      <c r="C11" s="401" t="s">
        <v>358</v>
      </c>
      <c r="D11" s="401" t="s">
        <v>358</v>
      </c>
      <c r="E11" s="401" t="s">
        <v>358</v>
      </c>
      <c r="F11" s="401" t="s">
        <v>358</v>
      </c>
      <c r="G11" s="401" t="s">
        <v>357</v>
      </c>
      <c r="H11" s="401" t="s">
        <v>358</v>
      </c>
      <c r="I11" s="401" t="s">
        <v>358</v>
      </c>
      <c r="J11" s="401" t="s">
        <v>358</v>
      </c>
      <c r="K11" s="401" t="s">
        <v>358</v>
      </c>
      <c r="L11" s="36"/>
      <c r="M11" s="46"/>
    </row>
    <row r="12" spans="1:13" ht="11.25" customHeight="1">
      <c r="A12" s="802" t="s">
        <v>629</v>
      </c>
      <c r="B12" s="803" t="s">
        <v>463</v>
      </c>
      <c r="C12" s="803">
        <v>6590.6368499999999</v>
      </c>
      <c r="D12" s="803">
        <v>0</v>
      </c>
      <c r="E12" s="803">
        <v>0</v>
      </c>
      <c r="F12" s="803">
        <v>6590.6368499999999</v>
      </c>
      <c r="G12" s="803" t="s">
        <v>535</v>
      </c>
      <c r="H12" s="803">
        <v>6681.5753299999997</v>
      </c>
      <c r="I12" s="803">
        <v>0</v>
      </c>
      <c r="J12" s="803">
        <v>0</v>
      </c>
      <c r="K12" s="803">
        <v>6681.5753299999997</v>
      </c>
      <c r="L12" s="205"/>
      <c r="M12" s="46"/>
    </row>
    <row r="13" spans="1:13" ht="11.25" customHeight="1">
      <c r="A13" s="802" t="s">
        <v>630</v>
      </c>
      <c r="B13" s="803" t="s">
        <v>474</v>
      </c>
      <c r="C13" s="803">
        <v>6614.1587900000004</v>
      </c>
      <c r="D13" s="803">
        <v>41.984000000000002</v>
      </c>
      <c r="E13" s="803">
        <v>0</v>
      </c>
      <c r="F13" s="803">
        <v>6656.1427899999999</v>
      </c>
      <c r="G13" s="803" t="s">
        <v>517</v>
      </c>
      <c r="H13" s="803">
        <v>6569.3622100000002</v>
      </c>
      <c r="I13" s="803">
        <v>41.448</v>
      </c>
      <c r="J13" s="803">
        <v>0</v>
      </c>
      <c r="K13" s="803">
        <v>6610.8102099999996</v>
      </c>
      <c r="L13" s="5"/>
    </row>
    <row r="14" spans="1:13" ht="11.25" customHeight="1">
      <c r="A14" s="802" t="s">
        <v>631</v>
      </c>
      <c r="B14" s="803" t="s">
        <v>474</v>
      </c>
      <c r="C14" s="803">
        <v>6544.2951300000004</v>
      </c>
      <c r="D14" s="803">
        <v>0</v>
      </c>
      <c r="E14" s="803">
        <v>0</v>
      </c>
      <c r="F14" s="803">
        <v>6544.2951300000004</v>
      </c>
      <c r="G14" s="803" t="s">
        <v>517</v>
      </c>
      <c r="H14" s="803">
        <v>6617.4711799999995</v>
      </c>
      <c r="I14" s="803">
        <v>0</v>
      </c>
      <c r="J14" s="803">
        <v>0</v>
      </c>
      <c r="K14" s="803">
        <v>6617.4711799999995</v>
      </c>
      <c r="L14" s="15"/>
    </row>
    <row r="15" spans="1:13" ht="11.25" customHeight="1">
      <c r="A15" s="802" t="s">
        <v>632</v>
      </c>
      <c r="B15" s="803" t="s">
        <v>474</v>
      </c>
      <c r="C15" s="803">
        <v>6792.57024</v>
      </c>
      <c r="D15" s="803">
        <v>0</v>
      </c>
      <c r="E15" s="803">
        <v>0</v>
      </c>
      <c r="F15" s="803">
        <v>6792.57024</v>
      </c>
      <c r="G15" s="803" t="s">
        <v>473</v>
      </c>
      <c r="H15" s="803">
        <v>6781.8347700000004</v>
      </c>
      <c r="I15" s="803">
        <v>0</v>
      </c>
      <c r="J15" s="803">
        <v>0</v>
      </c>
      <c r="K15" s="803">
        <v>6781.8347700000004</v>
      </c>
      <c r="L15" s="12"/>
    </row>
    <row r="16" spans="1:13" ht="11.25" customHeight="1">
      <c r="A16" s="802" t="s">
        <v>633</v>
      </c>
      <c r="B16" s="803" t="s">
        <v>474</v>
      </c>
      <c r="C16" s="803">
        <v>6615.8541599999999</v>
      </c>
      <c r="D16" s="803">
        <v>0</v>
      </c>
      <c r="E16" s="803">
        <v>0</v>
      </c>
      <c r="F16" s="803">
        <v>6615.8541599999999</v>
      </c>
      <c r="G16" s="803" t="s">
        <v>634</v>
      </c>
      <c r="H16" s="803">
        <v>6696.8172500000001</v>
      </c>
      <c r="I16" s="803">
        <v>0</v>
      </c>
      <c r="J16" s="803">
        <v>0</v>
      </c>
      <c r="K16" s="803">
        <v>6696.8172500000001</v>
      </c>
      <c r="L16" s="22"/>
    </row>
    <row r="17" spans="1:12" ht="11.25" customHeight="1">
      <c r="A17" s="802" t="s">
        <v>635</v>
      </c>
      <c r="B17" s="803" t="s">
        <v>534</v>
      </c>
      <c r="C17" s="803">
        <v>5921.4776899999997</v>
      </c>
      <c r="D17" s="803">
        <v>0</v>
      </c>
      <c r="E17" s="803">
        <v>0</v>
      </c>
      <c r="F17" s="803">
        <v>5921.4776899999997</v>
      </c>
      <c r="G17" s="803" t="s">
        <v>636</v>
      </c>
      <c r="H17" s="803">
        <v>6454.2957299999998</v>
      </c>
      <c r="I17" s="803">
        <v>0</v>
      </c>
      <c r="J17" s="803">
        <v>0</v>
      </c>
      <c r="K17" s="803">
        <v>6454.2957299999998</v>
      </c>
      <c r="L17" s="22"/>
    </row>
    <row r="18" spans="1:12" ht="11.25" customHeight="1">
      <c r="A18" s="802" t="s">
        <v>637</v>
      </c>
      <c r="B18" s="803" t="s">
        <v>463</v>
      </c>
      <c r="C18" s="803">
        <v>6745.5263999999997</v>
      </c>
      <c r="D18" s="803">
        <v>0</v>
      </c>
      <c r="E18" s="803">
        <v>0</v>
      </c>
      <c r="F18" s="803">
        <v>6745.5263999999997</v>
      </c>
      <c r="G18" s="803" t="s">
        <v>473</v>
      </c>
      <c r="H18" s="803">
        <v>6719.8804899999996</v>
      </c>
      <c r="I18" s="803">
        <v>0</v>
      </c>
      <c r="J18" s="803">
        <v>0</v>
      </c>
      <c r="K18" s="803">
        <v>6719.8804899999996</v>
      </c>
      <c r="L18" s="22"/>
    </row>
    <row r="19" spans="1:12" ht="11.25" customHeight="1">
      <c r="A19" s="802" t="s">
        <v>638</v>
      </c>
      <c r="B19" s="803" t="s">
        <v>463</v>
      </c>
      <c r="C19" s="803">
        <v>6780.9893300000003</v>
      </c>
      <c r="D19" s="803">
        <v>0</v>
      </c>
      <c r="E19" s="803">
        <v>0</v>
      </c>
      <c r="F19" s="803">
        <v>6780.9893300000003</v>
      </c>
      <c r="G19" s="803" t="s">
        <v>517</v>
      </c>
      <c r="H19" s="803">
        <v>6736.4341999999997</v>
      </c>
      <c r="I19" s="803">
        <v>0</v>
      </c>
      <c r="J19" s="803">
        <v>0</v>
      </c>
      <c r="K19" s="803">
        <v>6736.4341999999997</v>
      </c>
      <c r="L19" s="22"/>
    </row>
    <row r="20" spans="1:12" ht="11.25" customHeight="1">
      <c r="A20" s="802" t="s">
        <v>639</v>
      </c>
      <c r="B20" s="803" t="s">
        <v>463</v>
      </c>
      <c r="C20" s="803">
        <v>6610.7708000000002</v>
      </c>
      <c r="D20" s="803">
        <v>0</v>
      </c>
      <c r="E20" s="803">
        <v>0</v>
      </c>
      <c r="F20" s="803">
        <v>6610.7708000000002</v>
      </c>
      <c r="G20" s="803" t="s">
        <v>517</v>
      </c>
      <c r="H20" s="803">
        <v>6654.6691700000001</v>
      </c>
      <c r="I20" s="803">
        <v>0</v>
      </c>
      <c r="J20" s="803">
        <v>0</v>
      </c>
      <c r="K20" s="803">
        <v>6654.6691700000001</v>
      </c>
      <c r="L20" s="24"/>
    </row>
    <row r="21" spans="1:12" ht="11.25" customHeight="1">
      <c r="A21" s="802" t="s">
        <v>640</v>
      </c>
      <c r="B21" s="803" t="s">
        <v>463</v>
      </c>
      <c r="C21" s="803">
        <v>6817.4790700000003</v>
      </c>
      <c r="D21" s="803">
        <v>0</v>
      </c>
      <c r="E21" s="803">
        <v>0</v>
      </c>
      <c r="F21" s="803">
        <v>6817.4790700000003</v>
      </c>
      <c r="G21" s="803" t="s">
        <v>517</v>
      </c>
      <c r="H21" s="803">
        <v>6802.4545500000004</v>
      </c>
      <c r="I21" s="803">
        <v>0</v>
      </c>
      <c r="J21" s="803">
        <v>0</v>
      </c>
      <c r="K21" s="803">
        <v>6802.4545500000004</v>
      </c>
      <c r="L21" s="22"/>
    </row>
    <row r="22" spans="1:12" ht="11.25" customHeight="1">
      <c r="A22" s="802" t="s">
        <v>641</v>
      </c>
      <c r="B22" s="804" t="s">
        <v>474</v>
      </c>
      <c r="C22" s="804">
        <v>6904.9184800000003</v>
      </c>
      <c r="D22" s="804">
        <v>0</v>
      </c>
      <c r="E22" s="804">
        <v>0</v>
      </c>
      <c r="F22" s="804">
        <v>6904.9184800000003</v>
      </c>
      <c r="G22" s="803" t="s">
        <v>517</v>
      </c>
      <c r="H22" s="803">
        <v>6793.62032</v>
      </c>
      <c r="I22" s="803">
        <v>0</v>
      </c>
      <c r="J22" s="803">
        <v>0</v>
      </c>
      <c r="K22" s="803">
        <v>6793.62032</v>
      </c>
      <c r="L22" s="22"/>
    </row>
    <row r="23" spans="1:12" ht="11.25" customHeight="1">
      <c r="A23" s="802" t="s">
        <v>642</v>
      </c>
      <c r="B23" s="803" t="s">
        <v>522</v>
      </c>
      <c r="C23" s="803">
        <v>6672.7859600000002</v>
      </c>
      <c r="D23" s="803">
        <v>0</v>
      </c>
      <c r="E23" s="803">
        <v>0</v>
      </c>
      <c r="F23" s="803">
        <v>6672.7859600000002</v>
      </c>
      <c r="G23" s="803" t="s">
        <v>643</v>
      </c>
      <c r="H23" s="803">
        <v>6660.2933199999998</v>
      </c>
      <c r="I23" s="803">
        <v>0</v>
      </c>
      <c r="J23" s="803">
        <v>0</v>
      </c>
      <c r="K23" s="803">
        <v>6660.2933199999998</v>
      </c>
      <c r="L23" s="22"/>
    </row>
    <row r="24" spans="1:12" ht="11.25" customHeight="1">
      <c r="A24" s="802" t="s">
        <v>644</v>
      </c>
      <c r="B24" s="803" t="s">
        <v>464</v>
      </c>
      <c r="C24" s="803">
        <v>5867.5505999999996</v>
      </c>
      <c r="D24" s="803">
        <v>0</v>
      </c>
      <c r="E24" s="803">
        <v>0</v>
      </c>
      <c r="F24" s="803">
        <v>5867.5505999999996</v>
      </c>
      <c r="G24" s="803" t="s">
        <v>645</v>
      </c>
      <c r="H24" s="803">
        <v>6582.0880999999999</v>
      </c>
      <c r="I24" s="803">
        <v>0</v>
      </c>
      <c r="J24" s="803">
        <v>0</v>
      </c>
      <c r="K24" s="803">
        <v>6582.0880999999999</v>
      </c>
      <c r="L24" s="22"/>
    </row>
    <row r="25" spans="1:12" ht="11.25" customHeight="1">
      <c r="A25" s="802" t="s">
        <v>646</v>
      </c>
      <c r="B25" s="803" t="s">
        <v>474</v>
      </c>
      <c r="C25" s="803">
        <v>6676.1952300000003</v>
      </c>
      <c r="D25" s="803">
        <v>0</v>
      </c>
      <c r="E25" s="803">
        <v>0</v>
      </c>
      <c r="F25" s="803">
        <v>6676.1952300000003</v>
      </c>
      <c r="G25" s="803" t="s">
        <v>523</v>
      </c>
      <c r="H25" s="803">
        <v>6739.2578299999996</v>
      </c>
      <c r="I25" s="803">
        <v>0</v>
      </c>
      <c r="J25" s="803">
        <v>0</v>
      </c>
      <c r="K25" s="803">
        <v>6739.2578299999996</v>
      </c>
      <c r="L25" s="22"/>
    </row>
    <row r="26" spans="1:12" ht="11.25" customHeight="1">
      <c r="A26" s="802" t="s">
        <v>647</v>
      </c>
      <c r="B26" s="803" t="s">
        <v>516</v>
      </c>
      <c r="C26" s="803">
        <v>6531.2616200000002</v>
      </c>
      <c r="D26" s="803">
        <v>0</v>
      </c>
      <c r="E26" s="803">
        <v>0</v>
      </c>
      <c r="F26" s="803">
        <v>6531.2616200000002</v>
      </c>
      <c r="G26" s="803" t="s">
        <v>443</v>
      </c>
      <c r="H26" s="803">
        <v>6588.5260900000003</v>
      </c>
      <c r="I26" s="803">
        <v>0</v>
      </c>
      <c r="J26" s="803">
        <v>0</v>
      </c>
      <c r="K26" s="803">
        <v>6588.5260900000003</v>
      </c>
      <c r="L26" s="22"/>
    </row>
    <row r="27" spans="1:12" ht="11.25" customHeight="1">
      <c r="A27" s="802" t="s">
        <v>648</v>
      </c>
      <c r="B27" s="803" t="s">
        <v>649</v>
      </c>
      <c r="C27" s="803">
        <v>6721.7788499999997</v>
      </c>
      <c r="D27" s="803">
        <v>0</v>
      </c>
      <c r="E27" s="803">
        <v>0</v>
      </c>
      <c r="F27" s="803">
        <v>6721.7788499999997</v>
      </c>
      <c r="G27" s="803" t="s">
        <v>643</v>
      </c>
      <c r="H27" s="803">
        <v>6809.0029599999998</v>
      </c>
      <c r="I27" s="803">
        <v>0</v>
      </c>
      <c r="J27" s="803">
        <v>0</v>
      </c>
      <c r="K27" s="803">
        <v>6809.0029599999998</v>
      </c>
      <c r="L27" s="22"/>
    </row>
    <row r="28" spans="1:12" s="574" customFormat="1" ht="11.25" customHeight="1">
      <c r="A28" s="802" t="s">
        <v>650</v>
      </c>
      <c r="B28" s="803" t="s">
        <v>651</v>
      </c>
      <c r="C28" s="803">
        <v>6845.4142300000003</v>
      </c>
      <c r="D28" s="803">
        <v>0</v>
      </c>
      <c r="E28" s="803">
        <v>0</v>
      </c>
      <c r="F28" s="803">
        <v>6845.4142300000003</v>
      </c>
      <c r="G28" s="803" t="s">
        <v>518</v>
      </c>
      <c r="H28" s="803">
        <v>6808.5518599999996</v>
      </c>
      <c r="I28" s="803">
        <v>0</v>
      </c>
      <c r="J28" s="803">
        <v>0</v>
      </c>
      <c r="K28" s="803">
        <v>6808.5518599999996</v>
      </c>
      <c r="L28" s="22"/>
    </row>
    <row r="29" spans="1:12" s="574" customFormat="1" ht="11.25" customHeight="1">
      <c r="A29" s="802" t="s">
        <v>652</v>
      </c>
      <c r="B29" s="803" t="s">
        <v>653</v>
      </c>
      <c r="C29" s="803">
        <v>6823.0446400000001</v>
      </c>
      <c r="D29" s="803">
        <v>0</v>
      </c>
      <c r="E29" s="803">
        <v>0</v>
      </c>
      <c r="F29" s="803">
        <v>6823.0446400000001</v>
      </c>
      <c r="G29" s="803" t="s">
        <v>517</v>
      </c>
      <c r="H29" s="803">
        <v>6859.5819099999999</v>
      </c>
      <c r="I29" s="803">
        <v>0</v>
      </c>
      <c r="J29" s="803">
        <v>0</v>
      </c>
      <c r="K29" s="803">
        <v>6859.5819099999999</v>
      </c>
      <c r="L29" s="22"/>
    </row>
    <row r="30" spans="1:12" s="574" customFormat="1" ht="11.25" customHeight="1">
      <c r="A30" s="802" t="s">
        <v>654</v>
      </c>
      <c r="B30" s="803" t="s">
        <v>474</v>
      </c>
      <c r="C30" s="803">
        <v>6680.7241000000004</v>
      </c>
      <c r="D30" s="803">
        <v>36.555999999999997</v>
      </c>
      <c r="E30" s="803">
        <v>0</v>
      </c>
      <c r="F30" s="803">
        <v>6717.2800999999999</v>
      </c>
      <c r="G30" s="803" t="s">
        <v>643</v>
      </c>
      <c r="H30" s="803">
        <v>6728.25497</v>
      </c>
      <c r="I30" s="803">
        <v>41.311999999999998</v>
      </c>
      <c r="J30" s="803">
        <v>0</v>
      </c>
      <c r="K30" s="803">
        <v>6769.5669699999999</v>
      </c>
      <c r="L30" s="22"/>
    </row>
    <row r="31" spans="1:12" ht="11.25" customHeight="1">
      <c r="A31" s="802" t="s">
        <v>655</v>
      </c>
      <c r="B31" s="803" t="s">
        <v>464</v>
      </c>
      <c r="C31" s="803">
        <v>6057.8578699999998</v>
      </c>
      <c r="D31" s="803">
        <v>0</v>
      </c>
      <c r="E31" s="803">
        <v>0</v>
      </c>
      <c r="F31" s="803">
        <v>6057.8578699999998</v>
      </c>
      <c r="G31" s="803" t="s">
        <v>656</v>
      </c>
      <c r="H31" s="803">
        <v>6396.7254300000004</v>
      </c>
      <c r="I31" s="803">
        <v>0</v>
      </c>
      <c r="J31" s="803">
        <v>0</v>
      </c>
      <c r="K31" s="803">
        <v>6396.7254300000004</v>
      </c>
      <c r="L31" s="30"/>
    </row>
    <row r="32" spans="1:12" ht="11.25" customHeight="1">
      <c r="A32" s="802" t="s">
        <v>657</v>
      </c>
      <c r="B32" s="803" t="s">
        <v>658</v>
      </c>
      <c r="C32" s="803">
        <v>6631.4404800000002</v>
      </c>
      <c r="D32" s="803">
        <v>36.5</v>
      </c>
      <c r="E32" s="803">
        <v>0</v>
      </c>
      <c r="F32" s="803">
        <v>6667.9404800000002</v>
      </c>
      <c r="G32" s="803" t="s">
        <v>517</v>
      </c>
      <c r="H32" s="803">
        <v>6734.5815199999997</v>
      </c>
      <c r="I32" s="803">
        <v>0</v>
      </c>
      <c r="J32" s="803">
        <v>0</v>
      </c>
      <c r="K32" s="803">
        <v>6734.5815199999997</v>
      </c>
      <c r="L32" s="22"/>
    </row>
    <row r="33" spans="1:12" ht="11.25" customHeight="1">
      <c r="A33" s="802" t="s">
        <v>659</v>
      </c>
      <c r="B33" s="803" t="s">
        <v>660</v>
      </c>
      <c r="C33" s="803">
        <v>6752.4260199999999</v>
      </c>
      <c r="D33" s="803">
        <v>39.170839999999998</v>
      </c>
      <c r="E33" s="803">
        <v>0</v>
      </c>
      <c r="F33" s="803">
        <v>6791.5968599999997</v>
      </c>
      <c r="G33" s="803" t="s">
        <v>517</v>
      </c>
      <c r="H33" s="803">
        <v>6817.9542499999998</v>
      </c>
      <c r="I33" s="803">
        <v>40.81456</v>
      </c>
      <c r="J33" s="803">
        <v>0</v>
      </c>
      <c r="K33" s="803">
        <v>6858.7688099999996</v>
      </c>
      <c r="L33" s="22"/>
    </row>
    <row r="34" spans="1:12" ht="11.25" customHeight="1">
      <c r="A34" s="802" t="s">
        <v>661</v>
      </c>
      <c r="B34" s="803" t="s">
        <v>658</v>
      </c>
      <c r="C34" s="803">
        <v>6853.4194699999998</v>
      </c>
      <c r="D34" s="803">
        <v>36.147359999999999</v>
      </c>
      <c r="E34" s="803">
        <v>0</v>
      </c>
      <c r="F34" s="803">
        <v>6889.5668299999998</v>
      </c>
      <c r="G34" s="803" t="s">
        <v>645</v>
      </c>
      <c r="H34" s="803">
        <v>6791.3247099999999</v>
      </c>
      <c r="I34" s="803">
        <v>43.04524</v>
      </c>
      <c r="J34" s="803">
        <v>0</v>
      </c>
      <c r="K34" s="803">
        <v>6834.3699500000002</v>
      </c>
      <c r="L34" s="15"/>
    </row>
    <row r="35" spans="1:12" ht="11.25" customHeight="1">
      <c r="A35" s="802" t="s">
        <v>662</v>
      </c>
      <c r="B35" s="803" t="s">
        <v>663</v>
      </c>
      <c r="C35" s="803">
        <v>6782.7897899999998</v>
      </c>
      <c r="D35" s="803">
        <v>0</v>
      </c>
      <c r="E35" s="803">
        <v>0</v>
      </c>
      <c r="F35" s="803">
        <v>6782.7897899999998</v>
      </c>
      <c r="G35" s="804" t="s">
        <v>634</v>
      </c>
      <c r="H35" s="804">
        <v>6903.8388500000001</v>
      </c>
      <c r="I35" s="804">
        <v>0</v>
      </c>
      <c r="J35" s="804">
        <v>0</v>
      </c>
      <c r="K35" s="804">
        <v>6903.8388500000001</v>
      </c>
      <c r="L35" s="16"/>
    </row>
    <row r="36" spans="1:12" ht="11.25" customHeight="1">
      <c r="A36" s="802" t="s">
        <v>664</v>
      </c>
      <c r="B36" s="803" t="s">
        <v>665</v>
      </c>
      <c r="C36" s="803">
        <v>6784.8476300000002</v>
      </c>
      <c r="D36" s="803">
        <v>38.502519999999997</v>
      </c>
      <c r="E36" s="803">
        <v>0</v>
      </c>
      <c r="F36" s="803">
        <v>6823.3501500000002</v>
      </c>
      <c r="G36" s="803" t="s">
        <v>645</v>
      </c>
      <c r="H36" s="803">
        <v>6757.6676900000002</v>
      </c>
      <c r="I36" s="803">
        <v>45.072400000000002</v>
      </c>
      <c r="J36" s="803">
        <v>0</v>
      </c>
      <c r="K36" s="803">
        <v>6802.7400900000002</v>
      </c>
      <c r="L36" s="15"/>
    </row>
    <row r="37" spans="1:12" s="574" customFormat="1" ht="11.25" customHeight="1">
      <c r="A37" s="802" t="s">
        <v>666</v>
      </c>
      <c r="B37" s="803" t="s">
        <v>474</v>
      </c>
      <c r="C37" s="803">
        <v>6630.7816800000001</v>
      </c>
      <c r="D37" s="803">
        <v>36.26952</v>
      </c>
      <c r="E37" s="803">
        <v>0</v>
      </c>
      <c r="F37" s="803">
        <v>6667.0511999999999</v>
      </c>
      <c r="G37" s="803" t="s">
        <v>634</v>
      </c>
      <c r="H37" s="803">
        <v>6718.3448500000004</v>
      </c>
      <c r="I37" s="803">
        <v>41.963720000000002</v>
      </c>
      <c r="J37" s="803">
        <v>0</v>
      </c>
      <c r="K37" s="803">
        <v>6760.3085700000001</v>
      </c>
      <c r="L37" s="15"/>
    </row>
    <row r="38" spans="1:12" ht="11.25" customHeight="1">
      <c r="A38" s="802" t="s">
        <v>667</v>
      </c>
      <c r="B38" s="803" t="s">
        <v>668</v>
      </c>
      <c r="C38" s="803">
        <v>5997.1887100000004</v>
      </c>
      <c r="D38" s="803">
        <v>34.700800000000001</v>
      </c>
      <c r="E38" s="803">
        <v>0</v>
      </c>
      <c r="F38" s="803">
        <v>6031.88951</v>
      </c>
      <c r="G38" s="803" t="s">
        <v>443</v>
      </c>
      <c r="H38" s="803">
        <v>6662.3452200000002</v>
      </c>
      <c r="I38" s="803">
        <v>44.104599999999998</v>
      </c>
      <c r="J38" s="803">
        <v>0</v>
      </c>
      <c r="K38" s="803">
        <v>6706.4498199999998</v>
      </c>
      <c r="L38" s="15"/>
    </row>
    <row r="39" spans="1:12" ht="11.25" customHeight="1">
      <c r="A39" s="802" t="s">
        <v>669</v>
      </c>
      <c r="B39" s="803" t="s">
        <v>463</v>
      </c>
      <c r="C39" s="803">
        <v>6762.8785200000002</v>
      </c>
      <c r="D39" s="803">
        <v>38.64</v>
      </c>
      <c r="E39" s="803">
        <v>0</v>
      </c>
      <c r="F39" s="803">
        <v>6801.5185199999996</v>
      </c>
      <c r="G39" s="803" t="s">
        <v>636</v>
      </c>
      <c r="H39" s="803">
        <v>6775.3786200000004</v>
      </c>
      <c r="I39" s="803">
        <v>44.268000000000001</v>
      </c>
      <c r="J39" s="803">
        <v>0</v>
      </c>
      <c r="K39" s="803">
        <v>6819.6466200000004</v>
      </c>
      <c r="L39" s="22"/>
    </row>
    <row r="40" spans="1:12" ht="11.25" customHeight="1">
      <c r="A40" s="802" t="s">
        <v>670</v>
      </c>
      <c r="B40" s="803" t="s">
        <v>503</v>
      </c>
      <c r="C40" s="803">
        <v>6304.8241099999996</v>
      </c>
      <c r="D40" s="803">
        <v>36.591479999999997</v>
      </c>
      <c r="E40" s="803">
        <v>0</v>
      </c>
      <c r="F40" s="803">
        <v>6341.4155899999996</v>
      </c>
      <c r="G40" s="803" t="s">
        <v>656</v>
      </c>
      <c r="H40" s="803">
        <v>6510.2297500000004</v>
      </c>
      <c r="I40" s="803">
        <v>43.8752</v>
      </c>
      <c r="J40" s="803">
        <v>0</v>
      </c>
      <c r="K40" s="803">
        <v>6554.1049499999999</v>
      </c>
      <c r="L40" s="22"/>
    </row>
    <row r="41" spans="1:12" ht="11.25" customHeight="1">
      <c r="A41" s="802" t="s">
        <v>671</v>
      </c>
      <c r="B41" s="803" t="s">
        <v>649</v>
      </c>
      <c r="C41" s="803">
        <v>6743.4865799999998</v>
      </c>
      <c r="D41" s="803">
        <v>35.060720000000003</v>
      </c>
      <c r="E41" s="803">
        <v>0</v>
      </c>
      <c r="F41" s="803">
        <v>6778.5473000000002</v>
      </c>
      <c r="G41" s="803" t="s">
        <v>517</v>
      </c>
      <c r="H41" s="803">
        <v>6814.47408</v>
      </c>
      <c r="I41" s="803">
        <v>0</v>
      </c>
      <c r="J41" s="803">
        <v>0</v>
      </c>
      <c r="K41" s="803">
        <v>6814.47408</v>
      </c>
      <c r="L41" s="22"/>
    </row>
    <row r="42" spans="1:12" ht="11.25" customHeight="1">
      <c r="A42" s="647"/>
      <c r="B42" s="647"/>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3.2">
      <c r="A47" s="196"/>
      <c r="B47" s="196"/>
      <c r="C47" s="196"/>
      <c r="D47" s="196"/>
      <c r="E47" s="196"/>
      <c r="F47" s="196"/>
      <c r="G47" s="196"/>
      <c r="H47" s="196"/>
      <c r="I47" s="196"/>
      <c r="J47" s="196"/>
      <c r="K47" s="198"/>
    </row>
    <row r="48" spans="1:12" ht="13.2">
      <c r="A48" s="196"/>
      <c r="B48" s="196"/>
      <c r="C48" s="196"/>
      <c r="D48" s="196"/>
      <c r="E48" s="196"/>
      <c r="F48" s="196"/>
      <c r="G48" s="196"/>
      <c r="H48" s="196"/>
      <c r="I48" s="196"/>
      <c r="J48" s="196"/>
      <c r="K48" s="198"/>
    </row>
    <row r="49" spans="1:11" ht="13.2">
      <c r="A49" s="196"/>
      <c r="B49" s="196"/>
      <c r="C49" s="196"/>
      <c r="D49" s="196"/>
      <c r="E49" s="196"/>
      <c r="F49" s="196"/>
      <c r="G49" s="196"/>
      <c r="H49" s="196"/>
      <c r="I49" s="196"/>
      <c r="J49" s="196"/>
      <c r="K49" s="198"/>
    </row>
    <row r="50" spans="1:11" ht="13.2">
      <c r="A50" s="196"/>
      <c r="B50" s="196"/>
      <c r="C50" s="196"/>
      <c r="D50" s="196"/>
      <c r="E50" s="196"/>
      <c r="F50" s="196"/>
      <c r="G50" s="196"/>
      <c r="H50" s="196"/>
      <c r="I50" s="196"/>
      <c r="J50" s="196"/>
      <c r="K50" s="198"/>
    </row>
    <row r="51" spans="1:11" ht="13.2">
      <c r="A51" s="196"/>
      <c r="B51" s="196"/>
      <c r="C51" s="196"/>
      <c r="D51" s="196"/>
      <c r="E51" s="196"/>
      <c r="F51" s="196"/>
      <c r="G51" s="196"/>
      <c r="H51" s="196"/>
      <c r="I51" s="196"/>
      <c r="J51" s="196"/>
      <c r="K51" s="198"/>
    </row>
    <row r="52" spans="1:11" ht="13.2">
      <c r="A52" s="196"/>
      <c r="B52" s="111"/>
      <c r="C52" s="111"/>
      <c r="D52" s="111"/>
      <c r="E52" s="111"/>
      <c r="F52" s="111"/>
      <c r="G52" s="111"/>
      <c r="H52" s="111"/>
      <c r="I52" s="111"/>
      <c r="J52" s="111"/>
      <c r="K52" s="198"/>
    </row>
    <row r="53" spans="1:11" ht="13.2">
      <c r="A53" s="196"/>
      <c r="B53" s="111"/>
      <c r="C53" s="111"/>
      <c r="D53" s="111"/>
      <c r="E53" s="111"/>
      <c r="F53" s="111"/>
      <c r="G53" s="111"/>
      <c r="H53" s="111"/>
      <c r="I53" s="111"/>
      <c r="J53" s="111"/>
      <c r="K53" s="198"/>
    </row>
    <row r="54" spans="1:11" ht="13.2">
      <c r="A54" s="196"/>
      <c r="B54" s="111"/>
      <c r="C54" s="111"/>
      <c r="D54" s="111"/>
      <c r="E54" s="111"/>
      <c r="F54" s="111"/>
      <c r="G54" s="111"/>
      <c r="H54" s="111"/>
      <c r="I54" s="111"/>
      <c r="J54" s="111"/>
      <c r="K54" s="198"/>
    </row>
    <row r="55" spans="1:11" ht="13.2">
      <c r="A55" s="196"/>
      <c r="B55" s="111"/>
      <c r="C55" s="111"/>
      <c r="D55" s="111"/>
      <c r="E55" s="111"/>
      <c r="F55" s="111"/>
      <c r="G55" s="111"/>
      <c r="H55" s="111"/>
      <c r="I55" s="111"/>
      <c r="J55" s="111"/>
      <c r="K55" s="198"/>
    </row>
    <row r="56" spans="1:11" ht="13.2">
      <c r="A56" s="196"/>
      <c r="B56" s="111"/>
      <c r="C56" s="111"/>
      <c r="D56" s="111"/>
      <c r="E56" s="111"/>
      <c r="F56" s="111"/>
      <c r="G56" s="111"/>
      <c r="H56" s="111"/>
      <c r="I56" s="111"/>
      <c r="J56" s="111"/>
      <c r="K56" s="198"/>
    </row>
    <row r="57" spans="1:11" ht="13.2">
      <c r="A57" s="196"/>
      <c r="B57" s="197"/>
      <c r="C57" s="197"/>
      <c r="D57" s="197"/>
      <c r="E57" s="197"/>
      <c r="F57" s="197"/>
      <c r="G57" s="197"/>
      <c r="H57" s="197"/>
      <c r="I57" s="197"/>
      <c r="J57" s="197"/>
      <c r="K57" s="198"/>
    </row>
    <row r="58" spans="1:11" ht="13.2">
      <c r="A58" s="196"/>
      <c r="B58" s="197"/>
      <c r="C58" s="197"/>
      <c r="D58" s="197"/>
      <c r="E58" s="197"/>
      <c r="F58" s="197"/>
      <c r="G58" s="197"/>
      <c r="H58" s="197"/>
      <c r="I58" s="197"/>
      <c r="J58" s="197"/>
      <c r="K58" s="198"/>
    </row>
    <row r="59" spans="1:11" ht="13.2">
      <c r="A59" s="196"/>
      <c r="B59" s="200"/>
      <c r="C59" s="198"/>
      <c r="D59" s="198"/>
      <c r="E59" s="198"/>
      <c r="F59" s="198"/>
      <c r="G59" s="197"/>
      <c r="H59" s="197"/>
      <c r="I59" s="197"/>
      <c r="J59" s="197"/>
      <c r="K59" s="198"/>
    </row>
    <row r="60" spans="1:11" ht="13.2">
      <c r="A60" s="201"/>
      <c r="B60" s="202"/>
      <c r="C60" s="202"/>
      <c r="D60" s="202"/>
      <c r="E60" s="202"/>
      <c r="F60" s="202"/>
      <c r="G60" s="202"/>
      <c r="H60" s="197"/>
      <c r="I60" s="197"/>
      <c r="J60" s="197"/>
      <c r="K60" s="198"/>
    </row>
    <row r="61" spans="1:11" ht="13.2">
      <c r="A61" s="201"/>
      <c r="B61" s="202"/>
      <c r="C61" s="202"/>
      <c r="D61" s="202"/>
      <c r="E61" s="202"/>
      <c r="F61" s="202"/>
      <c r="G61" s="202"/>
      <c r="H61" s="197"/>
      <c r="I61" s="197"/>
      <c r="J61" s="197"/>
      <c r="K61" s="197"/>
    </row>
    <row r="62" spans="1:11" ht="13.2">
      <c r="A62" s="201"/>
      <c r="B62" s="202"/>
      <c r="C62" s="202"/>
      <c r="D62" s="202"/>
      <c r="E62" s="202"/>
      <c r="F62" s="202"/>
      <c r="G62" s="202"/>
      <c r="H62" s="197"/>
      <c r="I62" s="197"/>
      <c r="J62" s="197"/>
      <c r="K62" s="197"/>
    </row>
  </sheetData>
  <mergeCells count="3">
    <mergeCell ref="A9:A11"/>
    <mergeCell ref="B9:F9"/>
    <mergeCell ref="G9:K9"/>
  </mergeCells>
  <pageMargins left="0.70866141732283472" right="0.54427083333333337"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1"/>
  <sheetViews>
    <sheetView showGridLines="0" view="pageBreakPreview" zoomScale="115" zoomScaleNormal="100" zoomScaleSheetLayoutView="115" workbookViewId="0">
      <selection activeCell="D6" sqref="D6"/>
    </sheetView>
  </sheetViews>
  <sheetFormatPr baseColWidth="10" defaultColWidth="9.28515625" defaultRowHeight="9.6"/>
  <cols>
    <col min="1" max="1" width="16.140625" style="597" customWidth="1"/>
    <col min="2" max="2" width="19.7109375" style="597" customWidth="1"/>
    <col min="3" max="3" width="12.85546875" style="597" bestFit="1" customWidth="1"/>
    <col min="4" max="4" width="57.42578125" style="597" customWidth="1"/>
    <col min="5" max="5" width="12.42578125" style="597" customWidth="1"/>
    <col min="6" max="6" width="10.42578125" style="597" customWidth="1"/>
    <col min="7" max="8" width="9.28515625" style="597" customWidth="1"/>
    <col min="9" max="16384" width="9.28515625" style="597"/>
  </cols>
  <sheetData>
    <row r="1" spans="1:9" ht="11.25" customHeight="1">
      <c r="A1" s="595" t="s">
        <v>363</v>
      </c>
      <c r="B1" s="596"/>
      <c r="C1" s="596"/>
      <c r="D1" s="596"/>
      <c r="E1" s="596"/>
      <c r="F1" s="596"/>
    </row>
    <row r="2" spans="1:9" ht="30" customHeight="1">
      <c r="A2" s="598" t="s">
        <v>248</v>
      </c>
      <c r="B2" s="599" t="s">
        <v>364</v>
      </c>
      <c r="C2" s="598" t="s">
        <v>353</v>
      </c>
      <c r="D2" s="600" t="s">
        <v>365</v>
      </c>
      <c r="E2" s="601" t="s">
        <v>366</v>
      </c>
      <c r="F2" s="601" t="s">
        <v>367</v>
      </c>
      <c r="G2" s="602"/>
      <c r="H2" s="603"/>
      <c r="I2" s="604"/>
    </row>
    <row r="3" spans="1:9" ht="79.2" customHeight="1">
      <c r="A3" s="607" t="s">
        <v>490</v>
      </c>
      <c r="B3" s="607" t="s">
        <v>601</v>
      </c>
      <c r="C3" s="605">
        <v>44349.3125</v>
      </c>
      <c r="D3" s="606" t="s">
        <v>677</v>
      </c>
      <c r="E3" s="607">
        <v>9.5</v>
      </c>
      <c r="F3" s="607" t="s">
        <v>678</v>
      </c>
      <c r="H3" s="602"/>
      <c r="I3" s="604"/>
    </row>
    <row r="4" spans="1:9" ht="46.8" customHeight="1">
      <c r="A4" s="607" t="s">
        <v>679</v>
      </c>
      <c r="B4" s="607" t="s">
        <v>680</v>
      </c>
      <c r="C4" s="605">
        <v>44351.699305555558</v>
      </c>
      <c r="D4" s="606" t="s">
        <v>681</v>
      </c>
      <c r="E4" s="607">
        <v>0.14000000000000001</v>
      </c>
      <c r="F4" s="607" t="s">
        <v>678</v>
      </c>
      <c r="G4" s="608"/>
      <c r="H4" s="608"/>
      <c r="I4" s="609"/>
    </row>
    <row r="5" spans="1:9" ht="74.400000000000006" customHeight="1">
      <c r="A5" s="607" t="s">
        <v>682</v>
      </c>
      <c r="B5" s="607" t="s">
        <v>683</v>
      </c>
      <c r="C5" s="605">
        <v>44353.303472222222</v>
      </c>
      <c r="D5" s="606" t="s">
        <v>684</v>
      </c>
      <c r="E5" s="607">
        <v>3.31</v>
      </c>
      <c r="F5" s="607"/>
      <c r="G5" s="608"/>
      <c r="H5" s="608"/>
      <c r="I5" s="610"/>
    </row>
    <row r="6" spans="1:9" ht="46.8" customHeight="1">
      <c r="A6" s="607" t="s">
        <v>685</v>
      </c>
      <c r="B6" s="607" t="s">
        <v>686</v>
      </c>
      <c r="C6" s="605">
        <v>44354.720833333333</v>
      </c>
      <c r="D6" s="606" t="s">
        <v>687</v>
      </c>
      <c r="E6" s="607">
        <v>64</v>
      </c>
      <c r="F6" s="607" t="s">
        <v>678</v>
      </c>
      <c r="G6" s="608"/>
      <c r="H6" s="608"/>
      <c r="I6" s="611"/>
    </row>
    <row r="7" spans="1:9" ht="62.4" customHeight="1">
      <c r="A7" s="607" t="s">
        <v>490</v>
      </c>
      <c r="B7" s="607" t="s">
        <v>688</v>
      </c>
      <c r="C7" s="605">
        <v>44355.517361111109</v>
      </c>
      <c r="D7" s="606" t="s">
        <v>689</v>
      </c>
      <c r="E7" s="607"/>
      <c r="F7" s="607">
        <v>3.78</v>
      </c>
      <c r="G7" s="608"/>
      <c r="H7" s="608"/>
      <c r="I7" s="612"/>
    </row>
    <row r="8" spans="1:9" ht="59.4" customHeight="1">
      <c r="A8" s="607" t="s">
        <v>480</v>
      </c>
      <c r="B8" s="607" t="s">
        <v>524</v>
      </c>
      <c r="C8" s="605">
        <v>44356.744444444441</v>
      </c>
      <c r="D8" s="606" t="s">
        <v>690</v>
      </c>
      <c r="E8" s="607">
        <v>4.07</v>
      </c>
      <c r="F8" s="607" t="s">
        <v>678</v>
      </c>
      <c r="G8" s="608"/>
      <c r="H8" s="608"/>
      <c r="I8" s="611"/>
    </row>
    <row r="9" spans="1:9" ht="57" customHeight="1">
      <c r="A9" s="607" t="s">
        <v>691</v>
      </c>
      <c r="B9" s="607" t="s">
        <v>692</v>
      </c>
      <c r="C9" s="605">
        <v>44360.714583333334</v>
      </c>
      <c r="D9" s="606" t="s">
        <v>693</v>
      </c>
      <c r="E9" s="613"/>
      <c r="F9" s="613">
        <v>8</v>
      </c>
      <c r="G9" s="608"/>
      <c r="H9" s="608"/>
      <c r="I9" s="611"/>
    </row>
    <row r="10" spans="1:9" ht="66" customHeight="1">
      <c r="A10" s="607" t="s">
        <v>490</v>
      </c>
      <c r="B10" s="607" t="s">
        <v>694</v>
      </c>
      <c r="C10" s="605">
        <v>44361.152083333334</v>
      </c>
      <c r="D10" s="606" t="s">
        <v>695</v>
      </c>
      <c r="E10" s="613">
        <v>9.9</v>
      </c>
      <c r="F10" s="613" t="s">
        <v>678</v>
      </c>
    </row>
    <row r="11" spans="1:9" ht="63.6" customHeight="1">
      <c r="A11" s="607" t="s">
        <v>696</v>
      </c>
      <c r="B11" s="607" t="s">
        <v>697</v>
      </c>
      <c r="C11" s="605">
        <v>44362.321527777778</v>
      </c>
      <c r="D11" s="606" t="s">
        <v>698</v>
      </c>
      <c r="E11" s="607">
        <v>1</v>
      </c>
      <c r="F11" s="607" t="s">
        <v>678</v>
      </c>
    </row>
    <row r="12" spans="1:9" ht="68.400000000000006" customHeight="1">
      <c r="A12" s="607" t="s">
        <v>699</v>
      </c>
      <c r="B12" s="607" t="s">
        <v>700</v>
      </c>
      <c r="C12" s="605">
        <v>44362.46597222222</v>
      </c>
      <c r="D12" s="606" t="s">
        <v>701</v>
      </c>
      <c r="E12" s="607">
        <v>5.3</v>
      </c>
      <c r="F12" s="607">
        <v>7.21</v>
      </c>
    </row>
    <row r="13" spans="1:9" ht="73.2" customHeight="1">
      <c r="A13" s="607" t="s">
        <v>602</v>
      </c>
      <c r="B13" s="607" t="s">
        <v>603</v>
      </c>
      <c r="C13" s="605">
        <v>44362.478472222225</v>
      </c>
      <c r="D13" s="606" t="s">
        <v>702</v>
      </c>
      <c r="E13" s="607">
        <v>21</v>
      </c>
      <c r="F13" s="607" t="s">
        <v>678</v>
      </c>
    </row>
    <row r="14" spans="1:9" ht="56.25" customHeight="1">
      <c r="A14" s="607" t="s">
        <v>600</v>
      </c>
      <c r="B14" s="607" t="s">
        <v>703</v>
      </c>
      <c r="C14" s="605">
        <v>44363.21875</v>
      </c>
      <c r="D14" s="606" t="s">
        <v>704</v>
      </c>
      <c r="E14" s="607">
        <v>20.29</v>
      </c>
      <c r="F14" s="607" t="s">
        <v>678</v>
      </c>
    </row>
    <row r="15" spans="1:9">
      <c r="C15" s="614"/>
      <c r="E15" s="615"/>
      <c r="F15" s="615"/>
    </row>
    <row r="16" spans="1:9">
      <c r="C16" s="614"/>
      <c r="E16" s="615"/>
      <c r="F16" s="615"/>
    </row>
    <row r="17" spans="3:6">
      <c r="C17" s="614"/>
      <c r="E17" s="615"/>
      <c r="F17" s="615"/>
    </row>
    <row r="18" spans="3:6">
      <c r="C18" s="614"/>
      <c r="E18" s="615"/>
      <c r="F18" s="615"/>
    </row>
    <row r="19" spans="3:6">
      <c r="C19" s="614"/>
      <c r="E19" s="615"/>
      <c r="F19" s="615"/>
    </row>
    <row r="20" spans="3:6">
      <c r="C20" s="614"/>
      <c r="E20" s="615"/>
      <c r="F20" s="615"/>
    </row>
    <row r="21" spans="3:6">
      <c r="C21" s="614"/>
      <c r="E21" s="615"/>
      <c r="F21" s="615"/>
    </row>
    <row r="22" spans="3:6">
      <c r="C22" s="614"/>
      <c r="E22" s="615"/>
      <c r="F22" s="615"/>
    </row>
    <row r="23" spans="3:6">
      <c r="C23" s="614"/>
      <c r="E23" s="615"/>
      <c r="F23" s="615"/>
    </row>
    <row r="24" spans="3:6">
      <c r="C24" s="614"/>
      <c r="E24" s="615"/>
      <c r="F24" s="615"/>
    </row>
    <row r="25" spans="3:6">
      <c r="C25" s="614"/>
      <c r="E25" s="615"/>
      <c r="F25" s="615"/>
    </row>
    <row r="26" spans="3:6">
      <c r="C26" s="614"/>
      <c r="E26" s="615"/>
      <c r="F26" s="615"/>
    </row>
    <row r="27" spans="3:6">
      <c r="C27" s="614"/>
      <c r="E27" s="615"/>
      <c r="F27" s="615"/>
    </row>
    <row r="28" spans="3:6">
      <c r="C28" s="614"/>
      <c r="E28" s="615"/>
      <c r="F28" s="615"/>
    </row>
    <row r="29" spans="3:6">
      <c r="C29" s="614"/>
      <c r="E29" s="615"/>
      <c r="F29" s="615"/>
    </row>
    <row r="30" spans="3:6">
      <c r="C30" s="614"/>
      <c r="E30" s="615"/>
      <c r="F30" s="615"/>
    </row>
    <row r="31" spans="3:6">
      <c r="C31" s="614"/>
      <c r="E31" s="615"/>
      <c r="F31" s="615"/>
    </row>
    <row r="32" spans="3:6">
      <c r="C32" s="614"/>
      <c r="E32" s="615"/>
      <c r="F32" s="615"/>
    </row>
    <row r="33" spans="3:6">
      <c r="C33" s="614"/>
      <c r="E33" s="615"/>
      <c r="F33" s="615"/>
    </row>
    <row r="34" spans="3:6">
      <c r="C34" s="614"/>
      <c r="E34" s="615"/>
      <c r="F34" s="615"/>
    </row>
    <row r="35" spans="3:6">
      <c r="C35" s="614"/>
      <c r="E35" s="615"/>
      <c r="F35" s="615"/>
    </row>
    <row r="36" spans="3:6">
      <c r="C36" s="614"/>
      <c r="E36" s="615"/>
      <c r="F36" s="615"/>
    </row>
    <row r="37" spans="3:6">
      <c r="C37" s="614"/>
      <c r="E37" s="615"/>
      <c r="F37" s="615"/>
    </row>
    <row r="38" spans="3:6">
      <c r="C38" s="614"/>
      <c r="E38" s="615"/>
      <c r="F38" s="615"/>
    </row>
    <row r="39" spans="3:6">
      <c r="E39" s="615"/>
      <c r="F39" s="615"/>
    </row>
    <row r="40" spans="3:6">
      <c r="E40" s="615"/>
      <c r="F40" s="615"/>
    </row>
    <row r="41" spans="3:6">
      <c r="E41" s="615"/>
      <c r="F41" s="615"/>
    </row>
    <row r="42" spans="3:6">
      <c r="E42" s="615"/>
      <c r="F42" s="615"/>
    </row>
    <row r="43" spans="3:6">
      <c r="E43" s="615"/>
      <c r="F43" s="615"/>
    </row>
    <row r="44" spans="3:6">
      <c r="E44" s="615"/>
      <c r="F44" s="615"/>
    </row>
    <row r="45" spans="3:6">
      <c r="E45" s="615"/>
      <c r="F45" s="615"/>
    </row>
    <row r="46" spans="3:6">
      <c r="E46" s="615"/>
      <c r="F46" s="615"/>
    </row>
    <row r="47" spans="3:6">
      <c r="E47" s="615"/>
      <c r="F47" s="615"/>
    </row>
    <row r="48" spans="3:6">
      <c r="E48" s="615"/>
      <c r="F48" s="615"/>
    </row>
    <row r="49" spans="5:6">
      <c r="E49" s="615"/>
      <c r="F49" s="615"/>
    </row>
    <row r="50" spans="5:6">
      <c r="E50" s="615"/>
      <c r="F50" s="615"/>
    </row>
    <row r="51" spans="5:6">
      <c r="E51" s="615"/>
      <c r="F51" s="615"/>
    </row>
    <row r="52" spans="5:6">
      <c r="E52" s="615"/>
      <c r="F52" s="615"/>
    </row>
    <row r="53" spans="5:6">
      <c r="E53" s="615"/>
      <c r="F53" s="615"/>
    </row>
    <row r="54" spans="5:6">
      <c r="E54" s="615"/>
      <c r="F54" s="615"/>
    </row>
    <row r="55" spans="5:6">
      <c r="E55" s="615"/>
      <c r="F55" s="615"/>
    </row>
    <row r="56" spans="5:6">
      <c r="E56" s="615"/>
      <c r="F56" s="615"/>
    </row>
    <row r="57" spans="5:6">
      <c r="E57" s="615"/>
      <c r="F57" s="615"/>
    </row>
    <row r="58" spans="5:6">
      <c r="E58" s="615"/>
      <c r="F58" s="615"/>
    </row>
    <row r="59" spans="5:6">
      <c r="E59" s="615"/>
      <c r="F59" s="615"/>
    </row>
    <row r="60" spans="5:6">
      <c r="E60" s="615"/>
      <c r="F60" s="615"/>
    </row>
    <row r="61" spans="5:6">
      <c r="E61" s="615"/>
      <c r="F61" s="615"/>
    </row>
    <row r="62" spans="5:6">
      <c r="E62" s="615"/>
      <c r="F62" s="615"/>
    </row>
    <row r="63" spans="5:6">
      <c r="E63" s="615"/>
      <c r="F63" s="615"/>
    </row>
    <row r="64" spans="5:6">
      <c r="E64" s="615"/>
      <c r="F64" s="615"/>
    </row>
    <row r="65" spans="5:6">
      <c r="E65" s="615"/>
      <c r="F65" s="615"/>
    </row>
    <row r="66" spans="5:6">
      <c r="E66" s="615"/>
      <c r="F66" s="615"/>
    </row>
    <row r="67" spans="5:6">
      <c r="E67" s="615"/>
      <c r="F67" s="615"/>
    </row>
    <row r="68" spans="5:6">
      <c r="E68" s="615"/>
      <c r="F68" s="615"/>
    </row>
    <row r="69" spans="5:6">
      <c r="E69" s="615"/>
      <c r="F69" s="615"/>
    </row>
    <row r="70" spans="5:6">
      <c r="E70" s="615"/>
      <c r="F70" s="615"/>
    </row>
    <row r="71" spans="5:6">
      <c r="E71" s="615"/>
      <c r="F71" s="615"/>
    </row>
    <row r="72" spans="5:6">
      <c r="E72" s="615"/>
      <c r="F72" s="615"/>
    </row>
    <row r="73" spans="5:6">
      <c r="E73" s="615"/>
      <c r="F73" s="615"/>
    </row>
    <row r="74" spans="5:6">
      <c r="E74" s="615"/>
      <c r="F74" s="615"/>
    </row>
    <row r="75" spans="5:6">
      <c r="E75" s="615"/>
      <c r="F75" s="615"/>
    </row>
    <row r="76" spans="5:6">
      <c r="E76" s="615"/>
      <c r="F76" s="615"/>
    </row>
    <row r="77" spans="5:6">
      <c r="E77" s="615"/>
      <c r="F77" s="615"/>
    </row>
    <row r="78" spans="5:6">
      <c r="E78" s="615"/>
      <c r="F78" s="615"/>
    </row>
    <row r="79" spans="5:6">
      <c r="E79" s="615"/>
      <c r="F79" s="615"/>
    </row>
    <row r="80" spans="5:6">
      <c r="E80" s="615"/>
      <c r="F80" s="615"/>
    </row>
    <row r="81" spans="5:6">
      <c r="E81" s="615"/>
      <c r="F81" s="615"/>
    </row>
    <row r="82" spans="5:6">
      <c r="E82" s="615"/>
      <c r="F82" s="615"/>
    </row>
    <row r="83" spans="5:6">
      <c r="E83" s="615"/>
      <c r="F83" s="615"/>
    </row>
    <row r="84" spans="5:6">
      <c r="E84" s="615"/>
      <c r="F84" s="615"/>
    </row>
    <row r="85" spans="5:6">
      <c r="E85" s="615"/>
      <c r="F85" s="615"/>
    </row>
    <row r="86" spans="5:6">
      <c r="E86" s="615"/>
      <c r="F86" s="615"/>
    </row>
    <row r="87" spans="5:6">
      <c r="E87" s="615"/>
      <c r="F87" s="615"/>
    </row>
    <row r="88" spans="5:6">
      <c r="E88" s="615"/>
      <c r="F88" s="615"/>
    </row>
    <row r="89" spans="5:6">
      <c r="E89" s="615"/>
      <c r="F89" s="615"/>
    </row>
    <row r="90" spans="5:6">
      <c r="E90" s="615"/>
      <c r="F90" s="615"/>
    </row>
    <row r="91" spans="5:6">
      <c r="E91" s="615"/>
      <c r="F91" s="615"/>
    </row>
    <row r="92" spans="5:6">
      <c r="E92" s="615"/>
      <c r="F92" s="615"/>
    </row>
    <row r="93" spans="5:6">
      <c r="E93" s="615"/>
      <c r="F93" s="615"/>
    </row>
    <row r="94" spans="5:6">
      <c r="E94" s="615"/>
      <c r="F94" s="615"/>
    </row>
    <row r="95" spans="5:6">
      <c r="E95" s="615"/>
      <c r="F95" s="615"/>
    </row>
    <row r="96" spans="5:6">
      <c r="E96" s="615"/>
      <c r="F96" s="615"/>
    </row>
    <row r="97" spans="5:6">
      <c r="E97" s="615"/>
      <c r="F97" s="615"/>
    </row>
    <row r="98" spans="5:6">
      <c r="E98" s="615"/>
      <c r="F98" s="615"/>
    </row>
    <row r="99" spans="5:6">
      <c r="E99" s="615"/>
      <c r="F99" s="615"/>
    </row>
    <row r="100" spans="5:6">
      <c r="E100" s="615"/>
      <c r="F100" s="615"/>
    </row>
    <row r="101" spans="5:6">
      <c r="E101" s="615"/>
      <c r="F101" s="615"/>
    </row>
    <row r="102" spans="5:6">
      <c r="E102" s="615"/>
      <c r="F102" s="615"/>
    </row>
    <row r="103" spans="5:6">
      <c r="E103" s="615"/>
      <c r="F103" s="615"/>
    </row>
    <row r="104" spans="5:6">
      <c r="E104" s="615"/>
      <c r="F104" s="615"/>
    </row>
    <row r="105" spans="5:6">
      <c r="E105" s="615"/>
      <c r="F105" s="615"/>
    </row>
    <row r="106" spans="5:6">
      <c r="E106" s="615"/>
      <c r="F106" s="615"/>
    </row>
    <row r="107" spans="5:6">
      <c r="E107" s="615"/>
      <c r="F107" s="615"/>
    </row>
    <row r="108" spans="5:6">
      <c r="E108" s="615"/>
      <c r="F108" s="615"/>
    </row>
    <row r="109" spans="5:6">
      <c r="E109" s="615"/>
      <c r="F109" s="615"/>
    </row>
    <row r="110" spans="5:6">
      <c r="E110" s="615"/>
      <c r="F110" s="615"/>
    </row>
    <row r="111" spans="5:6">
      <c r="E111" s="615"/>
      <c r="F111" s="615"/>
    </row>
    <row r="112" spans="5:6">
      <c r="E112" s="615"/>
      <c r="F112" s="615"/>
    </row>
    <row r="113" spans="5:6">
      <c r="E113" s="615"/>
      <c r="F113" s="615"/>
    </row>
    <row r="114" spans="5:6">
      <c r="E114" s="615"/>
      <c r="F114" s="615"/>
    </row>
    <row r="115" spans="5:6">
      <c r="E115" s="615"/>
      <c r="F115" s="615"/>
    </row>
    <row r="116" spans="5:6">
      <c r="E116" s="615"/>
      <c r="F116" s="615"/>
    </row>
    <row r="117" spans="5:6">
      <c r="E117" s="615"/>
      <c r="F117" s="615"/>
    </row>
    <row r="118" spans="5:6">
      <c r="E118" s="615"/>
      <c r="F118" s="615"/>
    </row>
    <row r="119" spans="5:6">
      <c r="E119" s="615"/>
      <c r="F119" s="615"/>
    </row>
    <row r="120" spans="5:6">
      <c r="E120" s="615"/>
      <c r="F120" s="615"/>
    </row>
    <row r="121" spans="5:6">
      <c r="E121" s="615"/>
      <c r="F121" s="615"/>
    </row>
    <row r="122" spans="5:6">
      <c r="E122" s="615"/>
      <c r="F122" s="615"/>
    </row>
    <row r="123" spans="5:6">
      <c r="E123" s="615"/>
      <c r="F123" s="615"/>
    </row>
    <row r="124" spans="5:6">
      <c r="E124" s="615"/>
      <c r="F124" s="615"/>
    </row>
    <row r="125" spans="5:6">
      <c r="E125" s="615"/>
      <c r="F125" s="615"/>
    </row>
    <row r="126" spans="5:6">
      <c r="E126" s="615"/>
      <c r="F126" s="615"/>
    </row>
    <row r="127" spans="5:6">
      <c r="E127" s="615"/>
      <c r="F127" s="615"/>
    </row>
    <row r="128" spans="5:6">
      <c r="E128" s="615"/>
      <c r="F128" s="615"/>
    </row>
    <row r="129" spans="5:6">
      <c r="E129" s="615"/>
      <c r="F129" s="615"/>
    </row>
    <row r="130" spans="5:6">
      <c r="E130" s="615"/>
      <c r="F130" s="615"/>
    </row>
    <row r="131" spans="5:6">
      <c r="E131" s="615"/>
      <c r="F131" s="615"/>
    </row>
  </sheetData>
  <pageMargins left="0.45" right="0.40312500000000001" top="1.0236220472440944" bottom="0.62992125984251968" header="0.31496062992125984" footer="0.31496062992125984"/>
  <pageSetup paperSize="9" scale="90" orientation="portrait" r:id="rId1"/>
  <headerFooter>
    <oddHeader>&amp;R&amp;7Informe de la Operación Mensual - Junio 2021
INFSGI-MES-06-2021
12/07/2021
Versión: 01</oddHeader>
    <oddFooter>&amp;L&amp;7COES, 2021&amp;C25&amp;R&amp;7Dirección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96"/>
  <sheetViews>
    <sheetView showGridLines="0" view="pageBreakPreview" zoomScale="130" zoomScaleNormal="100" zoomScaleSheetLayoutView="130" zoomScalePageLayoutView="85" workbookViewId="0">
      <selection activeCell="D6" sqref="D6"/>
    </sheetView>
  </sheetViews>
  <sheetFormatPr baseColWidth="10" defaultColWidth="9.28515625" defaultRowHeight="9.6"/>
  <cols>
    <col min="1" max="1" width="16.140625" style="597" customWidth="1"/>
    <col min="2" max="2" width="19.7109375" style="597" customWidth="1"/>
    <col min="3" max="3" width="12.85546875" style="597" bestFit="1" customWidth="1"/>
    <col min="4" max="4" width="59.85546875" style="597" customWidth="1"/>
    <col min="5" max="5" width="11.7109375" style="597" customWidth="1"/>
    <col min="6" max="6" width="10.42578125" style="597" customWidth="1"/>
    <col min="7" max="8" width="9.28515625" style="597" customWidth="1"/>
    <col min="9" max="16384" width="9.28515625" style="597"/>
  </cols>
  <sheetData>
    <row r="1" spans="1:9" ht="11.25" customHeight="1">
      <c r="A1" s="595" t="s">
        <v>363</v>
      </c>
      <c r="B1" s="596"/>
      <c r="C1" s="596"/>
      <c r="D1" s="596"/>
      <c r="E1" s="596"/>
      <c r="F1" s="596"/>
    </row>
    <row r="2" spans="1:9" ht="30" customHeight="1">
      <c r="A2" s="598" t="s">
        <v>248</v>
      </c>
      <c r="B2" s="599" t="s">
        <v>364</v>
      </c>
      <c r="C2" s="598" t="s">
        <v>353</v>
      </c>
      <c r="D2" s="600" t="s">
        <v>365</v>
      </c>
      <c r="E2" s="601" t="s">
        <v>366</v>
      </c>
      <c r="F2" s="601" t="s">
        <v>367</v>
      </c>
      <c r="G2" s="602"/>
      <c r="H2" s="603"/>
      <c r="I2" s="604"/>
    </row>
    <row r="3" spans="1:9" ht="139.80000000000001" customHeight="1">
      <c r="A3" s="607" t="s">
        <v>479</v>
      </c>
      <c r="B3" s="607" t="s">
        <v>525</v>
      </c>
      <c r="C3" s="605">
        <v>44363.322916666664</v>
      </c>
      <c r="D3" s="606" t="s">
        <v>705</v>
      </c>
      <c r="E3" s="607">
        <v>13.91</v>
      </c>
      <c r="F3" s="607" t="s">
        <v>678</v>
      </c>
      <c r="G3" s="608"/>
      <c r="H3" s="608"/>
      <c r="I3" s="610"/>
    </row>
    <row r="4" spans="1:9" ht="135.6" customHeight="1">
      <c r="A4" s="607" t="s">
        <v>491</v>
      </c>
      <c r="B4" s="607" t="s">
        <v>599</v>
      </c>
      <c r="C4" s="605">
        <v>44363.470138888886</v>
      </c>
      <c r="D4" s="606" t="s">
        <v>706</v>
      </c>
      <c r="E4" s="607">
        <v>53.83</v>
      </c>
      <c r="F4" s="607" t="s">
        <v>678</v>
      </c>
      <c r="G4" s="608"/>
      <c r="H4" s="608"/>
      <c r="I4" s="611"/>
    </row>
    <row r="5" spans="1:9" ht="126.6" customHeight="1">
      <c r="A5" s="607" t="s">
        <v>476</v>
      </c>
      <c r="B5" s="607" t="s">
        <v>707</v>
      </c>
      <c r="C5" s="605">
        <v>44364.868750000001</v>
      </c>
      <c r="D5" s="606" t="s">
        <v>708</v>
      </c>
      <c r="E5" s="607">
        <v>0.97</v>
      </c>
      <c r="F5" s="607" t="s">
        <v>678</v>
      </c>
      <c r="G5" s="608"/>
      <c r="H5" s="608"/>
      <c r="I5" s="612"/>
    </row>
    <row r="6" spans="1:9" ht="82.8" customHeight="1">
      <c r="A6" s="607" t="s">
        <v>709</v>
      </c>
      <c r="B6" s="607" t="s">
        <v>710</v>
      </c>
      <c r="C6" s="605">
        <v>44367.458333333336</v>
      </c>
      <c r="D6" s="606" t="s">
        <v>711</v>
      </c>
      <c r="E6" s="607">
        <v>20</v>
      </c>
      <c r="F6" s="607" t="s">
        <v>678</v>
      </c>
      <c r="G6" s="608"/>
      <c r="H6" s="608"/>
      <c r="I6" s="611"/>
    </row>
    <row r="7" spans="1:9" ht="76.2" customHeight="1">
      <c r="A7" s="607" t="s">
        <v>712</v>
      </c>
      <c r="B7" s="607" t="s">
        <v>713</v>
      </c>
      <c r="C7" s="605">
        <v>44369.703472222223</v>
      </c>
      <c r="D7" s="606" t="s">
        <v>714</v>
      </c>
      <c r="E7" s="607">
        <v>24.77</v>
      </c>
      <c r="F7" s="607" t="s">
        <v>678</v>
      </c>
      <c r="G7" s="608"/>
      <c r="H7" s="608"/>
      <c r="I7" s="611"/>
    </row>
    <row r="8" spans="1:9" ht="70.2" customHeight="1">
      <c r="A8" s="607" t="s">
        <v>715</v>
      </c>
      <c r="B8" s="607" t="s">
        <v>716</v>
      </c>
      <c r="C8" s="605">
        <v>44369.9</v>
      </c>
      <c r="D8" s="606" t="s">
        <v>717</v>
      </c>
      <c r="E8" s="607">
        <v>1.53</v>
      </c>
      <c r="F8" s="607" t="s">
        <v>678</v>
      </c>
      <c r="G8" s="608"/>
      <c r="H8" s="608"/>
      <c r="I8" s="611"/>
    </row>
    <row r="9" spans="1:9" ht="67.2" customHeight="1">
      <c r="A9" s="607" t="s">
        <v>718</v>
      </c>
      <c r="B9" s="607" t="s">
        <v>719</v>
      </c>
      <c r="C9" s="605">
        <v>44370.055555555555</v>
      </c>
      <c r="D9" s="606" t="s">
        <v>720</v>
      </c>
      <c r="E9" s="607">
        <v>10.119999999999999</v>
      </c>
      <c r="F9" s="607" t="s">
        <v>678</v>
      </c>
      <c r="G9" s="608"/>
      <c r="H9" s="608"/>
      <c r="I9" s="611"/>
    </row>
    <row r="10" spans="1:9" ht="102" customHeight="1">
      <c r="A10" s="607" t="s">
        <v>480</v>
      </c>
      <c r="B10" s="607" t="s">
        <v>721</v>
      </c>
      <c r="C10" s="605">
        <v>44372.318749999999</v>
      </c>
      <c r="D10" s="606" t="s">
        <v>722</v>
      </c>
      <c r="E10" s="607">
        <v>18</v>
      </c>
      <c r="F10" s="607">
        <v>2.92</v>
      </c>
      <c r="G10" s="608"/>
      <c r="H10" s="608"/>
      <c r="I10" s="611"/>
    </row>
    <row r="11" spans="1:9">
      <c r="E11" s="615"/>
      <c r="F11" s="615"/>
    </row>
    <row r="12" spans="1:9">
      <c r="E12" s="615"/>
      <c r="F12" s="615"/>
    </row>
    <row r="13" spans="1:9">
      <c r="E13" s="615"/>
      <c r="F13" s="615"/>
    </row>
    <row r="14" spans="1:9">
      <c r="E14" s="615"/>
      <c r="F14" s="615"/>
    </row>
    <row r="15" spans="1:9">
      <c r="E15" s="615"/>
      <c r="F15" s="615"/>
    </row>
    <row r="16" spans="1:9">
      <c r="E16" s="615"/>
      <c r="F16" s="615"/>
    </row>
    <row r="17" spans="5:6">
      <c r="E17" s="615"/>
      <c r="F17" s="615"/>
    </row>
    <row r="18" spans="5:6">
      <c r="E18" s="615"/>
      <c r="F18" s="615"/>
    </row>
    <row r="19" spans="5:6">
      <c r="E19" s="615"/>
      <c r="F19" s="615"/>
    </row>
    <row r="20" spans="5:6">
      <c r="E20" s="615"/>
      <c r="F20" s="615"/>
    </row>
    <row r="21" spans="5:6">
      <c r="E21" s="615"/>
      <c r="F21" s="615"/>
    </row>
    <row r="22" spans="5:6">
      <c r="E22" s="615"/>
      <c r="F22" s="615"/>
    </row>
    <row r="23" spans="5:6">
      <c r="E23" s="615"/>
      <c r="F23" s="615"/>
    </row>
    <row r="24" spans="5:6">
      <c r="E24" s="615"/>
      <c r="F24" s="615"/>
    </row>
    <row r="25" spans="5:6">
      <c r="E25" s="615"/>
      <c r="F25" s="615"/>
    </row>
    <row r="26" spans="5:6">
      <c r="E26" s="615"/>
      <c r="F26" s="615"/>
    </row>
    <row r="27" spans="5:6">
      <c r="E27" s="615"/>
      <c r="F27" s="615"/>
    </row>
    <row r="28" spans="5:6">
      <c r="E28" s="615"/>
      <c r="F28" s="615"/>
    </row>
    <row r="29" spans="5:6">
      <c r="E29" s="615"/>
      <c r="F29" s="615"/>
    </row>
    <row r="30" spans="5:6">
      <c r="E30" s="615"/>
      <c r="F30" s="615"/>
    </row>
    <row r="31" spans="5:6">
      <c r="E31" s="615"/>
      <c r="F31" s="615"/>
    </row>
    <row r="32" spans="5:6">
      <c r="E32" s="615"/>
      <c r="F32" s="615"/>
    </row>
    <row r="33" spans="5:6">
      <c r="E33" s="615"/>
      <c r="F33" s="615"/>
    </row>
    <row r="34" spans="5:6">
      <c r="E34" s="615"/>
      <c r="F34" s="615"/>
    </row>
    <row r="35" spans="5:6">
      <c r="E35" s="615"/>
      <c r="F35" s="615"/>
    </row>
    <row r="36" spans="5:6">
      <c r="E36" s="615"/>
      <c r="F36" s="615"/>
    </row>
    <row r="37" spans="5:6">
      <c r="E37" s="615"/>
      <c r="F37" s="615"/>
    </row>
    <row r="38" spans="5:6">
      <c r="E38" s="615"/>
      <c r="F38" s="615"/>
    </row>
    <row r="39" spans="5:6">
      <c r="E39" s="615"/>
      <c r="F39" s="615"/>
    </row>
    <row r="40" spans="5:6">
      <c r="E40" s="615"/>
      <c r="F40" s="615"/>
    </row>
    <row r="41" spans="5:6">
      <c r="E41" s="615"/>
      <c r="F41" s="615"/>
    </row>
    <row r="42" spans="5:6">
      <c r="E42" s="615"/>
      <c r="F42" s="615"/>
    </row>
    <row r="43" spans="5:6">
      <c r="E43" s="615"/>
      <c r="F43" s="615"/>
    </row>
    <row r="44" spans="5:6">
      <c r="E44" s="615"/>
      <c r="F44" s="615"/>
    </row>
    <row r="45" spans="5:6">
      <c r="E45" s="615"/>
      <c r="F45" s="615"/>
    </row>
    <row r="46" spans="5:6">
      <c r="E46" s="615"/>
      <c r="F46" s="615"/>
    </row>
    <row r="47" spans="5:6">
      <c r="E47" s="615"/>
      <c r="F47" s="615"/>
    </row>
    <row r="48" spans="5:6">
      <c r="E48" s="615"/>
      <c r="F48" s="615"/>
    </row>
    <row r="49" spans="5:6">
      <c r="E49" s="615"/>
      <c r="F49" s="615"/>
    </row>
    <row r="50" spans="5:6">
      <c r="E50" s="615"/>
      <c r="F50" s="615"/>
    </row>
    <row r="51" spans="5:6">
      <c r="E51" s="615"/>
      <c r="F51" s="615"/>
    </row>
    <row r="52" spans="5:6">
      <c r="E52" s="615"/>
      <c r="F52" s="615"/>
    </row>
    <row r="53" spans="5:6">
      <c r="E53" s="615"/>
      <c r="F53" s="615"/>
    </row>
    <row r="54" spans="5:6">
      <c r="E54" s="615"/>
      <c r="F54" s="615"/>
    </row>
    <row r="55" spans="5:6">
      <c r="E55" s="615"/>
      <c r="F55" s="615"/>
    </row>
    <row r="56" spans="5:6">
      <c r="E56" s="615"/>
      <c r="F56" s="615"/>
    </row>
    <row r="57" spans="5:6">
      <c r="E57" s="615"/>
      <c r="F57" s="615"/>
    </row>
    <row r="58" spans="5:6">
      <c r="E58" s="615"/>
      <c r="F58" s="615"/>
    </row>
    <row r="59" spans="5:6">
      <c r="E59" s="615"/>
      <c r="F59" s="615"/>
    </row>
    <row r="60" spans="5:6">
      <c r="E60" s="615"/>
      <c r="F60" s="615"/>
    </row>
    <row r="61" spans="5:6">
      <c r="E61" s="615"/>
      <c r="F61" s="615"/>
    </row>
    <row r="62" spans="5:6">
      <c r="E62" s="615"/>
      <c r="F62" s="615"/>
    </row>
    <row r="63" spans="5:6">
      <c r="E63" s="615"/>
      <c r="F63" s="615"/>
    </row>
    <row r="64" spans="5:6">
      <c r="E64" s="615"/>
      <c r="F64" s="615"/>
    </row>
    <row r="65" spans="5:6">
      <c r="E65" s="615"/>
      <c r="F65" s="615"/>
    </row>
    <row r="66" spans="5:6">
      <c r="E66" s="615"/>
      <c r="F66" s="615"/>
    </row>
    <row r="67" spans="5:6">
      <c r="E67" s="615"/>
      <c r="F67" s="615"/>
    </row>
    <row r="68" spans="5:6">
      <c r="E68" s="615"/>
      <c r="F68" s="615"/>
    </row>
    <row r="69" spans="5:6">
      <c r="E69" s="615"/>
      <c r="F69" s="615"/>
    </row>
    <row r="70" spans="5:6">
      <c r="E70" s="615"/>
      <c r="F70" s="615"/>
    </row>
    <row r="71" spans="5:6">
      <c r="E71" s="615"/>
      <c r="F71" s="615"/>
    </row>
    <row r="72" spans="5:6">
      <c r="E72" s="615"/>
      <c r="F72" s="615"/>
    </row>
    <row r="73" spans="5:6">
      <c r="E73" s="615"/>
      <c r="F73" s="615"/>
    </row>
    <row r="74" spans="5:6">
      <c r="E74" s="615"/>
      <c r="F74" s="615"/>
    </row>
    <row r="75" spans="5:6">
      <c r="E75" s="615"/>
      <c r="F75" s="615"/>
    </row>
    <row r="76" spans="5:6">
      <c r="E76" s="615"/>
      <c r="F76" s="615"/>
    </row>
    <row r="77" spans="5:6">
      <c r="E77" s="615"/>
      <c r="F77" s="615"/>
    </row>
    <row r="78" spans="5:6">
      <c r="E78" s="615"/>
      <c r="F78" s="615"/>
    </row>
    <row r="79" spans="5:6">
      <c r="E79" s="615"/>
      <c r="F79" s="615"/>
    </row>
    <row r="80" spans="5:6">
      <c r="E80" s="615"/>
      <c r="F80" s="615"/>
    </row>
    <row r="81" spans="5:6">
      <c r="E81" s="615"/>
      <c r="F81" s="615"/>
    </row>
    <row r="82" spans="5:6">
      <c r="E82" s="615"/>
      <c r="F82" s="615"/>
    </row>
    <row r="83" spans="5:6">
      <c r="E83" s="615"/>
      <c r="F83" s="615"/>
    </row>
    <row r="84" spans="5:6">
      <c r="E84" s="615"/>
      <c r="F84" s="615"/>
    </row>
    <row r="85" spans="5:6">
      <c r="E85" s="615"/>
      <c r="F85" s="615"/>
    </row>
    <row r="86" spans="5:6">
      <c r="E86" s="615"/>
      <c r="F86" s="615"/>
    </row>
    <row r="87" spans="5:6">
      <c r="E87" s="615"/>
      <c r="F87" s="615"/>
    </row>
    <row r="88" spans="5:6">
      <c r="E88" s="615"/>
      <c r="F88" s="615"/>
    </row>
    <row r="89" spans="5:6">
      <c r="E89" s="615"/>
      <c r="F89" s="615"/>
    </row>
    <row r="90" spans="5:6">
      <c r="E90" s="615"/>
      <c r="F90" s="615"/>
    </row>
    <row r="91" spans="5:6">
      <c r="E91" s="615"/>
      <c r="F91" s="615"/>
    </row>
    <row r="92" spans="5:6">
      <c r="E92" s="615"/>
      <c r="F92" s="615"/>
    </row>
    <row r="93" spans="5:6">
      <c r="E93" s="615"/>
      <c r="F93" s="615"/>
    </row>
    <row r="94" spans="5:6">
      <c r="E94" s="615"/>
      <c r="F94" s="615"/>
    </row>
    <row r="95" spans="5:6">
      <c r="E95" s="615"/>
      <c r="F95" s="615"/>
    </row>
    <row r="96" spans="5:6">
      <c r="E96" s="615"/>
      <c r="F96" s="61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Junio 2021
INFSGI-MES-06-2021
12/07/2021
Versión: 01</oddHeader>
    <oddFooter>&amp;L&amp;7COES, 2021&amp;C26&amp;R&amp;7Dirección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98"/>
  <sheetViews>
    <sheetView showGridLines="0" view="pageBreakPreview" zoomScale="115" zoomScaleNormal="100" zoomScaleSheetLayoutView="115" workbookViewId="0">
      <selection activeCell="D6" sqref="D6"/>
    </sheetView>
  </sheetViews>
  <sheetFormatPr baseColWidth="10" defaultColWidth="9.28515625" defaultRowHeight="9.6"/>
  <cols>
    <col min="1" max="1" width="16.140625" style="597" customWidth="1"/>
    <col min="2" max="2" width="19.7109375" style="597" customWidth="1"/>
    <col min="3" max="3" width="12.85546875" style="597" bestFit="1" customWidth="1"/>
    <col min="4" max="4" width="59.85546875" style="597" customWidth="1"/>
    <col min="5" max="5" width="11.7109375" style="597" customWidth="1"/>
    <col min="6" max="6" width="10.42578125" style="597" customWidth="1"/>
    <col min="7" max="8" width="9.28515625" style="597" customWidth="1"/>
    <col min="9" max="16384" width="9.28515625" style="597"/>
  </cols>
  <sheetData>
    <row r="1" spans="1:9" ht="11.25" customHeight="1">
      <c r="A1" s="595" t="s">
        <v>363</v>
      </c>
      <c r="B1" s="596"/>
      <c r="C1" s="596"/>
      <c r="D1" s="596"/>
      <c r="E1" s="596"/>
      <c r="F1" s="596"/>
    </row>
    <row r="2" spans="1:9" ht="30" customHeight="1">
      <c r="A2" s="598" t="s">
        <v>248</v>
      </c>
      <c r="B2" s="599" t="s">
        <v>364</v>
      </c>
      <c r="C2" s="598" t="s">
        <v>353</v>
      </c>
      <c r="D2" s="600" t="s">
        <v>365</v>
      </c>
      <c r="E2" s="601" t="s">
        <v>366</v>
      </c>
      <c r="F2" s="601" t="s">
        <v>367</v>
      </c>
      <c r="G2" s="602"/>
      <c r="H2" s="603"/>
      <c r="I2" s="604"/>
    </row>
    <row r="3" spans="1:9" ht="67.8" customHeight="1">
      <c r="A3" s="607" t="s">
        <v>491</v>
      </c>
      <c r="B3" s="607" t="s">
        <v>723</v>
      </c>
      <c r="C3" s="605">
        <v>44372.353472222225</v>
      </c>
      <c r="D3" s="606" t="s">
        <v>724</v>
      </c>
      <c r="E3" s="607">
        <v>2.2400000000000002</v>
      </c>
      <c r="F3" s="607" t="s">
        <v>678</v>
      </c>
      <c r="G3" s="608"/>
      <c r="H3" s="608"/>
      <c r="I3" s="610"/>
    </row>
    <row r="4" spans="1:9" ht="63" customHeight="1">
      <c r="A4" s="607" t="s">
        <v>490</v>
      </c>
      <c r="B4" s="607" t="s">
        <v>598</v>
      </c>
      <c r="C4" s="605">
        <v>44374.234722222223</v>
      </c>
      <c r="D4" s="606" t="s">
        <v>725</v>
      </c>
      <c r="E4" s="607">
        <v>0.56999999999999995</v>
      </c>
      <c r="F4" s="607" t="s">
        <v>678</v>
      </c>
      <c r="G4" s="608"/>
      <c r="H4" s="608"/>
      <c r="I4" s="611"/>
    </row>
    <row r="5" spans="1:9" ht="51" customHeight="1">
      <c r="A5" s="607" t="s">
        <v>490</v>
      </c>
      <c r="B5" s="607" t="s">
        <v>688</v>
      </c>
      <c r="C5" s="605">
        <v>44375.395138888889</v>
      </c>
      <c r="D5" s="606" t="s">
        <v>726</v>
      </c>
      <c r="E5" s="607">
        <v>5</v>
      </c>
      <c r="F5" s="607" t="s">
        <v>678</v>
      </c>
      <c r="G5" s="608"/>
      <c r="H5" s="608"/>
      <c r="I5" s="612"/>
    </row>
    <row r="6" spans="1:9" ht="50.4" customHeight="1">
      <c r="A6" s="607" t="s">
        <v>479</v>
      </c>
      <c r="B6" s="607" t="s">
        <v>727</v>
      </c>
      <c r="C6" s="605">
        <v>44375.95</v>
      </c>
      <c r="D6" s="606" t="s">
        <v>728</v>
      </c>
      <c r="E6" s="607">
        <v>1.7</v>
      </c>
      <c r="F6" s="607" t="s">
        <v>678</v>
      </c>
      <c r="G6" s="608"/>
      <c r="H6" s="608"/>
      <c r="I6" s="611"/>
    </row>
    <row r="7" spans="1:9" s="796" customFormat="1" ht="49.95" customHeight="1">
      <c r="A7" s="797"/>
      <c r="B7" s="797"/>
      <c r="C7" s="798"/>
      <c r="D7" s="799"/>
      <c r="E7" s="797"/>
      <c r="F7" s="797"/>
      <c r="G7" s="794"/>
      <c r="H7" s="794"/>
      <c r="I7" s="795"/>
    </row>
    <row r="8" spans="1:9" s="796" customFormat="1" ht="48" customHeight="1">
      <c r="A8" s="797"/>
      <c r="B8" s="797"/>
      <c r="C8" s="798"/>
      <c r="D8" s="799"/>
      <c r="E8" s="797"/>
      <c r="F8" s="797"/>
      <c r="G8" s="794"/>
      <c r="H8" s="794"/>
      <c r="I8" s="795"/>
    </row>
    <row r="9" spans="1:9" s="796" customFormat="1" ht="49.95" customHeight="1">
      <c r="A9" s="797"/>
      <c r="B9" s="797"/>
      <c r="C9" s="798"/>
      <c r="D9" s="799"/>
      <c r="E9" s="797"/>
      <c r="F9" s="797"/>
      <c r="G9" s="794"/>
      <c r="H9" s="794"/>
      <c r="I9" s="795"/>
    </row>
    <row r="10" spans="1:9" s="796" customFormat="1" ht="49.95" customHeight="1">
      <c r="A10" s="797"/>
      <c r="B10" s="797"/>
      <c r="C10" s="798"/>
      <c r="D10" s="799"/>
      <c r="E10" s="797"/>
      <c r="F10" s="797"/>
      <c r="G10" s="794"/>
      <c r="H10" s="794"/>
      <c r="I10" s="795"/>
    </row>
    <row r="11" spans="1:9" s="796" customFormat="1" ht="50.4" customHeight="1">
      <c r="A11" s="797"/>
      <c r="B11" s="797"/>
      <c r="C11" s="798"/>
      <c r="D11" s="799"/>
      <c r="E11" s="797"/>
      <c r="F11" s="797"/>
      <c r="G11" s="794"/>
      <c r="H11" s="794"/>
      <c r="I11" s="795"/>
    </row>
    <row r="12" spans="1:9" s="796" customFormat="1" ht="53.4" customHeight="1">
      <c r="A12" s="797"/>
      <c r="B12" s="797"/>
      <c r="C12" s="798"/>
      <c r="D12" s="799"/>
      <c r="E12" s="797"/>
      <c r="F12" s="797"/>
      <c r="G12" s="794"/>
      <c r="H12" s="794"/>
      <c r="I12" s="795"/>
    </row>
    <row r="13" spans="1:9" s="796" customFormat="1">
      <c r="E13" s="800"/>
      <c r="F13" s="800"/>
    </row>
    <row r="14" spans="1:9" s="796" customFormat="1">
      <c r="E14" s="800"/>
      <c r="F14" s="800"/>
    </row>
    <row r="15" spans="1:9">
      <c r="E15" s="615"/>
      <c r="F15" s="615"/>
    </row>
    <row r="16" spans="1:9">
      <c r="E16" s="615"/>
      <c r="F16" s="615"/>
    </row>
    <row r="17" spans="5:6">
      <c r="E17" s="615"/>
      <c r="F17" s="615"/>
    </row>
    <row r="18" spans="5:6">
      <c r="E18" s="615"/>
      <c r="F18" s="615"/>
    </row>
    <row r="19" spans="5:6">
      <c r="E19" s="615"/>
      <c r="F19" s="615"/>
    </row>
    <row r="20" spans="5:6">
      <c r="E20" s="615"/>
      <c r="F20" s="615"/>
    </row>
    <row r="21" spans="5:6">
      <c r="E21" s="615"/>
      <c r="F21" s="615"/>
    </row>
    <row r="22" spans="5:6">
      <c r="E22" s="615"/>
      <c r="F22" s="615"/>
    </row>
    <row r="23" spans="5:6">
      <c r="E23" s="615"/>
      <c r="F23" s="615"/>
    </row>
    <row r="24" spans="5:6">
      <c r="E24" s="615"/>
      <c r="F24" s="615"/>
    </row>
    <row r="25" spans="5:6">
      <c r="E25" s="615"/>
      <c r="F25" s="615"/>
    </row>
    <row r="26" spans="5:6">
      <c r="E26" s="615"/>
      <c r="F26" s="615"/>
    </row>
    <row r="27" spans="5:6">
      <c r="E27" s="615"/>
      <c r="F27" s="615"/>
    </row>
    <row r="28" spans="5:6">
      <c r="E28" s="615"/>
      <c r="F28" s="615"/>
    </row>
    <row r="29" spans="5:6">
      <c r="E29" s="615"/>
      <c r="F29" s="615"/>
    </row>
    <row r="30" spans="5:6">
      <c r="E30" s="615"/>
      <c r="F30" s="615"/>
    </row>
    <row r="31" spans="5:6">
      <c r="E31" s="615"/>
      <c r="F31" s="615"/>
    </row>
    <row r="32" spans="5:6">
      <c r="E32" s="615"/>
      <c r="F32" s="615"/>
    </row>
    <row r="33" spans="5:6">
      <c r="E33" s="615"/>
      <c r="F33" s="615"/>
    </row>
    <row r="34" spans="5:6">
      <c r="E34" s="615"/>
      <c r="F34" s="615"/>
    </row>
    <row r="35" spans="5:6">
      <c r="E35" s="615"/>
      <c r="F35" s="615"/>
    </row>
    <row r="36" spans="5:6">
      <c r="E36" s="615"/>
      <c r="F36" s="615"/>
    </row>
    <row r="37" spans="5:6">
      <c r="E37" s="615"/>
      <c r="F37" s="615"/>
    </row>
    <row r="38" spans="5:6">
      <c r="E38" s="615"/>
      <c r="F38" s="615"/>
    </row>
    <row r="39" spans="5:6">
      <c r="E39" s="615"/>
      <c r="F39" s="615"/>
    </row>
    <row r="40" spans="5:6">
      <c r="E40" s="615"/>
      <c r="F40" s="615"/>
    </row>
    <row r="41" spans="5:6">
      <c r="E41" s="615"/>
      <c r="F41" s="615"/>
    </row>
    <row r="42" spans="5:6">
      <c r="E42" s="615"/>
      <c r="F42" s="615"/>
    </row>
    <row r="43" spans="5:6">
      <c r="E43" s="615"/>
      <c r="F43" s="615"/>
    </row>
    <row r="44" spans="5:6">
      <c r="E44" s="615"/>
      <c r="F44" s="615"/>
    </row>
    <row r="45" spans="5:6">
      <c r="E45" s="615"/>
      <c r="F45" s="615"/>
    </row>
    <row r="46" spans="5:6">
      <c r="E46" s="615"/>
      <c r="F46" s="615"/>
    </row>
    <row r="47" spans="5:6">
      <c r="E47" s="615"/>
      <c r="F47" s="615"/>
    </row>
    <row r="48" spans="5:6">
      <c r="E48" s="615"/>
      <c r="F48" s="615"/>
    </row>
    <row r="49" spans="5:6">
      <c r="E49" s="615"/>
      <c r="F49" s="615"/>
    </row>
    <row r="50" spans="5:6">
      <c r="E50" s="615"/>
      <c r="F50" s="615"/>
    </row>
    <row r="51" spans="5:6">
      <c r="E51" s="615"/>
      <c r="F51" s="615"/>
    </row>
    <row r="52" spans="5:6">
      <c r="E52" s="615"/>
      <c r="F52" s="615"/>
    </row>
    <row r="53" spans="5:6">
      <c r="E53" s="615"/>
      <c r="F53" s="615"/>
    </row>
    <row r="54" spans="5:6">
      <c r="E54" s="615"/>
      <c r="F54" s="615"/>
    </row>
    <row r="55" spans="5:6">
      <c r="E55" s="615"/>
      <c r="F55" s="615"/>
    </row>
    <row r="56" spans="5:6">
      <c r="E56" s="615"/>
      <c r="F56" s="615"/>
    </row>
    <row r="57" spans="5:6">
      <c r="E57" s="615"/>
      <c r="F57" s="615"/>
    </row>
    <row r="58" spans="5:6">
      <c r="E58" s="615"/>
      <c r="F58" s="615"/>
    </row>
    <row r="59" spans="5:6">
      <c r="E59" s="615"/>
      <c r="F59" s="615"/>
    </row>
    <row r="60" spans="5:6">
      <c r="E60" s="615"/>
      <c r="F60" s="615"/>
    </row>
    <row r="61" spans="5:6">
      <c r="E61" s="615"/>
      <c r="F61" s="615"/>
    </row>
    <row r="62" spans="5:6">
      <c r="E62" s="615"/>
      <c r="F62" s="615"/>
    </row>
    <row r="63" spans="5:6">
      <c r="E63" s="615"/>
      <c r="F63" s="615"/>
    </row>
    <row r="64" spans="5:6">
      <c r="E64" s="615"/>
      <c r="F64" s="615"/>
    </row>
    <row r="65" spans="5:6">
      <c r="E65" s="615"/>
      <c r="F65" s="615"/>
    </row>
    <row r="66" spans="5:6">
      <c r="E66" s="615"/>
      <c r="F66" s="615"/>
    </row>
    <row r="67" spans="5:6">
      <c r="E67" s="615"/>
      <c r="F67" s="615"/>
    </row>
    <row r="68" spans="5:6">
      <c r="E68" s="615"/>
      <c r="F68" s="615"/>
    </row>
    <row r="69" spans="5:6">
      <c r="E69" s="615"/>
      <c r="F69" s="615"/>
    </row>
    <row r="70" spans="5:6">
      <c r="E70" s="615"/>
      <c r="F70" s="615"/>
    </row>
    <row r="71" spans="5:6">
      <c r="E71" s="615"/>
      <c r="F71" s="615"/>
    </row>
    <row r="72" spans="5:6">
      <c r="E72" s="615"/>
      <c r="F72" s="615"/>
    </row>
    <row r="73" spans="5:6">
      <c r="E73" s="615"/>
      <c r="F73" s="615"/>
    </row>
    <row r="74" spans="5:6">
      <c r="E74" s="615"/>
      <c r="F74" s="615"/>
    </row>
    <row r="75" spans="5:6">
      <c r="E75" s="615"/>
      <c r="F75" s="615"/>
    </row>
    <row r="76" spans="5:6">
      <c r="E76" s="615"/>
      <c r="F76" s="615"/>
    </row>
    <row r="77" spans="5:6">
      <c r="E77" s="615"/>
      <c r="F77" s="615"/>
    </row>
    <row r="78" spans="5:6">
      <c r="E78" s="615"/>
      <c r="F78" s="615"/>
    </row>
    <row r="79" spans="5:6">
      <c r="E79" s="615"/>
      <c r="F79" s="615"/>
    </row>
    <row r="80" spans="5:6">
      <c r="E80" s="615"/>
      <c r="F80" s="615"/>
    </row>
    <row r="81" spans="5:6">
      <c r="E81" s="615"/>
      <c r="F81" s="615"/>
    </row>
    <row r="82" spans="5:6">
      <c r="E82" s="615"/>
      <c r="F82" s="615"/>
    </row>
    <row r="83" spans="5:6">
      <c r="E83" s="615"/>
      <c r="F83" s="615"/>
    </row>
    <row r="84" spans="5:6">
      <c r="E84" s="615"/>
      <c r="F84" s="615"/>
    </row>
    <row r="85" spans="5:6">
      <c r="E85" s="615"/>
      <c r="F85" s="615"/>
    </row>
    <row r="86" spans="5:6">
      <c r="E86" s="615"/>
      <c r="F86" s="615"/>
    </row>
    <row r="87" spans="5:6">
      <c r="E87" s="615"/>
      <c r="F87" s="615"/>
    </row>
    <row r="88" spans="5:6">
      <c r="E88" s="615"/>
      <c r="F88" s="615"/>
    </row>
    <row r="89" spans="5:6">
      <c r="E89" s="615"/>
      <c r="F89" s="615"/>
    </row>
    <row r="90" spans="5:6">
      <c r="E90" s="615"/>
      <c r="F90" s="615"/>
    </row>
    <row r="91" spans="5:6">
      <c r="E91" s="615"/>
      <c r="F91" s="615"/>
    </row>
    <row r="92" spans="5:6">
      <c r="E92" s="615"/>
      <c r="F92" s="615"/>
    </row>
    <row r="93" spans="5:6">
      <c r="E93" s="615"/>
      <c r="F93" s="615"/>
    </row>
    <row r="94" spans="5:6">
      <c r="E94" s="615"/>
      <c r="F94" s="615"/>
    </row>
    <row r="95" spans="5:6">
      <c r="E95" s="615"/>
      <c r="F95" s="615"/>
    </row>
    <row r="96" spans="5:6">
      <c r="E96" s="615"/>
      <c r="F96" s="615"/>
    </row>
    <row r="97" spans="5:6">
      <c r="E97" s="615"/>
      <c r="F97" s="615"/>
    </row>
    <row r="98" spans="5:6">
      <c r="E98" s="615"/>
      <c r="F98" s="615"/>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 Junio 2021
INFSGI-MES-06-2021
12/07/2021
Versión: 01</oddHeader>
    <oddFooter>&amp;L&amp;7COES, 2021&amp;C27&amp;R&amp;7Dirección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workbookViewId="0">
      <selection activeCell="E11" sqref="E11"/>
    </sheetView>
  </sheetViews>
  <sheetFormatPr baseColWidth="10" defaultColWidth="9.28515625" defaultRowHeight="10.199999999999999"/>
  <cols>
    <col min="1" max="1" width="7.42578125" style="46" customWidth="1"/>
    <col min="2" max="9" width="9.28515625" style="46"/>
    <col min="10" max="11" width="9.28515625" style="46" customWidth="1"/>
    <col min="12" max="12" width="10.28515625" style="46" customWidth="1"/>
    <col min="13" max="13" width="13.7109375" style="46" customWidth="1"/>
    <col min="14" max="14" width="9.28515625" style="277"/>
    <col min="15" max="16" width="10.140625" style="277" bestFit="1" customWidth="1"/>
    <col min="17" max="17" width="11.42578125" style="277" customWidth="1"/>
    <col min="18" max="18" width="9.28515625" style="277"/>
    <col min="19" max="23" width="9.28515625" style="298"/>
    <col min="24" max="16384" width="9.28515625" style="46"/>
  </cols>
  <sheetData>
    <row r="1" spans="1:17" ht="27.75" customHeight="1">
      <c r="A1" s="809" t="s">
        <v>22</v>
      </c>
      <c r="B1" s="809"/>
      <c r="C1" s="809"/>
      <c r="D1" s="809"/>
      <c r="E1" s="809"/>
      <c r="F1" s="809"/>
      <c r="G1" s="809"/>
      <c r="H1" s="809"/>
      <c r="I1" s="809"/>
      <c r="J1" s="809"/>
      <c r="K1" s="809"/>
      <c r="L1" s="809"/>
      <c r="M1" s="809"/>
      <c r="N1" s="764"/>
      <c r="O1" s="764"/>
      <c r="P1" s="764"/>
      <c r="Q1" s="764"/>
    </row>
    <row r="2" spans="1:17" ht="11.25" customHeight="1">
      <c r="A2" s="41"/>
      <c r="B2" s="40"/>
      <c r="C2" s="65"/>
      <c r="D2" s="65"/>
      <c r="E2" s="65"/>
      <c r="F2" s="65"/>
      <c r="G2" s="65"/>
      <c r="H2" s="65"/>
      <c r="I2" s="65"/>
      <c r="J2" s="65"/>
      <c r="K2" s="40"/>
      <c r="L2" s="40"/>
      <c r="M2" s="40"/>
      <c r="N2" s="764"/>
      <c r="O2" s="764"/>
      <c r="P2" s="764"/>
      <c r="Q2" s="764"/>
    </row>
    <row r="3" spans="1:17" ht="21.75" customHeight="1">
      <c r="A3" s="40"/>
      <c r="B3" s="42"/>
      <c r="C3" s="816" t="str">
        <f>+UPPER(Q4)&amp;" "&amp;Q5</f>
        <v>JUNIO 2021</v>
      </c>
      <c r="D3" s="809"/>
      <c r="E3" s="809"/>
      <c r="F3" s="809"/>
      <c r="G3" s="809"/>
      <c r="H3" s="809"/>
      <c r="I3" s="809"/>
      <c r="J3" s="809"/>
      <c r="K3" s="40"/>
      <c r="L3" s="40"/>
      <c r="M3" s="40"/>
      <c r="N3" s="764"/>
      <c r="O3" s="764"/>
      <c r="P3" s="764"/>
      <c r="Q3" s="764"/>
    </row>
    <row r="4" spans="1:17" ht="11.25" customHeight="1">
      <c r="A4" s="40"/>
      <c r="B4" s="42"/>
      <c r="C4" s="40"/>
      <c r="D4" s="40"/>
      <c r="E4" s="40"/>
      <c r="F4" s="40"/>
      <c r="G4" s="40"/>
      <c r="H4" s="40"/>
      <c r="I4" s="40"/>
      <c r="J4" s="40"/>
      <c r="K4" s="40"/>
      <c r="L4" s="40"/>
      <c r="M4" s="40"/>
      <c r="N4" s="765"/>
      <c r="O4" s="765"/>
      <c r="P4" s="764" t="s">
        <v>210</v>
      </c>
      <c r="Q4" s="766" t="s">
        <v>612</v>
      </c>
    </row>
    <row r="5" spans="1:17" ht="11.25" customHeight="1">
      <c r="A5" s="47"/>
      <c r="B5" s="48"/>
      <c r="C5" s="49"/>
      <c r="D5" s="49"/>
      <c r="E5" s="49"/>
      <c r="F5" s="49"/>
      <c r="G5" s="49"/>
      <c r="H5" s="49"/>
      <c r="I5" s="49"/>
      <c r="J5" s="49"/>
      <c r="K5" s="49"/>
      <c r="L5" s="49"/>
      <c r="M5" s="40"/>
      <c r="N5" s="765"/>
      <c r="O5" s="765"/>
      <c r="P5" s="764" t="s">
        <v>211</v>
      </c>
      <c r="Q5" s="765">
        <v>2021</v>
      </c>
    </row>
    <row r="6" spans="1:17" ht="17.25" customHeight="1">
      <c r="A6" s="60" t="s">
        <v>398</v>
      </c>
      <c r="B6" s="40"/>
      <c r="C6" s="40"/>
      <c r="D6" s="40"/>
      <c r="E6" s="40"/>
      <c r="F6" s="40"/>
      <c r="G6" s="40"/>
      <c r="H6" s="40"/>
      <c r="I6" s="40"/>
      <c r="J6" s="40"/>
      <c r="K6" s="40"/>
      <c r="L6" s="40"/>
      <c r="M6" s="40"/>
      <c r="N6" s="764"/>
      <c r="O6" s="764"/>
      <c r="P6" s="764"/>
      <c r="Q6" s="767">
        <v>44348</v>
      </c>
    </row>
    <row r="7" spans="1:17" ht="11.25" customHeight="1">
      <c r="A7" s="40"/>
      <c r="B7" s="40"/>
      <c r="C7" s="40"/>
      <c r="D7" s="40"/>
      <c r="E7" s="40"/>
      <c r="F7" s="40"/>
      <c r="G7" s="40"/>
      <c r="H7" s="40"/>
      <c r="I7" s="40"/>
      <c r="J7" s="40"/>
      <c r="K7" s="40"/>
      <c r="L7" s="40"/>
      <c r="M7" s="40"/>
      <c r="N7" s="764"/>
      <c r="O7" s="764"/>
      <c r="P7" s="764"/>
      <c r="Q7" s="764">
        <v>30</v>
      </c>
    </row>
    <row r="8" spans="1:17" ht="11.25" customHeight="1">
      <c r="A8" s="43"/>
      <c r="B8" s="43"/>
      <c r="C8" s="43"/>
      <c r="D8" s="43"/>
      <c r="E8" s="43"/>
      <c r="F8" s="43"/>
      <c r="G8" s="43"/>
      <c r="H8" s="43"/>
      <c r="I8" s="43"/>
      <c r="J8" s="43"/>
      <c r="K8" s="43"/>
      <c r="L8" s="43"/>
      <c r="M8" s="43"/>
      <c r="N8" s="768"/>
      <c r="O8" s="768"/>
      <c r="P8" s="768"/>
      <c r="Q8" s="768"/>
    </row>
    <row r="9" spans="1:17" ht="14.25" customHeight="1">
      <c r="A9" s="40" t="str">
        <f>"1.1. Producción de energía eléctrica en "&amp;LOWER(Q4)&amp;" "&amp;Q5&amp;" en comparación al mismo mes del año anterior"</f>
        <v>1.1. Producción de energía eléctrica en junio 2021 en comparación al mismo mes del año anterior</v>
      </c>
      <c r="B9" s="40"/>
      <c r="C9" s="40"/>
      <c r="D9" s="40"/>
      <c r="E9" s="40"/>
      <c r="F9" s="40"/>
      <c r="G9" s="40"/>
      <c r="H9" s="40"/>
      <c r="I9" s="40"/>
      <c r="J9" s="40"/>
      <c r="K9" s="40"/>
      <c r="L9" s="40"/>
      <c r="M9" s="40"/>
      <c r="N9" s="764"/>
      <c r="O9" s="764"/>
      <c r="P9" s="764"/>
      <c r="Q9" s="764"/>
    </row>
    <row r="10" spans="1:17" ht="11.25" customHeight="1">
      <c r="A10" s="47"/>
      <c r="B10" s="44"/>
      <c r="C10" s="44"/>
      <c r="D10" s="44"/>
      <c r="E10" s="44"/>
      <c r="F10" s="44"/>
      <c r="G10" s="44"/>
      <c r="H10" s="44"/>
      <c r="I10" s="44"/>
      <c r="J10" s="44"/>
      <c r="K10" s="44"/>
      <c r="L10" s="44"/>
      <c r="M10" s="44"/>
      <c r="N10" s="765"/>
      <c r="O10" s="765"/>
      <c r="P10" s="765"/>
      <c r="Q10" s="765"/>
    </row>
    <row r="11" spans="1:17" ht="11.25" customHeight="1">
      <c r="A11" s="50"/>
      <c r="B11" s="50"/>
      <c r="C11" s="50"/>
      <c r="D11" s="50"/>
      <c r="E11" s="50"/>
      <c r="F11" s="50"/>
      <c r="G11" s="50"/>
      <c r="H11" s="50"/>
      <c r="I11" s="50"/>
      <c r="J11" s="50"/>
      <c r="K11" s="50"/>
      <c r="L11" s="50"/>
      <c r="M11" s="50"/>
      <c r="N11" s="769"/>
      <c r="O11" s="769"/>
      <c r="P11" s="769"/>
      <c r="Q11" s="769"/>
    </row>
    <row r="12" spans="1:17" ht="27" customHeight="1">
      <c r="A12" s="62" t="s">
        <v>23</v>
      </c>
      <c r="B12" s="815" t="s">
        <v>613</v>
      </c>
      <c r="C12" s="815"/>
      <c r="D12" s="815"/>
      <c r="E12" s="815"/>
      <c r="F12" s="815"/>
      <c r="G12" s="815"/>
      <c r="H12" s="815"/>
      <c r="I12" s="815"/>
      <c r="J12" s="815"/>
      <c r="K12" s="815"/>
      <c r="L12" s="815"/>
      <c r="M12" s="815"/>
      <c r="N12" s="765"/>
      <c r="O12" s="765"/>
      <c r="P12" s="765"/>
      <c r="Q12" s="765"/>
    </row>
    <row r="13" spans="1:17" ht="12.75" customHeight="1">
      <c r="A13" s="40"/>
      <c r="B13" s="64"/>
      <c r="C13" s="64"/>
      <c r="D13" s="64"/>
      <c r="E13" s="64"/>
      <c r="F13" s="64"/>
      <c r="G13" s="64"/>
      <c r="H13" s="64"/>
      <c r="I13" s="64"/>
      <c r="J13" s="64"/>
      <c r="K13" s="64"/>
      <c r="L13" s="64"/>
      <c r="M13" s="44"/>
      <c r="N13" s="765"/>
      <c r="O13" s="765"/>
      <c r="P13" s="765"/>
      <c r="Q13" s="765"/>
    </row>
    <row r="14" spans="1:17" ht="28.5" customHeight="1">
      <c r="A14" s="62" t="s">
        <v>23</v>
      </c>
      <c r="B14" s="815" t="s">
        <v>614</v>
      </c>
      <c r="C14" s="815"/>
      <c r="D14" s="815"/>
      <c r="E14" s="815"/>
      <c r="F14" s="815"/>
      <c r="G14" s="815"/>
      <c r="H14" s="815"/>
      <c r="I14" s="815"/>
      <c r="J14" s="815"/>
      <c r="K14" s="815"/>
      <c r="L14" s="815"/>
      <c r="M14" s="815"/>
      <c r="N14" s="765"/>
      <c r="O14" s="765"/>
      <c r="P14" s="765"/>
      <c r="Q14" s="765"/>
    </row>
    <row r="15" spans="1:17" ht="15" customHeight="1">
      <c r="A15" s="63"/>
      <c r="B15" s="64"/>
      <c r="C15" s="64"/>
      <c r="D15" s="64"/>
      <c r="E15" s="64"/>
      <c r="F15" s="64"/>
      <c r="G15" s="64"/>
      <c r="H15" s="64"/>
      <c r="I15" s="64"/>
      <c r="J15" s="64"/>
      <c r="K15" s="64"/>
      <c r="L15" s="64"/>
      <c r="M15" s="44"/>
      <c r="N15" s="765"/>
      <c r="O15" s="765"/>
      <c r="P15" s="765"/>
      <c r="Q15" s="765"/>
    </row>
    <row r="16" spans="1:17" ht="59.25" customHeight="1">
      <c r="A16" s="62" t="s">
        <v>23</v>
      </c>
      <c r="B16" s="815" t="s">
        <v>615</v>
      </c>
      <c r="C16" s="815"/>
      <c r="D16" s="815"/>
      <c r="E16" s="815"/>
      <c r="F16" s="815"/>
      <c r="G16" s="815"/>
      <c r="H16" s="815"/>
      <c r="I16" s="815"/>
      <c r="J16" s="815"/>
      <c r="K16" s="815"/>
      <c r="L16" s="815"/>
      <c r="M16" s="815"/>
      <c r="N16" s="765"/>
      <c r="O16" s="765"/>
      <c r="P16" s="765"/>
      <c r="Q16" s="765"/>
    </row>
    <row r="17" spans="1:18" ht="17.25" customHeight="1">
      <c r="A17" s="44"/>
      <c r="B17" s="44"/>
      <c r="C17" s="44"/>
      <c r="D17" s="44"/>
      <c r="E17" s="44"/>
      <c r="F17" s="44"/>
      <c r="G17" s="44"/>
      <c r="H17" s="44"/>
      <c r="I17" s="44"/>
      <c r="J17" s="44"/>
      <c r="K17" s="44"/>
      <c r="L17" s="44"/>
      <c r="M17" s="44"/>
      <c r="N17" s="765"/>
      <c r="O17" s="765"/>
      <c r="P17" s="765"/>
      <c r="Q17" s="765"/>
    </row>
    <row r="18" spans="1:18" ht="25.5" customHeight="1">
      <c r="A18" s="61" t="s">
        <v>23</v>
      </c>
      <c r="B18" s="814" t="s">
        <v>616</v>
      </c>
      <c r="C18" s="814"/>
      <c r="D18" s="814"/>
      <c r="E18" s="814"/>
      <c r="F18" s="814"/>
      <c r="G18" s="814"/>
      <c r="H18" s="814"/>
      <c r="I18" s="814"/>
      <c r="J18" s="814"/>
      <c r="K18" s="814"/>
      <c r="L18" s="814"/>
      <c r="M18" s="814"/>
      <c r="N18" s="765"/>
      <c r="O18" s="765"/>
      <c r="P18" s="765"/>
      <c r="Q18" s="765"/>
    </row>
    <row r="19" spans="1:18" ht="11.25" customHeight="1">
      <c r="A19" s="44"/>
      <c r="B19" s="44"/>
      <c r="C19" s="44"/>
      <c r="D19" s="44"/>
      <c r="E19" s="44"/>
      <c r="F19" s="44"/>
      <c r="G19" s="44"/>
      <c r="H19" s="44"/>
      <c r="I19" s="44"/>
      <c r="J19" s="44"/>
      <c r="K19" s="44"/>
      <c r="L19" s="44"/>
      <c r="M19" s="44"/>
      <c r="N19" s="765"/>
      <c r="O19" s="765"/>
      <c r="P19" s="765"/>
      <c r="Q19" s="765"/>
    </row>
    <row r="20" spans="1:18" ht="15.75" customHeight="1">
      <c r="A20" s="44"/>
      <c r="B20" s="44"/>
      <c r="C20" s="813" t="str">
        <f>+UPPER(Q4)&amp;" "&amp;Q5</f>
        <v>JUNIO 2021</v>
      </c>
      <c r="D20" s="813"/>
      <c r="E20" s="813"/>
      <c r="F20" s="40"/>
      <c r="G20" s="40"/>
      <c r="H20" s="40"/>
      <c r="I20" s="813" t="str">
        <f>+UPPER(Q4)&amp;" "&amp;Q5-1</f>
        <v>JUNIO 2020</v>
      </c>
      <c r="J20" s="813"/>
      <c r="K20" s="813"/>
      <c r="L20" s="44"/>
      <c r="M20" s="44"/>
      <c r="Q20" s="765"/>
    </row>
    <row r="21" spans="1:18" ht="11.25" customHeight="1">
      <c r="A21" s="44"/>
      <c r="B21" s="44"/>
      <c r="C21" s="44"/>
      <c r="D21" s="44"/>
      <c r="E21" s="44"/>
      <c r="F21" s="44"/>
      <c r="G21" s="44"/>
      <c r="H21" s="44"/>
      <c r="I21" s="44"/>
      <c r="J21" s="44"/>
      <c r="K21" s="44"/>
      <c r="L21" s="44"/>
      <c r="M21" s="44"/>
      <c r="Q21" s="765"/>
    </row>
    <row r="22" spans="1:18" ht="11.25" customHeight="1">
      <c r="A22" s="51"/>
      <c r="B22" s="52"/>
      <c r="C22" s="52"/>
      <c r="D22" s="52"/>
      <c r="E22" s="52"/>
      <c r="F22" s="52"/>
      <c r="G22" s="52"/>
      <c r="H22" s="52"/>
      <c r="I22" s="52"/>
      <c r="J22" s="52"/>
      <c r="K22" s="52"/>
      <c r="L22" s="52"/>
      <c r="M22" s="52"/>
      <c r="N22" s="770" t="s">
        <v>31</v>
      </c>
      <c r="O22" s="771"/>
      <c r="P22" s="771"/>
    </row>
    <row r="23" spans="1:18" ht="11.25" customHeight="1">
      <c r="A23" s="51"/>
      <c r="B23" s="52"/>
      <c r="C23" s="52"/>
      <c r="D23" s="52"/>
      <c r="E23" s="52"/>
      <c r="F23" s="52"/>
      <c r="G23" s="52"/>
      <c r="H23" s="52"/>
      <c r="I23" s="52"/>
      <c r="J23" s="52"/>
      <c r="K23" s="52"/>
      <c r="L23" s="52"/>
      <c r="M23" s="52"/>
      <c r="N23" s="770" t="s">
        <v>24</v>
      </c>
      <c r="O23" s="772">
        <v>2161.5951565824998</v>
      </c>
      <c r="P23" s="772">
        <v>2153.3551646150004</v>
      </c>
      <c r="Q23" s="773"/>
    </row>
    <row r="24" spans="1:18" ht="11.25" customHeight="1">
      <c r="A24" s="44"/>
      <c r="B24" s="44"/>
      <c r="C24" s="44"/>
      <c r="D24" s="44"/>
      <c r="E24" s="43"/>
      <c r="F24" s="44"/>
      <c r="G24" s="44"/>
      <c r="H24" s="44"/>
      <c r="I24" s="44"/>
      <c r="J24" s="44"/>
      <c r="K24" s="44"/>
      <c r="L24" s="44"/>
      <c r="M24" s="43"/>
      <c r="N24" s="773" t="s">
        <v>25</v>
      </c>
      <c r="O24" s="774">
        <v>2050.4336159999998</v>
      </c>
      <c r="P24" s="774">
        <v>1364.5182918550006</v>
      </c>
      <c r="Q24" s="696"/>
      <c r="R24" s="696"/>
    </row>
    <row r="25" spans="1:18" ht="11.25" customHeight="1">
      <c r="A25" s="44"/>
      <c r="B25" s="44"/>
      <c r="C25" s="44"/>
      <c r="D25" s="44"/>
      <c r="E25" s="44"/>
      <c r="F25" s="44"/>
      <c r="G25" s="44"/>
      <c r="H25" s="44"/>
      <c r="I25" s="44"/>
      <c r="J25" s="53"/>
      <c r="K25" s="53"/>
      <c r="L25" s="44"/>
      <c r="M25" s="44"/>
      <c r="N25" s="773" t="s">
        <v>26</v>
      </c>
      <c r="O25" s="774">
        <v>0</v>
      </c>
      <c r="P25" s="774">
        <v>0</v>
      </c>
      <c r="Q25" s="770"/>
    </row>
    <row r="26" spans="1:18" ht="11.25" customHeight="1">
      <c r="A26" s="44"/>
      <c r="B26" s="44"/>
      <c r="C26" s="44"/>
      <c r="D26" s="44"/>
      <c r="E26" s="44"/>
      <c r="F26" s="44"/>
      <c r="G26" s="44"/>
      <c r="H26" s="44"/>
      <c r="I26" s="44"/>
      <c r="J26" s="53"/>
      <c r="K26" s="53"/>
      <c r="L26" s="44"/>
      <c r="M26" s="44"/>
      <c r="N26" s="770" t="s">
        <v>27</v>
      </c>
      <c r="O26" s="772">
        <v>4.0630857574999997</v>
      </c>
      <c r="P26" s="772">
        <v>2.45639E-2</v>
      </c>
      <c r="Q26" s="770"/>
    </row>
    <row r="27" spans="1:18" ht="11.25" customHeight="1">
      <c r="A27" s="44"/>
      <c r="B27" s="44"/>
      <c r="C27" s="44"/>
      <c r="D27" s="44"/>
      <c r="E27" s="44"/>
      <c r="F27" s="44"/>
      <c r="G27" s="44"/>
      <c r="H27" s="44"/>
      <c r="I27" s="44"/>
      <c r="J27" s="53"/>
      <c r="K27" s="44"/>
      <c r="L27" s="44"/>
      <c r="M27" s="44"/>
      <c r="N27" s="770" t="s">
        <v>28</v>
      </c>
      <c r="O27" s="772">
        <v>33.762957344999997</v>
      </c>
      <c r="P27" s="772">
        <v>21.865095594999996</v>
      </c>
      <c r="Q27" s="770"/>
    </row>
    <row r="28" spans="1:18" ht="11.25" customHeight="1">
      <c r="A28" s="44"/>
      <c r="B28" s="44"/>
      <c r="C28" s="53"/>
      <c r="D28" s="53"/>
      <c r="E28" s="53"/>
      <c r="F28" s="53"/>
      <c r="G28" s="53"/>
      <c r="H28" s="53"/>
      <c r="I28" s="53"/>
      <c r="J28" s="53"/>
      <c r="K28" s="53"/>
      <c r="L28" s="44"/>
      <c r="M28" s="44"/>
      <c r="N28" s="770" t="s">
        <v>29</v>
      </c>
      <c r="O28" s="772">
        <v>134.0867127425</v>
      </c>
      <c r="P28" s="772">
        <v>161.8844647825</v>
      </c>
      <c r="Q28" s="770"/>
    </row>
    <row r="29" spans="1:18" ht="11.25" customHeight="1">
      <c r="A29" s="44"/>
      <c r="B29" s="44"/>
      <c r="C29" s="53"/>
      <c r="D29" s="53"/>
      <c r="E29" s="53"/>
      <c r="F29" s="53"/>
      <c r="G29" s="53"/>
      <c r="H29" s="53"/>
      <c r="I29" s="53"/>
      <c r="J29" s="53"/>
      <c r="K29" s="53"/>
      <c r="L29" s="44"/>
      <c r="M29" s="44"/>
      <c r="N29" s="770" t="s">
        <v>30</v>
      </c>
      <c r="O29" s="772">
        <v>54.256861282500005</v>
      </c>
      <c r="P29" s="772">
        <v>55.064190197499997</v>
      </c>
      <c r="Q29" s="770"/>
    </row>
    <row r="30" spans="1:18" ht="11.25" customHeight="1">
      <c r="A30" s="44"/>
      <c r="B30" s="44"/>
      <c r="C30" s="53"/>
      <c r="D30" s="53"/>
      <c r="E30" s="53"/>
      <c r="F30" s="53"/>
      <c r="G30" s="53"/>
      <c r="H30" s="53"/>
      <c r="I30" s="53"/>
      <c r="J30" s="53"/>
      <c r="K30" s="53"/>
      <c r="L30" s="44"/>
      <c r="M30" s="44"/>
      <c r="N30" s="770"/>
      <c r="O30" s="770"/>
      <c r="P30" s="770"/>
      <c r="Q30" s="770"/>
    </row>
    <row r="31" spans="1:18" ht="11.25" customHeight="1">
      <c r="A31" s="44"/>
      <c r="B31" s="44"/>
      <c r="C31" s="53"/>
      <c r="D31" s="53"/>
      <c r="E31" s="53"/>
      <c r="F31" s="53"/>
      <c r="G31" s="53"/>
      <c r="H31" s="53"/>
      <c r="I31" s="53"/>
      <c r="J31" s="53"/>
      <c r="K31" s="53"/>
      <c r="L31" s="44"/>
      <c r="M31" s="44"/>
      <c r="O31" s="697"/>
      <c r="P31" s="697"/>
      <c r="Q31" s="775"/>
    </row>
    <row r="32" spans="1:18" ht="11.25" customHeight="1">
      <c r="A32" s="44"/>
      <c r="B32" s="44"/>
      <c r="C32" s="53"/>
      <c r="D32" s="53"/>
      <c r="E32" s="53"/>
      <c r="F32" s="53"/>
      <c r="G32" s="53"/>
      <c r="H32" s="53"/>
      <c r="I32" s="53"/>
      <c r="J32" s="53"/>
      <c r="K32" s="53"/>
      <c r="L32" s="44"/>
      <c r="M32" s="44"/>
      <c r="Q32" s="765"/>
    </row>
    <row r="33" spans="1:17" ht="11.25" customHeight="1">
      <c r="A33" s="44"/>
      <c r="B33" s="44"/>
      <c r="C33" s="53"/>
      <c r="D33" s="53"/>
      <c r="E33" s="53"/>
      <c r="F33" s="53"/>
      <c r="G33" s="53"/>
      <c r="H33" s="53"/>
      <c r="I33" s="53"/>
      <c r="J33" s="53"/>
      <c r="K33" s="53"/>
      <c r="L33" s="44"/>
      <c r="M33" s="44"/>
      <c r="Q33" s="765"/>
    </row>
    <row r="34" spans="1:17" ht="11.25" customHeight="1">
      <c r="A34" s="44"/>
      <c r="B34" s="44"/>
      <c r="C34" s="53"/>
      <c r="D34" s="53"/>
      <c r="E34" s="53"/>
      <c r="F34" s="53"/>
      <c r="G34" s="53"/>
      <c r="H34" s="53"/>
      <c r="I34" s="53"/>
      <c r="J34" s="53"/>
      <c r="K34" s="53"/>
      <c r="L34" s="44"/>
      <c r="M34" s="44"/>
      <c r="Q34" s="765"/>
    </row>
    <row r="35" spans="1:17" ht="11.25" customHeight="1">
      <c r="A35" s="54"/>
      <c r="B35" s="54"/>
      <c r="C35" s="55"/>
      <c r="D35" s="55"/>
      <c r="E35" s="55"/>
      <c r="F35" s="55"/>
      <c r="G35" s="55"/>
      <c r="H35" s="55"/>
      <c r="I35" s="55"/>
      <c r="J35" s="54"/>
      <c r="K35" s="54"/>
      <c r="L35" s="54"/>
      <c r="M35" s="54"/>
      <c r="Q35" s="765"/>
    </row>
    <row r="36" spans="1:17" ht="11.25" customHeight="1">
      <c r="A36" s="54"/>
      <c r="B36" s="54"/>
      <c r="C36" s="55"/>
      <c r="D36" s="55"/>
      <c r="E36" s="55"/>
      <c r="F36" s="55"/>
      <c r="G36" s="55"/>
      <c r="H36" s="55"/>
      <c r="I36" s="55"/>
      <c r="J36" s="54"/>
      <c r="K36" s="54"/>
      <c r="L36" s="54"/>
      <c r="M36" s="54"/>
      <c r="Q36" s="765"/>
    </row>
    <row r="37" spans="1:17" ht="11.25" customHeight="1">
      <c r="A37" s="54"/>
      <c r="B37" s="54"/>
      <c r="C37" s="55"/>
      <c r="D37" s="55"/>
      <c r="E37" s="55"/>
      <c r="F37" s="55"/>
      <c r="G37" s="55"/>
      <c r="H37" s="55"/>
      <c r="I37" s="55"/>
      <c r="J37" s="54"/>
      <c r="K37" s="54"/>
      <c r="L37" s="54"/>
      <c r="M37" s="54"/>
      <c r="N37" s="765"/>
      <c r="O37" s="765"/>
      <c r="P37" s="765"/>
      <c r="Q37" s="765"/>
    </row>
    <row r="38" spans="1:17" ht="11.25" customHeight="1">
      <c r="A38" s="54"/>
      <c r="B38" s="54"/>
      <c r="C38" s="55"/>
      <c r="D38" s="55"/>
      <c r="E38" s="55"/>
      <c r="F38" s="55"/>
      <c r="G38" s="55"/>
      <c r="H38" s="55"/>
      <c r="I38" s="55"/>
      <c r="J38" s="54"/>
      <c r="K38" s="54"/>
      <c r="L38" s="54"/>
      <c r="M38" s="54"/>
      <c r="N38" s="765"/>
      <c r="O38" s="765"/>
      <c r="P38" s="765"/>
      <c r="Q38" s="765"/>
    </row>
    <row r="39" spans="1:17" ht="11.25" customHeight="1">
      <c r="A39" s="54"/>
      <c r="B39" s="54"/>
      <c r="C39" s="55"/>
      <c r="D39" s="55"/>
      <c r="E39" s="55"/>
      <c r="F39" s="55"/>
      <c r="G39" s="55"/>
      <c r="H39" s="55"/>
      <c r="I39" s="55"/>
      <c r="J39" s="54"/>
      <c r="K39" s="54"/>
      <c r="L39" s="54"/>
      <c r="M39" s="54"/>
      <c r="N39" s="765"/>
      <c r="O39" s="765"/>
      <c r="P39" s="765"/>
      <c r="Q39" s="765"/>
    </row>
    <row r="40" spans="1:17" ht="11.25" customHeight="1">
      <c r="A40" s="54"/>
      <c r="B40" s="54"/>
      <c r="C40" s="55"/>
      <c r="D40" s="55"/>
      <c r="E40" s="55"/>
      <c r="F40" s="55"/>
      <c r="G40" s="55"/>
      <c r="H40" s="55"/>
      <c r="I40" s="55"/>
      <c r="J40" s="54"/>
      <c r="K40" s="54"/>
      <c r="L40" s="54"/>
      <c r="M40" s="54"/>
      <c r="N40" s="765"/>
      <c r="O40" s="765"/>
      <c r="P40" s="765"/>
      <c r="Q40" s="765"/>
    </row>
    <row r="41" spans="1:17" ht="11.25" customHeight="1">
      <c r="A41" s="54"/>
      <c r="B41" s="54"/>
      <c r="C41" s="54"/>
      <c r="D41" s="55"/>
      <c r="E41" s="55"/>
      <c r="F41" s="55"/>
      <c r="G41" s="55"/>
      <c r="H41" s="54"/>
      <c r="I41" s="54"/>
      <c r="J41" s="54"/>
      <c r="K41" s="54"/>
      <c r="L41" s="54"/>
      <c r="M41" s="54"/>
      <c r="N41" s="765"/>
      <c r="O41" s="765"/>
      <c r="P41" s="765"/>
      <c r="Q41" s="765"/>
    </row>
    <row r="42" spans="1:17" ht="11.25" customHeight="1">
      <c r="A42" s="54"/>
      <c r="B42" s="54"/>
      <c r="C42" s="55"/>
      <c r="D42" s="55"/>
      <c r="E42" s="55"/>
      <c r="F42" s="55"/>
      <c r="G42" s="55"/>
      <c r="H42" s="55"/>
      <c r="I42" s="55"/>
      <c r="J42" s="54"/>
      <c r="K42" s="54"/>
      <c r="L42" s="54"/>
      <c r="M42" s="54"/>
      <c r="N42" s="765"/>
      <c r="O42" s="765"/>
      <c r="P42" s="765"/>
      <c r="Q42" s="765"/>
    </row>
    <row r="43" spans="1:17" ht="11.25" customHeight="1">
      <c r="A43" s="54"/>
      <c r="B43" s="54"/>
      <c r="C43" s="55"/>
      <c r="D43" s="55"/>
      <c r="E43" s="55"/>
      <c r="F43" s="55"/>
      <c r="G43" s="55"/>
      <c r="H43" s="55"/>
      <c r="I43" s="55"/>
      <c r="J43" s="54"/>
      <c r="K43" s="54"/>
      <c r="L43" s="54"/>
      <c r="M43" s="54"/>
      <c r="N43" s="765"/>
      <c r="O43" s="765"/>
      <c r="P43" s="765"/>
      <c r="Q43" s="765"/>
    </row>
    <row r="44" spans="1:17" ht="11.25" customHeight="1">
      <c r="A44" s="54"/>
      <c r="B44" s="54"/>
      <c r="C44" s="55"/>
      <c r="D44" s="55"/>
      <c r="E44" s="55"/>
      <c r="F44" s="55"/>
      <c r="G44" s="55"/>
      <c r="H44" s="55"/>
      <c r="I44" s="55"/>
      <c r="J44" s="54"/>
      <c r="K44" s="54"/>
      <c r="L44" s="54"/>
      <c r="M44" s="54"/>
      <c r="N44" s="765"/>
      <c r="O44" s="765"/>
      <c r="P44" s="765"/>
      <c r="Q44" s="765"/>
    </row>
    <row r="45" spans="1:17" ht="11.25" customHeight="1">
      <c r="A45" s="54"/>
      <c r="B45" s="54"/>
      <c r="C45" s="55"/>
      <c r="D45" s="55"/>
      <c r="E45" s="55"/>
      <c r="F45" s="55"/>
      <c r="G45" s="55"/>
      <c r="H45" s="55"/>
      <c r="I45" s="55"/>
      <c r="J45" s="54"/>
      <c r="K45" s="54"/>
      <c r="L45" s="54"/>
      <c r="M45" s="54"/>
      <c r="N45" s="765"/>
      <c r="O45" s="765"/>
      <c r="P45" s="765"/>
      <c r="Q45" s="765"/>
    </row>
    <row r="46" spans="1:17" ht="11.25" customHeight="1">
      <c r="A46" s="54"/>
      <c r="B46" s="54"/>
      <c r="C46" s="54"/>
      <c r="D46" s="54"/>
      <c r="E46" s="54"/>
      <c r="F46" s="54"/>
      <c r="G46" s="54"/>
      <c r="H46" s="54"/>
      <c r="I46" s="54"/>
      <c r="J46" s="54"/>
      <c r="K46" s="54"/>
      <c r="L46" s="54"/>
      <c r="M46" s="54"/>
      <c r="N46" s="765"/>
      <c r="O46" s="765"/>
      <c r="P46" s="765"/>
      <c r="Q46" s="765"/>
    </row>
    <row r="47" spans="1:17" ht="16.5" customHeight="1">
      <c r="A47" s="54"/>
      <c r="B47" s="812" t="str">
        <f>"Total = "&amp;TEXT(ROUND(SUM(O23:O29),2),"0 000,00")&amp;" GWh"</f>
        <v>Total = 4 438,20 GWh</v>
      </c>
      <c r="C47" s="812"/>
      <c r="D47" s="812"/>
      <c r="E47" s="812"/>
      <c r="F47" s="54"/>
      <c r="G47" s="54"/>
      <c r="H47" s="811" t="str">
        <f>"Total = "&amp;TEXT(ROUND(SUM(P23:P29),2),"0 000,00")&amp;" GWh"</f>
        <v>Total = 3 756,71 GWh</v>
      </c>
      <c r="I47" s="811"/>
      <c r="J47" s="811"/>
      <c r="K47" s="811"/>
      <c r="L47" s="54"/>
      <c r="M47" s="54"/>
      <c r="N47" s="765"/>
      <c r="O47" s="765"/>
      <c r="P47" s="765"/>
      <c r="Q47" s="765"/>
    </row>
    <row r="48" spans="1:17" ht="11.25" customHeight="1">
      <c r="H48" s="54"/>
      <c r="I48" s="54"/>
      <c r="J48" s="54"/>
      <c r="K48" s="54"/>
      <c r="L48" s="54"/>
      <c r="M48" s="54"/>
      <c r="N48" s="765"/>
      <c r="O48" s="765"/>
      <c r="P48" s="765"/>
      <c r="Q48" s="765"/>
    </row>
    <row r="49" spans="1:17" ht="11.25" customHeight="1">
      <c r="B49" s="810" t="str">
        <f>"Gráfico 1: Comparación de producción mensual de electricidad en "&amp;Q4&amp;" por tipo de recurso energético."</f>
        <v>Gráfico 1: Comparación de producción mensual de electricidad en junio por tipo de recurso energético.</v>
      </c>
      <c r="C49" s="810"/>
      <c r="D49" s="810"/>
      <c r="E49" s="810"/>
      <c r="F49" s="810"/>
      <c r="G49" s="810"/>
      <c r="H49" s="810"/>
      <c r="I49" s="810"/>
      <c r="J49" s="810"/>
      <c r="K49" s="810"/>
      <c r="L49" s="810"/>
      <c r="M49" s="228"/>
      <c r="N49" s="776"/>
      <c r="O49" s="765"/>
      <c r="P49" s="765"/>
      <c r="Q49" s="765"/>
    </row>
    <row r="50" spans="1:17" ht="11.25" customHeight="1">
      <c r="B50" s="594"/>
      <c r="C50" s="594"/>
      <c r="D50" s="594"/>
      <c r="E50" s="594"/>
      <c r="F50" s="594"/>
      <c r="G50" s="594"/>
      <c r="H50" s="594"/>
      <c r="I50" s="594"/>
      <c r="J50" s="594"/>
      <c r="K50" s="594"/>
      <c r="L50" s="594"/>
      <c r="M50" s="228"/>
      <c r="N50" s="776"/>
      <c r="O50" s="765"/>
      <c r="P50" s="765"/>
      <c r="Q50" s="765"/>
    </row>
    <row r="51" spans="1:17" ht="21.75" customHeight="1">
      <c r="B51" s="807"/>
      <c r="C51" s="808"/>
      <c r="D51" s="808"/>
      <c r="E51" s="808"/>
      <c r="F51" s="808"/>
      <c r="G51" s="808"/>
      <c r="H51" s="808"/>
      <c r="I51" s="808"/>
      <c r="J51" s="808"/>
      <c r="K51" s="808"/>
      <c r="L51" s="808"/>
      <c r="M51" s="808"/>
      <c r="N51" s="776"/>
      <c r="O51" s="765"/>
      <c r="P51" s="765"/>
      <c r="Q51" s="765"/>
    </row>
    <row r="52" spans="1:17" ht="11.25" customHeight="1">
      <c r="A52" s="54"/>
      <c r="B52" s="54"/>
      <c r="C52" s="45"/>
      <c r="D52" s="45"/>
      <c r="E52" s="54"/>
      <c r="F52" s="54"/>
      <c r="G52" s="54"/>
      <c r="H52" s="54"/>
      <c r="I52" s="54"/>
      <c r="J52" s="54"/>
      <c r="K52" s="54"/>
      <c r="L52" s="54"/>
      <c r="M52" s="54"/>
      <c r="N52" s="765"/>
      <c r="O52" s="765"/>
      <c r="P52" s="765"/>
      <c r="Q52" s="765"/>
    </row>
    <row r="53" spans="1:17" ht="11.25" customHeight="1">
      <c r="A53" s="54"/>
      <c r="B53" s="54"/>
      <c r="C53" s="54"/>
      <c r="D53" s="54"/>
      <c r="E53" s="54"/>
      <c r="F53" s="54"/>
      <c r="G53" s="54"/>
      <c r="H53" s="54"/>
      <c r="I53" s="54"/>
      <c r="J53" s="54"/>
      <c r="K53" s="54"/>
      <c r="L53" s="54"/>
      <c r="M53" s="54"/>
      <c r="N53" s="765"/>
      <c r="O53" s="765"/>
      <c r="P53" s="765"/>
      <c r="Q53" s="765"/>
    </row>
    <row r="54" spans="1:17" ht="11.25" customHeight="1">
      <c r="A54" s="54"/>
      <c r="B54" s="54"/>
      <c r="C54" s="54"/>
      <c r="D54" s="54"/>
      <c r="E54" s="54"/>
      <c r="F54" s="54"/>
      <c r="G54" s="54"/>
      <c r="H54" s="54"/>
      <c r="I54" s="54"/>
      <c r="J54" s="54"/>
      <c r="K54" s="54"/>
      <c r="L54" s="54"/>
      <c r="M54" s="54"/>
      <c r="N54" s="765"/>
      <c r="O54" s="765"/>
      <c r="P54" s="765"/>
      <c r="Q54" s="765"/>
    </row>
    <row r="55" spans="1:17" ht="11.25" customHeight="1">
      <c r="A55" s="54"/>
      <c r="B55" s="54"/>
      <c r="C55" s="54"/>
      <c r="D55" s="54"/>
      <c r="E55" s="54"/>
      <c r="F55" s="54"/>
      <c r="G55" s="54"/>
      <c r="H55" s="54"/>
      <c r="I55" s="54"/>
      <c r="J55" s="54"/>
      <c r="K55" s="54"/>
      <c r="L55" s="54"/>
      <c r="M55" s="54"/>
      <c r="N55" s="765"/>
      <c r="O55" s="765"/>
      <c r="P55" s="765"/>
      <c r="Q55" s="765"/>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1.4">
      <c r="A63" s="59"/>
      <c r="B63" s="59"/>
      <c r="C63" s="59"/>
      <c r="D63" s="59"/>
      <c r="E63" s="59"/>
      <c r="F63" s="59"/>
      <c r="G63" s="59"/>
      <c r="H63" s="59"/>
      <c r="I63" s="59"/>
      <c r="J63" s="59"/>
      <c r="K63" s="59"/>
      <c r="L63" s="59"/>
    </row>
    <row r="64" spans="1:17" ht="11.4">
      <c r="A64" s="59"/>
      <c r="B64" s="59"/>
      <c r="C64" s="59"/>
      <c r="D64" s="59"/>
      <c r="E64" s="59"/>
      <c r="F64" s="59"/>
      <c r="G64" s="59"/>
      <c r="H64" s="59"/>
      <c r="I64" s="59"/>
      <c r="J64" s="59"/>
      <c r="K64" s="59"/>
      <c r="L64" s="59"/>
    </row>
    <row r="65" spans="1:12" ht="11.4">
      <c r="A65" s="59"/>
      <c r="B65" s="59"/>
      <c r="C65" s="59"/>
      <c r="D65" s="59"/>
      <c r="E65" s="59"/>
      <c r="F65" s="59"/>
      <c r="G65" s="59"/>
      <c r="H65" s="59"/>
      <c r="I65" s="59"/>
      <c r="J65" s="59"/>
      <c r="K65" s="59"/>
      <c r="L65" s="59"/>
    </row>
    <row r="66" spans="1:12" ht="11.4">
      <c r="A66" s="59"/>
      <c r="B66" s="59"/>
      <c r="C66" s="59"/>
      <c r="D66" s="59"/>
      <c r="E66" s="59"/>
      <c r="F66" s="59"/>
      <c r="G66" s="59"/>
      <c r="H66" s="59"/>
      <c r="I66" s="59"/>
      <c r="J66" s="59"/>
      <c r="K66" s="59"/>
      <c r="L66" s="59"/>
    </row>
    <row r="67" spans="1:12" ht="11.4">
      <c r="A67" s="59"/>
      <c r="B67" s="59"/>
      <c r="C67" s="59"/>
      <c r="D67" s="59"/>
      <c r="E67" s="59"/>
      <c r="F67" s="59"/>
      <c r="G67" s="59"/>
      <c r="H67" s="59"/>
      <c r="I67" s="59"/>
      <c r="J67" s="59"/>
      <c r="K67" s="59"/>
      <c r="L67" s="59"/>
    </row>
    <row r="68" spans="1:12" ht="11.4">
      <c r="A68" s="59"/>
      <c r="B68" s="59"/>
      <c r="C68" s="59"/>
      <c r="D68" s="59"/>
      <c r="E68" s="59"/>
      <c r="F68" s="59"/>
      <c r="G68" s="59"/>
      <c r="H68" s="59"/>
      <c r="I68" s="59"/>
      <c r="J68" s="59"/>
      <c r="K68" s="59"/>
      <c r="L68" s="59"/>
    </row>
    <row r="69" spans="1:12" ht="11.4">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4" orientation="portrait" r:id="rId1"/>
  <headerFooter>
    <oddHeader>&amp;R&amp;7Informe de la Operación Mensual - Mayo 2021
INFSGI-MES-05-2021
10/06/2021
Versión: 01</oddHeader>
    <oddFooter>&amp;LCOES, 2021&amp;C1&amp;RDirección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S32" sqref="S32"/>
    </sheetView>
  </sheetViews>
  <sheetFormatPr baseColWidth="10" defaultColWidth="9.28515625" defaultRowHeight="10.199999999999999"/>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3.2">
      <c r="B13" s="276"/>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Q45"/>
  <sheetViews>
    <sheetView showGridLines="0" view="pageBreakPreview" zoomScale="115" zoomScaleNormal="100" zoomScaleSheetLayoutView="115" workbookViewId="0">
      <selection activeCell="M21" sqref="M21"/>
    </sheetView>
  </sheetViews>
  <sheetFormatPr baseColWidth="10" defaultColWidth="9.28515625" defaultRowHeight="10.199999999999999"/>
  <cols>
    <col min="1" max="1" width="12" style="46" customWidth="1"/>
    <col min="2" max="3" width="11" style="46" customWidth="1"/>
    <col min="4" max="4" width="12" style="46" customWidth="1"/>
    <col min="5" max="5" width="11.28515625" style="46" customWidth="1"/>
    <col min="6" max="6" width="13.7109375" style="46" customWidth="1"/>
    <col min="7" max="7" width="9.28515625" style="46"/>
    <col min="8" max="8" width="13.28515625" style="46" customWidth="1"/>
    <col min="9" max="9" width="13.140625" style="46" customWidth="1"/>
    <col min="10" max="10" width="11.7109375" style="46" customWidth="1"/>
    <col min="11" max="11" width="9.28515625" style="933"/>
    <col min="12" max="12" width="18.7109375" style="277" bestFit="1" customWidth="1"/>
    <col min="13" max="14" width="9.28515625" style="277"/>
    <col min="15" max="17" width="9.28515625" style="933"/>
    <col min="18" max="16384" width="9.28515625" style="46"/>
  </cols>
  <sheetData>
    <row r="2" spans="1:17" ht="16.5" customHeight="1">
      <c r="A2" s="821" t="s">
        <v>497</v>
      </c>
      <c r="B2" s="821"/>
      <c r="C2" s="821"/>
      <c r="D2" s="821"/>
      <c r="E2" s="821"/>
      <c r="F2" s="821"/>
      <c r="G2" s="821"/>
      <c r="H2" s="821"/>
      <c r="I2" s="821"/>
      <c r="J2" s="821"/>
      <c r="K2" s="932"/>
    </row>
    <row r="3" spans="1:17" ht="12" customHeight="1">
      <c r="A3" s="137"/>
      <c r="B3" s="209"/>
      <c r="C3" s="219"/>
      <c r="D3" s="220"/>
      <c r="E3" s="220"/>
      <c r="F3" s="221"/>
      <c r="G3" s="222"/>
      <c r="H3" s="222"/>
      <c r="I3" s="172"/>
      <c r="J3" s="221"/>
    </row>
    <row r="4" spans="1:17" ht="11.25" customHeight="1">
      <c r="A4" s="187" t="s">
        <v>441</v>
      </c>
      <c r="B4" s="209"/>
      <c r="C4" s="219"/>
      <c r="D4" s="220"/>
      <c r="E4" s="220"/>
      <c r="F4" s="221"/>
      <c r="G4" s="222"/>
      <c r="H4" s="222"/>
      <c r="I4" s="172"/>
      <c r="J4" s="221"/>
      <c r="K4" s="445"/>
    </row>
    <row r="5" spans="1:17" ht="11.25" customHeight="1">
      <c r="A5" s="187"/>
      <c r="B5" s="209"/>
      <c r="C5" s="219"/>
      <c r="D5" s="220"/>
      <c r="E5" s="220"/>
      <c r="F5" s="221"/>
      <c r="G5" s="222"/>
      <c r="H5" s="222"/>
      <c r="I5" s="172"/>
      <c r="J5" s="221"/>
      <c r="K5" s="445"/>
    </row>
    <row r="6" spans="1:17" ht="22.5" customHeight="1">
      <c r="A6" s="629" t="s">
        <v>465</v>
      </c>
      <c r="B6" s="630" t="s">
        <v>212</v>
      </c>
      <c r="C6" s="630" t="s">
        <v>466</v>
      </c>
      <c r="D6" s="630" t="s">
        <v>467</v>
      </c>
      <c r="E6" s="630" t="s">
        <v>468</v>
      </c>
      <c r="F6" s="631" t="s">
        <v>469</v>
      </c>
      <c r="G6" s="632" t="s">
        <v>470</v>
      </c>
      <c r="H6" s="631" t="s">
        <v>471</v>
      </c>
      <c r="I6" s="632" t="s">
        <v>472</v>
      </c>
      <c r="J6" s="633" t="s">
        <v>526</v>
      </c>
      <c r="K6" s="445"/>
    </row>
    <row r="7" spans="1:17" ht="21.75" customHeight="1">
      <c r="A7" s="753" t="s">
        <v>531</v>
      </c>
      <c r="B7" s="641" t="s">
        <v>38</v>
      </c>
      <c r="C7" s="641" t="s">
        <v>493</v>
      </c>
      <c r="D7" s="641" t="s">
        <v>513</v>
      </c>
      <c r="E7" s="641" t="s">
        <v>494</v>
      </c>
      <c r="F7" s="642" t="s">
        <v>496</v>
      </c>
      <c r="G7" s="643">
        <v>34.799999999999997</v>
      </c>
      <c r="H7" s="644">
        <v>18.37</v>
      </c>
      <c r="I7" s="644">
        <v>18.37</v>
      </c>
      <c r="J7" s="645" t="s">
        <v>527</v>
      </c>
      <c r="K7" s="445"/>
    </row>
    <row r="8" spans="1:17" ht="21.75" customHeight="1">
      <c r="A8" s="753" t="s">
        <v>532</v>
      </c>
      <c r="B8" s="641" t="s">
        <v>38</v>
      </c>
      <c r="C8" s="641" t="s">
        <v>493</v>
      </c>
      <c r="D8" s="641" t="s">
        <v>492</v>
      </c>
      <c r="E8" s="641" t="s">
        <v>495</v>
      </c>
      <c r="F8" s="642" t="s">
        <v>496</v>
      </c>
      <c r="G8" s="643">
        <v>34.799999999999997</v>
      </c>
      <c r="H8" s="644">
        <v>18.37</v>
      </c>
      <c r="I8" s="644">
        <v>18.37</v>
      </c>
      <c r="J8" s="645" t="s">
        <v>527</v>
      </c>
      <c r="K8" s="445"/>
    </row>
    <row r="9" spans="1:17" ht="21.75" customHeight="1">
      <c r="A9" s="753" t="s">
        <v>519</v>
      </c>
      <c r="B9" s="641" t="s">
        <v>36</v>
      </c>
      <c r="C9" s="641" t="s">
        <v>44</v>
      </c>
      <c r="D9" s="641" t="s">
        <v>606</v>
      </c>
      <c r="E9" s="641" t="s">
        <v>607</v>
      </c>
      <c r="F9" s="642" t="s">
        <v>608</v>
      </c>
      <c r="G9" s="643">
        <v>13.8</v>
      </c>
      <c r="H9" s="644">
        <v>31.25</v>
      </c>
      <c r="I9" s="644">
        <v>31.25</v>
      </c>
      <c r="J9" s="645" t="s">
        <v>609</v>
      </c>
      <c r="K9" s="445"/>
    </row>
    <row r="10" spans="1:17" ht="21.75" customHeight="1">
      <c r="A10" s="753" t="s">
        <v>519</v>
      </c>
      <c r="B10" s="641" t="s">
        <v>36</v>
      </c>
      <c r="C10" s="641" t="s">
        <v>44</v>
      </c>
      <c r="D10" s="641" t="s">
        <v>606</v>
      </c>
      <c r="E10" s="641" t="s">
        <v>607</v>
      </c>
      <c r="F10" s="642" t="s">
        <v>729</v>
      </c>
      <c r="G10" s="643">
        <v>13.8</v>
      </c>
      <c r="H10" s="644">
        <v>31.25</v>
      </c>
      <c r="I10" s="644">
        <v>31.25</v>
      </c>
      <c r="J10" s="645" t="s">
        <v>730</v>
      </c>
      <c r="K10" s="445"/>
    </row>
    <row r="11" spans="1:17" ht="15" customHeight="1">
      <c r="A11" s="634" t="s">
        <v>42</v>
      </c>
      <c r="B11" s="635"/>
      <c r="C11" s="635"/>
      <c r="D11" s="635"/>
      <c r="E11" s="636"/>
      <c r="F11" s="637"/>
      <c r="G11" s="638"/>
      <c r="H11" s="639">
        <f>+H7+H8+H9+H10</f>
        <v>99.240000000000009</v>
      </c>
      <c r="I11" s="639">
        <f>+I7+I8+I9+I10</f>
        <v>99.240000000000009</v>
      </c>
      <c r="J11" s="640"/>
      <c r="K11" s="445"/>
    </row>
    <row r="12" spans="1:17" ht="15" customHeight="1">
      <c r="A12" s="137"/>
      <c r="B12" s="209"/>
      <c r="C12" s="219"/>
      <c r="D12" s="220"/>
      <c r="E12" s="220"/>
      <c r="F12" s="221"/>
      <c r="G12" s="222"/>
      <c r="H12" s="222"/>
      <c r="I12" s="172"/>
      <c r="J12" s="221"/>
      <c r="K12" s="445"/>
    </row>
    <row r="13" spans="1:17" ht="15.75" customHeight="1">
      <c r="A13" s="646"/>
      <c r="K13" s="934"/>
    </row>
    <row r="14" spans="1:17" s="223" customFormat="1" ht="15.75" customHeight="1">
      <c r="A14" s="747"/>
      <c r="B14" s="742"/>
      <c r="C14" s="742"/>
      <c r="D14" s="742"/>
      <c r="E14" s="742"/>
      <c r="F14" s="743"/>
      <c r="G14" s="744"/>
      <c r="K14" s="935"/>
      <c r="L14" s="801"/>
      <c r="M14" s="801"/>
      <c r="N14" s="801"/>
      <c r="O14" s="936"/>
      <c r="P14" s="936"/>
      <c r="Q14" s="936"/>
    </row>
    <row r="15" spans="1:17" s="223" customFormat="1" ht="39" customHeight="1">
      <c r="K15" s="935"/>
      <c r="L15" s="801"/>
      <c r="M15" s="801"/>
      <c r="N15" s="801"/>
      <c r="O15" s="936"/>
      <c r="P15" s="936"/>
      <c r="Q15" s="936"/>
    </row>
    <row r="16" spans="1:17" s="223" customFormat="1" ht="28.5" customHeight="1">
      <c r="K16" s="935"/>
      <c r="L16" s="801" t="s">
        <v>529</v>
      </c>
      <c r="M16" s="801">
        <f>31.25+31.25</f>
        <v>62.5</v>
      </c>
      <c r="N16" s="801"/>
      <c r="O16" s="936"/>
      <c r="P16" s="936"/>
      <c r="Q16" s="936"/>
    </row>
    <row r="17" spans="1:17" s="223" customFormat="1" ht="13.2" customHeight="1">
      <c r="H17" s="46"/>
      <c r="I17" s="46"/>
      <c r="J17" s="46"/>
      <c r="K17" s="935"/>
      <c r="L17" s="801" t="s">
        <v>533</v>
      </c>
      <c r="M17" s="801"/>
      <c r="N17" s="801"/>
      <c r="O17" s="936"/>
      <c r="P17" s="936"/>
      <c r="Q17" s="936"/>
    </row>
    <row r="18" spans="1:17" s="223" customFormat="1" ht="13.2" customHeight="1">
      <c r="H18" s="745"/>
      <c r="I18" s="745"/>
      <c r="J18" s="746"/>
      <c r="K18" s="935"/>
      <c r="L18" s="801" t="s">
        <v>530</v>
      </c>
      <c r="M18" s="801">
        <v>36.74</v>
      </c>
      <c r="N18" s="801"/>
      <c r="O18" s="936"/>
      <c r="P18" s="936"/>
      <c r="Q18" s="936"/>
    </row>
    <row r="19" spans="1:17" s="223" customFormat="1" ht="13.2" customHeight="1">
      <c r="H19" s="745"/>
      <c r="I19" s="745"/>
      <c r="J19" s="746"/>
      <c r="K19" s="935"/>
      <c r="L19" s="801" t="s">
        <v>528</v>
      </c>
      <c r="M19" s="801"/>
      <c r="N19" s="801"/>
      <c r="O19" s="936"/>
      <c r="P19" s="936"/>
      <c r="Q19" s="936"/>
    </row>
    <row r="20" spans="1:17" s="223" customFormat="1" ht="13.2" customHeight="1">
      <c r="H20" s="745"/>
      <c r="I20" s="745"/>
      <c r="J20" s="746"/>
      <c r="K20" s="935"/>
      <c r="L20" s="801"/>
      <c r="M20" s="801"/>
      <c r="N20" s="801"/>
      <c r="O20" s="936"/>
      <c r="P20" s="936"/>
      <c r="Q20" s="936"/>
    </row>
    <row r="21" spans="1:17" s="223" customFormat="1" ht="24.75" customHeight="1">
      <c r="A21" s="586"/>
      <c r="B21" s="587"/>
      <c r="C21" s="587"/>
      <c r="D21" s="587"/>
      <c r="E21" s="587"/>
      <c r="F21" s="588"/>
      <c r="G21" s="589"/>
      <c r="H21" s="590"/>
      <c r="I21" s="590"/>
      <c r="J21" s="591"/>
      <c r="K21" s="935"/>
      <c r="L21" s="801"/>
      <c r="M21" s="801"/>
      <c r="N21" s="801"/>
      <c r="O21" s="936"/>
      <c r="P21" s="936"/>
      <c r="Q21" s="936"/>
    </row>
    <row r="22" spans="1:17" s="223" customFormat="1" ht="13.95" customHeight="1">
      <c r="A22" s="586"/>
      <c r="B22" s="587"/>
      <c r="C22" s="587"/>
      <c r="D22" s="587"/>
      <c r="E22" s="587"/>
      <c r="F22" s="588"/>
      <c r="G22" s="589"/>
      <c r="H22" s="590"/>
      <c r="I22" s="590"/>
      <c r="J22" s="591"/>
      <c r="K22" s="935"/>
      <c r="L22" s="801"/>
      <c r="M22" s="801"/>
      <c r="N22" s="801"/>
      <c r="O22" s="936"/>
      <c r="P22" s="936"/>
      <c r="Q22" s="936"/>
    </row>
    <row r="23" spans="1:17" ht="11.25" customHeight="1">
      <c r="A23" s="187" t="s">
        <v>512</v>
      </c>
      <c r="B23" s="132"/>
      <c r="C23" s="224"/>
      <c r="D23" s="132"/>
      <c r="E23" s="132"/>
      <c r="F23" s="132"/>
      <c r="G23" s="132"/>
      <c r="H23" s="132"/>
      <c r="I23" s="132"/>
      <c r="J23" s="132"/>
      <c r="K23" s="937"/>
    </row>
    <row r="24" spans="1:17" ht="11.25" customHeight="1">
      <c r="B24" s="132"/>
      <c r="C24" s="224"/>
      <c r="D24" s="132"/>
      <c r="E24" s="132"/>
      <c r="F24" s="132"/>
      <c r="G24" s="132"/>
      <c r="H24" s="132"/>
      <c r="I24" s="132"/>
      <c r="J24" s="132"/>
      <c r="K24" s="937"/>
    </row>
    <row r="25" spans="1:17" ht="21" customHeight="1">
      <c r="B25" s="819" t="s">
        <v>216</v>
      </c>
      <c r="C25" s="820"/>
      <c r="D25" s="365" t="str">
        <f>UPPER('1. Resumen'!Q4)&amp;" "&amp;'1. Resumen'!Q5</f>
        <v>JUNIO 2021</v>
      </c>
      <c r="E25" s="365" t="str">
        <f>UPPER('1. Resumen'!Q4)&amp;" "&amp;'1. Resumen'!Q5-1</f>
        <v>JUNIO 2020</v>
      </c>
      <c r="F25" s="366" t="s">
        <v>217</v>
      </c>
      <c r="G25" s="225"/>
      <c r="H25" s="225"/>
      <c r="I25" s="132"/>
      <c r="J25" s="132"/>
    </row>
    <row r="26" spans="1:17" ht="9.75" customHeight="1">
      <c r="B26" s="822" t="s">
        <v>213</v>
      </c>
      <c r="C26" s="823"/>
      <c r="D26" s="354">
        <f>5214.3692475+31.25</f>
        <v>5245.6192474999998</v>
      </c>
      <c r="E26" s="355">
        <v>5163.1192474999998</v>
      </c>
      <c r="F26" s="748">
        <f>+D26/E26-1</f>
        <v>1.5978712875931889E-2</v>
      </c>
      <c r="G26" s="225"/>
      <c r="H26" s="225"/>
      <c r="I26" s="132"/>
      <c r="J26" s="132"/>
      <c r="K26" s="937"/>
    </row>
    <row r="27" spans="1:17" ht="9.75" customHeight="1">
      <c r="B27" s="824" t="s">
        <v>214</v>
      </c>
      <c r="C27" s="825"/>
      <c r="D27" s="356">
        <v>7398.3644999999997</v>
      </c>
      <c r="E27" s="357">
        <v>7395.9645</v>
      </c>
      <c r="F27" s="749">
        <f>+D27/E27-1</f>
        <v>3.2450128715466597E-4</v>
      </c>
      <c r="G27" s="226"/>
      <c r="H27" s="226"/>
      <c r="M27" s="939"/>
      <c r="N27" s="939"/>
      <c r="O27" s="938"/>
    </row>
    <row r="28" spans="1:17" ht="9.75" customHeight="1">
      <c r="B28" s="826" t="s">
        <v>215</v>
      </c>
      <c r="C28" s="827"/>
      <c r="D28" s="358">
        <v>412.2</v>
      </c>
      <c r="E28" s="359">
        <v>375.46</v>
      </c>
      <c r="F28" s="750">
        <f>+D28/E28-1</f>
        <v>9.7853299952058936E-2</v>
      </c>
      <c r="G28" s="226"/>
      <c r="H28" s="226"/>
    </row>
    <row r="29" spans="1:17" ht="9.75" customHeight="1">
      <c r="B29" s="828" t="s">
        <v>80</v>
      </c>
      <c r="C29" s="829"/>
      <c r="D29" s="360">
        <v>285.02</v>
      </c>
      <c r="E29" s="361">
        <v>285.02</v>
      </c>
      <c r="F29" s="751">
        <f>+D29/E29-1</f>
        <v>0</v>
      </c>
      <c r="G29" s="226"/>
      <c r="H29" s="226"/>
    </row>
    <row r="30" spans="1:17" ht="10.5" customHeight="1">
      <c r="B30" s="817" t="s">
        <v>197</v>
      </c>
      <c r="C30" s="818"/>
      <c r="D30" s="362">
        <f>+D26+D27+D28+D29</f>
        <v>13341.2037475</v>
      </c>
      <c r="E30" s="363">
        <f>+E26+E27+E28+E29</f>
        <v>13219.5637475</v>
      </c>
      <c r="F30" s="752">
        <f>+D30/E30-1</f>
        <v>9.2015139321828254E-3</v>
      </c>
      <c r="G30" s="323"/>
      <c r="H30" s="226"/>
    </row>
    <row r="31" spans="1:17" ht="11.25" customHeight="1">
      <c r="B31" s="268" t="str">
        <f>"Cuadro N° 2: Comparación de la potencia instalada en el SEIN al término de "&amp;'1. Resumen'!Q4&amp;" "&amp;'1. Resumen'!Q5-1&amp;" y "&amp;'1. Resumen'!Q4&amp;" "&amp;'1. Resumen'!Q5</f>
        <v>Cuadro N° 2: Comparación de la potencia instalada en el SEIN al término de junio 2020 y junio 2021</v>
      </c>
      <c r="C31" s="225"/>
      <c r="D31" s="225"/>
      <c r="E31" s="225"/>
      <c r="F31" s="225"/>
      <c r="G31" s="225"/>
      <c r="H31" s="225"/>
      <c r="I31" s="132"/>
      <c r="J31" s="132"/>
      <c r="K31" s="937"/>
    </row>
    <row r="32" spans="1:17" ht="9" customHeight="1">
      <c r="B32" s="268"/>
      <c r="C32" s="225"/>
      <c r="D32" s="225"/>
      <c r="E32" s="225"/>
      <c r="F32" s="225"/>
      <c r="G32" s="225"/>
      <c r="H32" s="225"/>
      <c r="I32" s="132"/>
      <c r="J32" s="132"/>
      <c r="K32" s="937"/>
    </row>
    <row r="33" spans="1:11" ht="25.5" customHeight="1">
      <c r="B33" s="268"/>
      <c r="C33" s="225"/>
      <c r="D33" s="225"/>
      <c r="E33" s="225"/>
      <c r="F33" s="225"/>
      <c r="G33" s="225"/>
      <c r="H33" s="225"/>
      <c r="I33" s="132"/>
      <c r="J33" s="132"/>
      <c r="K33" s="937"/>
    </row>
    <row r="34" spans="1:11" ht="11.25" customHeight="1">
      <c r="B34" s="268"/>
      <c r="C34" s="225"/>
      <c r="D34" s="225"/>
      <c r="E34" s="225"/>
      <c r="F34" s="225"/>
      <c r="G34" s="225"/>
      <c r="H34" s="225"/>
      <c r="I34" s="132"/>
      <c r="J34" s="132"/>
      <c r="K34" s="937"/>
    </row>
    <row r="35" spans="1:11" ht="11.25" customHeight="1">
      <c r="A35" s="132"/>
      <c r="C35" s="226"/>
      <c r="D35" s="225"/>
      <c r="E35" s="225"/>
      <c r="F35" s="225"/>
      <c r="G35" s="225"/>
      <c r="H35" s="225"/>
      <c r="I35" s="132"/>
      <c r="J35" s="132"/>
      <c r="K35" s="937"/>
    </row>
    <row r="36" spans="1:11" ht="11.25" customHeight="1">
      <c r="A36" s="132"/>
      <c r="B36" s="132"/>
      <c r="C36" s="132"/>
      <c r="D36" s="132"/>
      <c r="E36" s="132"/>
      <c r="F36" s="132"/>
      <c r="G36" s="132"/>
      <c r="H36" s="132"/>
      <c r="I36" s="132"/>
      <c r="J36" s="132"/>
      <c r="K36" s="937"/>
    </row>
    <row r="37" spans="1:11" ht="3" customHeight="1">
      <c r="A37" s="132"/>
      <c r="B37" s="132"/>
      <c r="C37" s="132"/>
      <c r="D37" s="132"/>
      <c r="E37" s="132"/>
      <c r="F37" s="132"/>
      <c r="G37" s="132"/>
      <c r="H37" s="132"/>
      <c r="I37" s="132"/>
      <c r="J37" s="132"/>
      <c r="K37" s="937"/>
    </row>
    <row r="38" spans="1:11" hidden="1">
      <c r="A38" s="137"/>
      <c r="B38" s="132"/>
      <c r="C38" s="132"/>
      <c r="D38" s="132"/>
      <c r="E38" s="132"/>
      <c r="F38" s="132"/>
      <c r="G38" s="132"/>
      <c r="H38" s="132"/>
      <c r="I38" s="132"/>
      <c r="J38" s="132"/>
    </row>
    <row r="39" spans="1:11">
      <c r="A39" s="132"/>
      <c r="B39" s="132"/>
      <c r="C39" s="132"/>
      <c r="D39" s="132"/>
      <c r="E39" s="132"/>
      <c r="F39" s="132"/>
      <c r="G39" s="132"/>
      <c r="H39" s="132"/>
      <c r="I39" s="132"/>
      <c r="J39" s="132"/>
    </row>
    <row r="40" spans="1:11" ht="3.6" customHeight="1">
      <c r="A40" s="132"/>
      <c r="B40" s="132"/>
      <c r="C40" s="132"/>
      <c r="D40" s="132"/>
      <c r="E40" s="132"/>
      <c r="F40" s="132"/>
      <c r="G40" s="132"/>
      <c r="H40" s="132"/>
      <c r="I40" s="132"/>
      <c r="J40" s="132"/>
    </row>
    <row r="41" spans="1:11" hidden="1">
      <c r="A41" s="132"/>
      <c r="B41" s="132"/>
      <c r="C41" s="132"/>
      <c r="D41" s="132"/>
      <c r="E41" s="132"/>
      <c r="F41" s="132"/>
      <c r="G41" s="132"/>
      <c r="H41" s="132"/>
      <c r="I41" s="132"/>
      <c r="J41" s="132"/>
    </row>
    <row r="42" spans="1:11">
      <c r="A42" s="132"/>
      <c r="B42" s="132"/>
      <c r="C42" s="132"/>
      <c r="D42" s="132"/>
      <c r="E42" s="132"/>
      <c r="F42" s="132"/>
      <c r="G42" s="132"/>
      <c r="H42" s="132"/>
      <c r="I42" s="132"/>
      <c r="J42" s="132"/>
    </row>
    <row r="43" spans="1:11" ht="13.5" customHeight="1">
      <c r="A43" s="132"/>
      <c r="B43" s="132"/>
      <c r="C43" s="132"/>
      <c r="D43" s="132"/>
      <c r="E43" s="132"/>
      <c r="F43" s="132"/>
      <c r="G43" s="132"/>
      <c r="H43" s="132"/>
      <c r="I43" s="132"/>
      <c r="J43" s="132"/>
    </row>
    <row r="44" spans="1:11" ht="19.5" customHeight="1">
      <c r="A44" s="132"/>
      <c r="B44" s="132"/>
      <c r="C44" s="132"/>
      <c r="D44" s="132"/>
      <c r="E44" s="132"/>
      <c r="F44" s="132"/>
      <c r="G44" s="132"/>
      <c r="H44" s="132"/>
      <c r="I44" s="132"/>
      <c r="J44" s="132"/>
    </row>
    <row r="45" spans="1:11" ht="24" customHeight="1">
      <c r="A45" s="322" t="str">
        <f>"Gráfico N° 3: Comparación de la potencia instalada en el SEIN al término de "&amp;'1. Resumen'!Q4&amp;" "&amp;'1. Resumen'!Q5-1&amp;" y "&amp;'1. Resumen'!Q4&amp;" "&amp;'1. Resumen'!Q5</f>
        <v>Gráfico N° 3: Comparación de la potencia instalada en el SEIN al término de junio 2020 y junio 2021</v>
      </c>
      <c r="C45" s="132"/>
      <c r="D45" s="132"/>
      <c r="E45" s="132"/>
      <c r="F45" s="132"/>
      <c r="G45" s="132"/>
      <c r="H45" s="132"/>
      <c r="I45" s="132"/>
      <c r="J45" s="132"/>
    </row>
  </sheetData>
  <mergeCells count="7">
    <mergeCell ref="B30:C30"/>
    <mergeCell ref="B25:C25"/>
    <mergeCell ref="A2:J2"/>
    <mergeCell ref="B26:C26"/>
    <mergeCell ref="B27:C27"/>
    <mergeCell ref="B28:C28"/>
    <mergeCell ref="B29:C2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workbookViewId="0">
      <selection activeCell="D9" sqref="D9"/>
    </sheetView>
  </sheetViews>
  <sheetFormatPr baseColWidth="10" defaultColWidth="9.28515625" defaultRowHeight="10.199999999999999"/>
  <cols>
    <col min="1" max="1" width="21" style="46" customWidth="1"/>
    <col min="2" max="4" width="10.42578125" style="46" bestFit="1" customWidth="1"/>
    <col min="5" max="5" width="10" style="46" customWidth="1"/>
    <col min="6" max="6" width="8.7109375" style="46" customWidth="1"/>
    <col min="7" max="8" width="10.42578125" style="46" bestFit="1" customWidth="1"/>
    <col min="9" max="9" width="10.140625" style="46" customWidth="1"/>
    <col min="10" max="10" width="10.28515625" style="46" customWidth="1"/>
    <col min="11" max="11" width="9.7109375" style="46" customWidth="1"/>
    <col min="12" max="16384" width="9.28515625" style="46"/>
  </cols>
  <sheetData>
    <row r="1" spans="1:11" ht="11.25" customHeight="1"/>
    <row r="2" spans="1:11" ht="16.5" customHeight="1">
      <c r="A2" s="834" t="s">
        <v>219</v>
      </c>
      <c r="B2" s="834"/>
      <c r="C2" s="834"/>
      <c r="D2" s="834"/>
      <c r="E2" s="834"/>
      <c r="F2" s="834"/>
      <c r="G2" s="834"/>
      <c r="H2" s="834"/>
      <c r="I2" s="834"/>
      <c r="J2" s="834"/>
      <c r="K2" s="834"/>
    </row>
    <row r="3" spans="1:11" ht="11.25" customHeight="1">
      <c r="A3" s="83"/>
      <c r="B3" s="84"/>
      <c r="C3" s="85"/>
      <c r="D3" s="86"/>
      <c r="E3" s="86"/>
      <c r="F3" s="86"/>
      <c r="G3" s="86"/>
      <c r="H3" s="83"/>
      <c r="I3" s="83"/>
      <c r="J3" s="83"/>
      <c r="K3" s="87"/>
    </row>
    <row r="4" spans="1:11" ht="11.25" customHeight="1">
      <c r="A4" s="835" t="str">
        <f>+"3.1. PRODUCCIÓN POR TIPO DE GENERACIÓN (GWh)"</f>
        <v>3.1. PRODUCCIÓN POR TIPO DE GENERACIÓN (GWh)</v>
      </c>
      <c r="B4" s="835"/>
      <c r="C4" s="835"/>
      <c r="D4" s="835"/>
      <c r="E4" s="835"/>
      <c r="F4" s="835"/>
      <c r="G4" s="835"/>
      <c r="H4" s="835"/>
      <c r="I4" s="835"/>
      <c r="J4" s="835"/>
      <c r="K4" s="835"/>
    </row>
    <row r="5" spans="1:11" ht="11.25" customHeight="1">
      <c r="A5" s="54"/>
      <c r="B5" s="88"/>
      <c r="C5" s="89"/>
      <c r="D5" s="90"/>
      <c r="E5" s="90"/>
      <c r="F5" s="90"/>
      <c r="G5" s="90"/>
      <c r="H5" s="91"/>
      <c r="I5" s="83"/>
      <c r="J5" s="83"/>
      <c r="K5" s="92"/>
    </row>
    <row r="6" spans="1:11" ht="18" customHeight="1">
      <c r="A6" s="832" t="s">
        <v>32</v>
      </c>
      <c r="B6" s="836" t="s">
        <v>33</v>
      </c>
      <c r="C6" s="837"/>
      <c r="D6" s="837"/>
      <c r="E6" s="837" t="s">
        <v>34</v>
      </c>
      <c r="F6" s="837"/>
      <c r="G6" s="838" t="str">
        <f>"Generación Acumulada a "&amp;'1. Resumen'!Q4</f>
        <v>Generación Acumulada a junio</v>
      </c>
      <c r="H6" s="838"/>
      <c r="I6" s="838"/>
      <c r="J6" s="838"/>
      <c r="K6" s="839"/>
    </row>
    <row r="7" spans="1:11" ht="32.25" customHeight="1">
      <c r="A7" s="833"/>
      <c r="B7" s="367">
        <f>+C7-30</f>
        <v>44290</v>
      </c>
      <c r="C7" s="367">
        <f>+D7-28</f>
        <v>44320</v>
      </c>
      <c r="D7" s="367">
        <f>+'1. Resumen'!Q6</f>
        <v>44348</v>
      </c>
      <c r="E7" s="367">
        <f>+D7-365</f>
        <v>43983</v>
      </c>
      <c r="F7" s="368" t="s">
        <v>35</v>
      </c>
      <c r="G7" s="369">
        <v>2021</v>
      </c>
      <c r="H7" s="369">
        <v>2020</v>
      </c>
      <c r="I7" s="368" t="s">
        <v>498</v>
      </c>
      <c r="J7" s="369">
        <v>2019</v>
      </c>
      <c r="K7" s="370" t="s">
        <v>458</v>
      </c>
    </row>
    <row r="8" spans="1:11" ht="15" customHeight="1">
      <c r="A8" s="116" t="s">
        <v>36</v>
      </c>
      <c r="B8" s="306">
        <v>3149.6063660124996</v>
      </c>
      <c r="C8" s="302">
        <v>2602.1822321374998</v>
      </c>
      <c r="D8" s="307">
        <v>2161.5951565824998</v>
      </c>
      <c r="E8" s="306">
        <v>2153.3551646150004</v>
      </c>
      <c r="F8" s="234">
        <f>IF(E8=0,"",D8/E8-1)</f>
        <v>3.8265828614354458E-3</v>
      </c>
      <c r="G8" s="314">
        <v>17295.1478346925</v>
      </c>
      <c r="H8" s="302">
        <v>16968.109444374997</v>
      </c>
      <c r="I8" s="238">
        <f>IF(H8=0,"",G8/H8-1)</f>
        <v>1.9273708210664431E-2</v>
      </c>
      <c r="J8" s="306">
        <v>16593.078632462508</v>
      </c>
      <c r="K8" s="234">
        <f t="shared" ref="K8:K15" si="0">IF(J8=0,"",H8/J8-1)</f>
        <v>2.2601641336091882E-2</v>
      </c>
    </row>
    <row r="9" spans="1:11" ht="15" customHeight="1">
      <c r="A9" s="117" t="s">
        <v>37</v>
      </c>
      <c r="B9" s="308">
        <v>953.71082935999993</v>
      </c>
      <c r="C9" s="244">
        <v>1709.9785279975006</v>
      </c>
      <c r="D9" s="309">
        <v>2088.2596591024999</v>
      </c>
      <c r="E9" s="308">
        <v>1386.4079513500005</v>
      </c>
      <c r="F9" s="235">
        <f t="shared" ref="F9:F15" si="1">IF(E9=0,"",D9/E9-1)</f>
        <v>0.50623750900236719</v>
      </c>
      <c r="G9" s="315">
        <v>8091.8510132299998</v>
      </c>
      <c r="H9" s="244">
        <v>5023.9724376499998</v>
      </c>
      <c r="I9" s="239">
        <f t="shared" ref="I9:I15" si="2">IF(H9=0,"",G9/H9-1)</f>
        <v>0.61064797103365942</v>
      </c>
      <c r="J9" s="308">
        <v>8618.5820859150026</v>
      </c>
      <c r="K9" s="235">
        <f t="shared" si="0"/>
        <v>-0.41707668528672792</v>
      </c>
    </row>
    <row r="10" spans="1:11" ht="15" customHeight="1">
      <c r="A10" s="118" t="s">
        <v>38</v>
      </c>
      <c r="B10" s="310">
        <v>161.12612990250003</v>
      </c>
      <c r="C10" s="245">
        <v>159.5248791475</v>
      </c>
      <c r="D10" s="311">
        <v>134.0867127425</v>
      </c>
      <c r="E10" s="310">
        <v>161.8844647825</v>
      </c>
      <c r="F10" s="236">
        <f>IF(E10=0,"",D10/E10-1)</f>
        <v>-0.17171352468779322</v>
      </c>
      <c r="G10" s="316">
        <v>863.7040409650001</v>
      </c>
      <c r="H10" s="245">
        <v>800.99519206749994</v>
      </c>
      <c r="I10" s="240">
        <f t="shared" si="2"/>
        <v>7.8288670791691439E-2</v>
      </c>
      <c r="J10" s="310">
        <v>795.12044744499997</v>
      </c>
      <c r="K10" s="236">
        <f t="shared" si="0"/>
        <v>7.3884964741852688E-3</v>
      </c>
    </row>
    <row r="11" spans="1:11" ht="15" customHeight="1">
      <c r="A11" s="117" t="s">
        <v>30</v>
      </c>
      <c r="B11" s="308">
        <v>62.385008147499988</v>
      </c>
      <c r="C11" s="244">
        <v>57.124060049999997</v>
      </c>
      <c r="D11" s="309">
        <v>54.256861282500005</v>
      </c>
      <c r="E11" s="308">
        <v>55.064190197499997</v>
      </c>
      <c r="F11" s="235">
        <f>IF(E11=0,"",D11/E11-1)</f>
        <v>-1.4661596077311323E-2</v>
      </c>
      <c r="G11" s="315">
        <v>374.22773975749999</v>
      </c>
      <c r="H11" s="244">
        <v>350.62904399749999</v>
      </c>
      <c r="I11" s="239">
        <f t="shared" si="2"/>
        <v>6.7303881877418759E-2</v>
      </c>
      <c r="J11" s="308">
        <v>341.36199789999995</v>
      </c>
      <c r="K11" s="235">
        <f t="shared" si="0"/>
        <v>2.7147269334341084E-2</v>
      </c>
    </row>
    <row r="12" spans="1:11" ht="15" customHeight="1">
      <c r="A12" s="145" t="s">
        <v>42</v>
      </c>
      <c r="B12" s="312">
        <f>+SUM(B8:B11)</f>
        <v>4326.8283334224998</v>
      </c>
      <c r="C12" s="303">
        <f t="shared" ref="C12:D12" si="3">+SUM(C8:C11)</f>
        <v>4528.8096993324998</v>
      </c>
      <c r="D12" s="313">
        <f t="shared" si="3"/>
        <v>4438.198389709999</v>
      </c>
      <c r="E12" s="312">
        <f>+SUM(E8:E11)</f>
        <v>3756.7117709450008</v>
      </c>
      <c r="F12" s="237">
        <f>IF(E12=0,"",D12/E12-1)</f>
        <v>0.18140508516935538</v>
      </c>
      <c r="G12" s="312">
        <f>+SUM(G8:G11)</f>
        <v>26624.930628645001</v>
      </c>
      <c r="H12" s="303">
        <f t="shared" ref="H12:J12" si="4">+SUM(H8:H11)</f>
        <v>23143.706118089998</v>
      </c>
      <c r="I12" s="241">
        <f>IF(H12=0,"",G12/H12-1)</f>
        <v>0.15041776337774815</v>
      </c>
      <c r="J12" s="312">
        <f t="shared" si="4"/>
        <v>26348.143163722511</v>
      </c>
      <c r="K12" s="237">
        <f t="shared" si="0"/>
        <v>-0.1216190843400512</v>
      </c>
    </row>
    <row r="13" spans="1:11" ht="15" customHeight="1">
      <c r="A13" s="112"/>
      <c r="B13" s="112"/>
      <c r="C13" s="112"/>
      <c r="D13" s="112"/>
      <c r="E13" s="112"/>
      <c r="F13" s="114"/>
      <c r="G13" s="112"/>
      <c r="H13" s="112"/>
      <c r="I13" s="621"/>
      <c r="J13" s="113"/>
      <c r="K13" s="114" t="str">
        <f t="shared" si="0"/>
        <v/>
      </c>
    </row>
    <row r="14" spans="1:11" ht="15" customHeight="1">
      <c r="A14" s="119" t="s">
        <v>39</v>
      </c>
      <c r="B14" s="232">
        <v>3.9899851899999996</v>
      </c>
      <c r="C14" s="233">
        <v>16.988557740000001</v>
      </c>
      <c r="D14" s="305">
        <v>7.6836916000000022</v>
      </c>
      <c r="E14" s="232">
        <v>16.997148410000001</v>
      </c>
      <c r="F14" s="120">
        <f t="shared" si="1"/>
        <v>-0.54794231275409555</v>
      </c>
      <c r="G14" s="232">
        <v>28.662234530000003</v>
      </c>
      <c r="H14" s="233">
        <v>22.616474610000001</v>
      </c>
      <c r="I14" s="123">
        <f t="shared" si="2"/>
        <v>0.26731663640127334</v>
      </c>
      <c r="J14" s="232">
        <v>29.997176460000002</v>
      </c>
      <c r="K14" s="120">
        <f t="shared" si="0"/>
        <v>-0.24604655240941964</v>
      </c>
    </row>
    <row r="15" spans="1:11" ht="15" customHeight="1">
      <c r="A15" s="118" t="s">
        <v>40</v>
      </c>
      <c r="B15" s="229">
        <v>0</v>
      </c>
      <c r="C15" s="230">
        <v>0</v>
      </c>
      <c r="D15" s="231">
        <v>0</v>
      </c>
      <c r="E15" s="229">
        <v>0</v>
      </c>
      <c r="F15" s="121" t="str">
        <f t="shared" si="1"/>
        <v/>
      </c>
      <c r="G15" s="229">
        <v>0</v>
      </c>
      <c r="H15" s="230">
        <v>0</v>
      </c>
      <c r="I15" s="115" t="str">
        <f t="shared" si="2"/>
        <v/>
      </c>
      <c r="J15" s="229">
        <v>0</v>
      </c>
      <c r="K15" s="121" t="str">
        <f t="shared" si="0"/>
        <v/>
      </c>
    </row>
    <row r="16" spans="1:11" ht="23.25" customHeight="1">
      <c r="A16" s="125" t="s">
        <v>41</v>
      </c>
      <c r="B16" s="242">
        <f>+B15-B14</f>
        <v>-3.9899851899999996</v>
      </c>
      <c r="C16" s="243">
        <f t="shared" ref="C16:E16" si="5">+C15-C14</f>
        <v>-16.988557740000001</v>
      </c>
      <c r="D16" s="243">
        <f t="shared" si="5"/>
        <v>-7.6836916000000022</v>
      </c>
      <c r="E16" s="242">
        <f t="shared" si="5"/>
        <v>-16.997148410000001</v>
      </c>
      <c r="F16" s="122"/>
      <c r="G16" s="242">
        <f t="shared" ref="G16:H16" si="6">+G15-G14</f>
        <v>-28.662234530000003</v>
      </c>
      <c r="H16" s="243">
        <f t="shared" si="6"/>
        <v>-22.616474610000001</v>
      </c>
      <c r="I16" s="124"/>
      <c r="J16" s="242">
        <f>+J15-J14</f>
        <v>-29.997176460000002</v>
      </c>
      <c r="K16" s="122"/>
    </row>
    <row r="17" spans="1:11" ht="11.25" customHeight="1">
      <c r="A17" s="228" t="s">
        <v>218</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830"/>
      <c r="C42" s="830"/>
      <c r="D42" s="830"/>
      <c r="E42" s="93"/>
      <c r="F42" s="93"/>
      <c r="G42" s="831"/>
      <c r="H42" s="831"/>
      <c r="I42" s="831"/>
      <c r="J42" s="831"/>
      <c r="K42" s="831"/>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3.2">
      <c r="A53" s="1"/>
      <c r="B53" s="72"/>
      <c r="C53" s="72"/>
      <c r="D53" s="72"/>
      <c r="E53" s="72"/>
      <c r="F53" s="72"/>
      <c r="G53" s="72"/>
      <c r="H53" s="72"/>
      <c r="I53" s="102"/>
      <c r="J53" s="72"/>
      <c r="K53" s="103"/>
    </row>
    <row r="54" spans="1:11" ht="13.2">
      <c r="A54" s="1"/>
      <c r="B54" s="72"/>
      <c r="C54" s="72"/>
      <c r="D54" s="72"/>
      <c r="E54" s="72"/>
      <c r="F54" s="72"/>
      <c r="G54" s="72"/>
      <c r="H54" s="72"/>
      <c r="I54" s="102"/>
      <c r="J54" s="72"/>
      <c r="K54" s="103"/>
    </row>
    <row r="55" spans="1:11" ht="13.2">
      <c r="A55" s="1"/>
      <c r="B55" s="72"/>
      <c r="C55" s="72"/>
      <c r="D55" s="72"/>
      <c r="E55" s="72"/>
      <c r="F55" s="72"/>
      <c r="G55" s="72"/>
      <c r="H55" s="72"/>
      <c r="I55" s="102"/>
      <c r="J55" s="72"/>
      <c r="K55" s="103"/>
    </row>
    <row r="56" spans="1:11" ht="13.2">
      <c r="A56" s="1"/>
      <c r="B56" s="72"/>
      <c r="C56" s="72"/>
      <c r="D56" s="72"/>
      <c r="E56" s="72"/>
      <c r="F56" s="72"/>
      <c r="G56" s="72"/>
      <c r="H56" s="72"/>
      <c r="I56" s="102"/>
      <c r="J56" s="72"/>
      <c r="K56" s="103"/>
    </row>
    <row r="57" spans="1:11" ht="13.2">
      <c r="A57" s="1"/>
      <c r="B57" s="72"/>
      <c r="C57" s="72"/>
      <c r="D57" s="72"/>
      <c r="E57" s="72"/>
      <c r="F57" s="72"/>
      <c r="G57" s="72"/>
      <c r="H57" s="72"/>
      <c r="I57" s="102"/>
      <c r="J57" s="72"/>
      <c r="K57" s="103"/>
    </row>
    <row r="58" spans="1:11" ht="13.2">
      <c r="A58" s="228" t="str">
        <f>"Gráfico N° 4: Comparación de la producción de energía eléctrica por tipo de generación acumulada a "&amp;'1. Resumen'!Q4</f>
        <v>Gráfico N° 4: Comparación de la producción de energía eléctrica por tipo de generación acumulada a junio</v>
      </c>
      <c r="B58" s="72"/>
      <c r="C58" s="72"/>
      <c r="D58" s="72"/>
      <c r="E58" s="72"/>
      <c r="F58" s="72"/>
      <c r="G58" s="72"/>
      <c r="H58" s="72"/>
      <c r="I58" s="102"/>
      <c r="J58" s="72"/>
      <c r="K58" s="103"/>
    </row>
    <row r="59" spans="1:11" ht="13.2">
      <c r="B59" s="72"/>
      <c r="C59" s="72"/>
      <c r="D59" s="72"/>
      <c r="E59" s="72"/>
      <c r="F59" s="72"/>
      <c r="G59" s="72"/>
      <c r="H59" s="72"/>
      <c r="I59" s="102"/>
      <c r="J59" s="72"/>
      <c r="K59" s="103"/>
    </row>
    <row r="60" spans="1:11" ht="13.2">
      <c r="A60" s="1"/>
      <c r="B60" s="72"/>
      <c r="C60" s="72"/>
      <c r="D60" s="72"/>
      <c r="E60" s="72"/>
      <c r="F60" s="72"/>
      <c r="G60" s="72"/>
      <c r="H60" s="72"/>
      <c r="I60" s="102"/>
      <c r="J60" s="72"/>
      <c r="K60" s="103"/>
    </row>
    <row r="61" spans="1:11" ht="13.2">
      <c r="A61" s="1"/>
      <c r="B61" s="72"/>
      <c r="C61" s="72"/>
      <c r="D61" s="72"/>
      <c r="E61" s="72"/>
      <c r="F61" s="72"/>
      <c r="G61" s="72"/>
      <c r="H61" s="72"/>
      <c r="I61" s="102"/>
      <c r="J61" s="72"/>
      <c r="K61" s="103"/>
    </row>
    <row r="63" spans="1:11" ht="13.2">
      <c r="A63" s="104"/>
      <c r="B63" s="105"/>
      <c r="C63" s="105"/>
      <c r="D63" s="105"/>
      <c r="E63" s="105"/>
      <c r="F63" s="105"/>
      <c r="G63" s="105"/>
      <c r="H63" s="102"/>
      <c r="I63" s="102"/>
      <c r="J63" s="105"/>
      <c r="K63" s="103"/>
    </row>
    <row r="64" spans="1:11" ht="13.2">
      <c r="A64" s="1"/>
      <c r="B64" s="72"/>
      <c r="C64" s="72"/>
      <c r="D64" s="72"/>
      <c r="E64" s="72"/>
      <c r="F64" s="72"/>
      <c r="G64" s="72"/>
      <c r="H64" s="72"/>
      <c r="I64" s="102"/>
      <c r="J64" s="72"/>
      <c r="K64" s="106"/>
    </row>
    <row r="65" spans="1:11" ht="13.2">
      <c r="A65" s="1"/>
      <c r="B65" s="72"/>
      <c r="C65" s="72"/>
      <c r="D65" s="72"/>
      <c r="E65" s="72"/>
      <c r="F65" s="72"/>
      <c r="G65" s="72"/>
      <c r="H65" s="72"/>
      <c r="I65" s="107"/>
      <c r="J65" s="72"/>
      <c r="K65" s="106"/>
    </row>
    <row r="66" spans="1:11" ht="13.2">
      <c r="A66" s="1"/>
      <c r="B66" s="72"/>
      <c r="C66" s="72"/>
      <c r="D66" s="72"/>
      <c r="E66" s="72"/>
      <c r="F66" s="72"/>
      <c r="G66" s="72"/>
      <c r="H66" s="108"/>
      <c r="I66" s="108"/>
      <c r="J66" s="72"/>
      <c r="K66" s="106"/>
    </row>
    <row r="67" spans="1:11" ht="13.2">
      <c r="A67" s="1"/>
      <c r="B67" s="72"/>
      <c r="C67" s="72"/>
      <c r="D67" s="72"/>
      <c r="E67" s="72"/>
      <c r="F67" s="72"/>
      <c r="G67" s="72"/>
      <c r="H67" s="108"/>
      <c r="I67" s="108"/>
      <c r="J67" s="72"/>
      <c r="K67" s="106"/>
    </row>
    <row r="68" spans="1:11" ht="13.2">
      <c r="A68" s="104"/>
      <c r="B68" s="105"/>
      <c r="C68" s="105"/>
      <c r="D68" s="105"/>
      <c r="E68" s="105"/>
      <c r="F68" s="105"/>
      <c r="G68" s="105"/>
      <c r="H68" s="109"/>
      <c r="I68" s="102"/>
      <c r="J68" s="105"/>
      <c r="K68" s="103"/>
    </row>
    <row r="69" spans="1:11" ht="13.2">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 Junio 2021
INFSGI-MES-06-2021
12/07/2021
Versión: 01</oddHeader>
    <oddFooter>&amp;L&amp;7COES, 2021&amp;C3&amp;R&amp;7Dirección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110" zoomScaleNormal="100" zoomScaleSheetLayoutView="110" workbookViewId="0">
      <selection activeCell="C19" sqref="C19"/>
    </sheetView>
  </sheetViews>
  <sheetFormatPr baseColWidth="10" defaultColWidth="9.28515625" defaultRowHeight="10.199999999999999"/>
  <cols>
    <col min="1" max="1" width="15.140625" customWidth="1"/>
    <col min="2" max="2" width="12.28515625" customWidth="1"/>
    <col min="3" max="3" width="11.7109375" customWidth="1"/>
    <col min="4" max="4" width="13.140625" customWidth="1"/>
    <col min="5" max="5" width="9.85546875" customWidth="1"/>
    <col min="6" max="6" width="10.5703125" customWidth="1"/>
    <col min="7" max="7" width="10.85546875" customWidth="1"/>
    <col min="8" max="8" width="10.42578125" bestFit="1" customWidth="1"/>
    <col min="9" max="10" width="10.42578125" customWidth="1"/>
    <col min="11" max="11" width="11" customWidth="1"/>
  </cols>
  <sheetData>
    <row r="1" spans="1:12" ht="11.25" customHeight="1"/>
    <row r="2" spans="1:12" ht="11.25" customHeight="1">
      <c r="A2" s="840" t="str">
        <f>+"3.2. PRODUCCIÓN POR TIPO DE RECURSO ENERGÉTICO (GWh)"</f>
        <v>3.2. PRODUCCIÓN POR TIPO DE RECURSO ENERGÉTICO (GWh)</v>
      </c>
      <c r="B2" s="840"/>
      <c r="C2" s="840"/>
      <c r="D2" s="840"/>
      <c r="E2" s="840"/>
      <c r="F2" s="840"/>
      <c r="G2" s="840"/>
      <c r="H2" s="840"/>
      <c r="I2" s="840"/>
      <c r="J2" s="840"/>
      <c r="K2" s="840"/>
    </row>
    <row r="3" spans="1:12" ht="18.75" customHeight="1">
      <c r="A3" s="126"/>
      <c r="B3" s="127"/>
      <c r="C3" s="128"/>
      <c r="D3" s="129"/>
      <c r="E3" s="129"/>
      <c r="F3" s="129"/>
      <c r="G3" s="130"/>
      <c r="H3" s="130"/>
      <c r="I3" s="130"/>
      <c r="J3" s="126"/>
      <c r="K3" s="126"/>
      <c r="L3" s="36"/>
    </row>
    <row r="4" spans="1:12" ht="14.25" customHeight="1">
      <c r="A4" s="844" t="s">
        <v>43</v>
      </c>
      <c r="B4" s="841" t="s">
        <v>33</v>
      </c>
      <c r="C4" s="842"/>
      <c r="D4" s="842"/>
      <c r="E4" s="842" t="s">
        <v>34</v>
      </c>
      <c r="F4" s="842"/>
      <c r="G4" s="843" t="str">
        <f>+'3. Tipo Generación'!G6:K6</f>
        <v>Generación Acumulada a junio</v>
      </c>
      <c r="H4" s="843"/>
      <c r="I4" s="843"/>
      <c r="J4" s="843"/>
      <c r="K4" s="843"/>
      <c r="L4" s="131"/>
    </row>
    <row r="5" spans="1:12" ht="26.25" customHeight="1">
      <c r="A5" s="844"/>
      <c r="B5" s="371">
        <f>+'3. Tipo Generación'!B7</f>
        <v>44290</v>
      </c>
      <c r="C5" s="371">
        <f>+'3. Tipo Generación'!C7</f>
        <v>44320</v>
      </c>
      <c r="D5" s="371">
        <f>+'3. Tipo Generación'!D7</f>
        <v>44348</v>
      </c>
      <c r="E5" s="371">
        <f>+'3. Tipo Generación'!E7</f>
        <v>43983</v>
      </c>
      <c r="F5" s="372" t="s">
        <v>35</v>
      </c>
      <c r="G5" s="373">
        <v>2021</v>
      </c>
      <c r="H5" s="373">
        <v>2020</v>
      </c>
      <c r="I5" s="372" t="s">
        <v>498</v>
      </c>
      <c r="J5" s="373">
        <v>2019</v>
      </c>
      <c r="K5" s="372" t="s">
        <v>458</v>
      </c>
      <c r="L5" s="19"/>
    </row>
    <row r="6" spans="1:12" ht="11.25" customHeight="1">
      <c r="A6" s="139" t="s">
        <v>44</v>
      </c>
      <c r="B6" s="279">
        <v>3149.6063660124996</v>
      </c>
      <c r="C6" s="280">
        <v>2602.1822321374998</v>
      </c>
      <c r="D6" s="281">
        <v>2161.5951565824998</v>
      </c>
      <c r="E6" s="279">
        <v>2153.3551646150004</v>
      </c>
      <c r="F6" s="249">
        <f>IF(E6=0,"",D6/E6-1)</f>
        <v>3.8265828614354458E-3</v>
      </c>
      <c r="G6" s="279">
        <v>17295.1478346925</v>
      </c>
      <c r="H6" s="280">
        <v>16968.109444374997</v>
      </c>
      <c r="I6" s="249">
        <f t="shared" ref="I6:I16" si="0">IF(H6=0,"",G6/H6-1)</f>
        <v>1.9273708210664431E-2</v>
      </c>
      <c r="J6" s="279">
        <v>16593.078632462508</v>
      </c>
      <c r="K6" s="249">
        <f>IF(J6=0,"",H6/J6-1)</f>
        <v>2.2601641336091882E-2</v>
      </c>
      <c r="L6" s="24"/>
    </row>
    <row r="7" spans="1:12" ht="11.25" customHeight="1">
      <c r="A7" s="140" t="s">
        <v>50</v>
      </c>
      <c r="B7" s="282">
        <v>886.69141277249992</v>
      </c>
      <c r="C7" s="244">
        <v>1591.2446583425003</v>
      </c>
      <c r="D7" s="283">
        <v>1963.3068820199996</v>
      </c>
      <c r="E7" s="282">
        <v>1303.3500004725004</v>
      </c>
      <c r="F7" s="250">
        <f t="shared" ref="F7:F18" si="1">IF(E7=0,"",D7/E7-1)</f>
        <v>0.50635430337840703</v>
      </c>
      <c r="G7" s="282">
        <v>7505.1897904274992</v>
      </c>
      <c r="H7" s="244">
        <v>4643.9973746100004</v>
      </c>
      <c r="I7" s="250">
        <f t="shared" si="0"/>
        <v>0.6161055196672629</v>
      </c>
      <c r="J7" s="282">
        <v>7996.0885491945328</v>
      </c>
      <c r="K7" s="250">
        <f t="shared" ref="K7:K19" si="2">IF(J7=0,"",H7/J7-1)</f>
        <v>-0.41921636484655955</v>
      </c>
      <c r="L7" s="22"/>
    </row>
    <row r="8" spans="1:12" ht="11.25" customHeight="1">
      <c r="A8" s="141" t="s">
        <v>51</v>
      </c>
      <c r="B8" s="284">
        <v>46.364212890000005</v>
      </c>
      <c r="C8" s="245">
        <v>67.452271127499998</v>
      </c>
      <c r="D8" s="285">
        <v>64.7966159275</v>
      </c>
      <c r="E8" s="284">
        <v>61.168153509999996</v>
      </c>
      <c r="F8" s="325">
        <f t="shared" si="1"/>
        <v>5.9319469516221579E-2</v>
      </c>
      <c r="G8" s="284">
        <v>333.90736995499998</v>
      </c>
      <c r="H8" s="245">
        <v>227.43830298750001</v>
      </c>
      <c r="I8" s="325">
        <f t="shared" si="0"/>
        <v>0.46812285164364553</v>
      </c>
      <c r="J8" s="284">
        <v>250.84280231499991</v>
      </c>
      <c r="K8" s="325">
        <f t="shared" si="2"/>
        <v>-9.330345184913591E-2</v>
      </c>
      <c r="L8" s="22"/>
    </row>
    <row r="9" spans="1:12" ht="11.25" customHeight="1">
      <c r="A9" s="140" t="s">
        <v>52</v>
      </c>
      <c r="B9" s="282">
        <v>0</v>
      </c>
      <c r="C9" s="244">
        <v>17.322918357499997</v>
      </c>
      <c r="D9" s="283">
        <v>22.330118052500001</v>
      </c>
      <c r="E9" s="282">
        <v>1.3787250000000002E-4</v>
      </c>
      <c r="F9" s="250"/>
      <c r="G9" s="282">
        <v>71.650333852499998</v>
      </c>
      <c r="H9" s="244">
        <v>15.849400752499999</v>
      </c>
      <c r="I9" s="250">
        <f t="shared" si="0"/>
        <v>3.5206967109591361</v>
      </c>
      <c r="J9" s="282">
        <v>107.077483865</v>
      </c>
      <c r="K9" s="250">
        <f t="shared" si="2"/>
        <v>-0.85198194634006863</v>
      </c>
      <c r="L9" s="22"/>
    </row>
    <row r="10" spans="1:12" ht="11.25" customHeight="1">
      <c r="A10" s="141" t="s">
        <v>53</v>
      </c>
      <c r="B10" s="284">
        <v>0</v>
      </c>
      <c r="C10" s="245">
        <v>0</v>
      </c>
      <c r="D10" s="285">
        <v>0</v>
      </c>
      <c r="E10" s="284">
        <v>0</v>
      </c>
      <c r="F10" s="325" t="str">
        <f t="shared" si="1"/>
        <v/>
      </c>
      <c r="G10" s="284">
        <v>0</v>
      </c>
      <c r="H10" s="245">
        <v>0</v>
      </c>
      <c r="I10" s="325" t="str">
        <f t="shared" si="0"/>
        <v/>
      </c>
      <c r="J10" s="284">
        <v>0</v>
      </c>
      <c r="K10" s="325" t="str">
        <f t="shared" si="2"/>
        <v/>
      </c>
      <c r="L10" s="22"/>
    </row>
    <row r="11" spans="1:12" ht="11.25" customHeight="1">
      <c r="A11" s="140" t="s">
        <v>26</v>
      </c>
      <c r="B11" s="282">
        <v>0</v>
      </c>
      <c r="C11" s="244">
        <v>5.7304631749999997</v>
      </c>
      <c r="D11" s="283">
        <v>0</v>
      </c>
      <c r="E11" s="282">
        <v>0</v>
      </c>
      <c r="F11" s="250" t="str">
        <f t="shared" si="1"/>
        <v/>
      </c>
      <c r="G11" s="282">
        <v>12.778767482499999</v>
      </c>
      <c r="H11" s="244">
        <v>0</v>
      </c>
      <c r="I11" s="250" t="str">
        <f t="shared" si="0"/>
        <v/>
      </c>
      <c r="J11" s="282">
        <v>18.283256609999999</v>
      </c>
      <c r="K11" s="250">
        <f t="shared" si="2"/>
        <v>-1</v>
      </c>
      <c r="L11" s="24"/>
    </row>
    <row r="12" spans="1:12" ht="11.25" customHeight="1">
      <c r="A12" s="141" t="s">
        <v>45</v>
      </c>
      <c r="B12" s="284">
        <v>0</v>
      </c>
      <c r="C12" s="245">
        <v>1.7042829875000003</v>
      </c>
      <c r="D12" s="285">
        <v>0.77859313499999994</v>
      </c>
      <c r="E12" s="284">
        <v>0</v>
      </c>
      <c r="F12" s="325" t="str">
        <f t="shared" si="1"/>
        <v/>
      </c>
      <c r="G12" s="284">
        <v>4.2980835649999998</v>
      </c>
      <c r="H12" s="245">
        <v>1.2236413724999999</v>
      </c>
      <c r="I12" s="325">
        <f t="shared" si="0"/>
        <v>2.512535340496588</v>
      </c>
      <c r="J12" s="284">
        <v>41.949142722499985</v>
      </c>
      <c r="K12" s="325">
        <f t="shared" si="2"/>
        <v>-0.97083036045350024</v>
      </c>
      <c r="L12" s="22"/>
    </row>
    <row r="13" spans="1:12" ht="11.25" customHeight="1">
      <c r="A13" s="140" t="s">
        <v>46</v>
      </c>
      <c r="B13" s="282">
        <v>0</v>
      </c>
      <c r="C13" s="244">
        <v>0</v>
      </c>
      <c r="D13" s="283">
        <v>0</v>
      </c>
      <c r="E13" s="282">
        <v>0</v>
      </c>
      <c r="F13" s="250" t="str">
        <f>IF(E13=0,"",D13/E13-1)</f>
        <v/>
      </c>
      <c r="G13" s="282">
        <v>0</v>
      </c>
      <c r="H13" s="244">
        <v>0</v>
      </c>
      <c r="I13" s="250" t="str">
        <f t="shared" si="0"/>
        <v/>
      </c>
      <c r="J13" s="282">
        <v>8.9529357500000004E-2</v>
      </c>
      <c r="K13" s="250">
        <f t="shared" si="2"/>
        <v>-1</v>
      </c>
      <c r="L13" s="22"/>
    </row>
    <row r="14" spans="1:12" ht="11.25" customHeight="1">
      <c r="A14" s="141" t="s">
        <v>47</v>
      </c>
      <c r="B14" s="284">
        <v>1.2442553500000002</v>
      </c>
      <c r="C14" s="245">
        <v>2.6065302924999996</v>
      </c>
      <c r="D14" s="285">
        <v>3.2844926224999997</v>
      </c>
      <c r="E14" s="284">
        <v>2.45639E-2</v>
      </c>
      <c r="F14" s="325">
        <f>IF(E14=0,"",D14/E14-1)</f>
        <v>132.71218017090118</v>
      </c>
      <c r="G14" s="284">
        <v>10.244491575</v>
      </c>
      <c r="H14" s="245">
        <v>8.0604177100000012</v>
      </c>
      <c r="I14" s="325">
        <f t="shared" si="0"/>
        <v>0.27096286366032496</v>
      </c>
      <c r="J14" s="284">
        <v>96.16921034546877</v>
      </c>
      <c r="K14" s="325">
        <f t="shared" si="2"/>
        <v>-0.91618504840536219</v>
      </c>
      <c r="L14" s="22"/>
    </row>
    <row r="15" spans="1:12" ht="11.25" customHeight="1">
      <c r="A15" s="140" t="s">
        <v>48</v>
      </c>
      <c r="B15" s="282">
        <v>13.388166422499999</v>
      </c>
      <c r="C15" s="244">
        <v>17.571160589999998</v>
      </c>
      <c r="D15" s="283">
        <v>28.032808269999997</v>
      </c>
      <c r="E15" s="282">
        <v>19.396027994999997</v>
      </c>
      <c r="F15" s="250">
        <f t="shared" si="1"/>
        <v>0.44528602852225374</v>
      </c>
      <c r="G15" s="282">
        <v>112.68767763999999</v>
      </c>
      <c r="H15" s="244">
        <v>106.3829947025</v>
      </c>
      <c r="I15" s="250">
        <f>IF(H15=0,"",G15/H15-1)</f>
        <v>5.9264010710837978E-2</v>
      </c>
      <c r="J15" s="282">
        <v>76.464057187500003</v>
      </c>
      <c r="K15" s="250">
        <f t="shared" si="2"/>
        <v>0.39128106218108205</v>
      </c>
      <c r="L15" s="22"/>
    </row>
    <row r="16" spans="1:12" ht="11.25" customHeight="1">
      <c r="A16" s="141" t="s">
        <v>49</v>
      </c>
      <c r="B16" s="284">
        <v>6.0227819250000012</v>
      </c>
      <c r="C16" s="245">
        <v>6.3462431249999991</v>
      </c>
      <c r="D16" s="285">
        <v>5.730149074999999</v>
      </c>
      <c r="E16" s="284">
        <v>2.4690675999999998</v>
      </c>
      <c r="F16" s="325">
        <f t="shared" si="1"/>
        <v>1.3207744798076813</v>
      </c>
      <c r="G16" s="284">
        <v>41.094498732500007</v>
      </c>
      <c r="H16" s="245">
        <v>21.020305515</v>
      </c>
      <c r="I16" s="325">
        <f t="shared" si="0"/>
        <v>0.95499055440346226</v>
      </c>
      <c r="J16" s="284">
        <v>31.618054317499997</v>
      </c>
      <c r="K16" s="325">
        <f t="shared" si="2"/>
        <v>-0.33518029591828302</v>
      </c>
      <c r="L16" s="22"/>
    </row>
    <row r="17" spans="1:12" ht="11.25" customHeight="1">
      <c r="A17" s="140" t="s">
        <v>30</v>
      </c>
      <c r="B17" s="282">
        <v>62.385008147499988</v>
      </c>
      <c r="C17" s="244">
        <v>57.124060049999997</v>
      </c>
      <c r="D17" s="283">
        <v>54.256861282500005</v>
      </c>
      <c r="E17" s="282">
        <v>55.064190197499997</v>
      </c>
      <c r="F17" s="250">
        <f t="shared" si="1"/>
        <v>-1.4661596077311323E-2</v>
      </c>
      <c r="G17" s="282">
        <v>374.22773975749999</v>
      </c>
      <c r="H17" s="244">
        <v>350.62904399749999</v>
      </c>
      <c r="I17" s="250">
        <f>IF(H17=0,"",G17/H17-1)</f>
        <v>6.7303881877418759E-2</v>
      </c>
      <c r="J17" s="282">
        <v>341.36199789999995</v>
      </c>
      <c r="K17" s="250">
        <f t="shared" si="2"/>
        <v>2.7147269334341084E-2</v>
      </c>
      <c r="L17" s="22"/>
    </row>
    <row r="18" spans="1:12" ht="11.25" customHeight="1">
      <c r="A18" s="141" t="s">
        <v>29</v>
      </c>
      <c r="B18" s="284">
        <v>161.12612990250003</v>
      </c>
      <c r="C18" s="245">
        <v>159.5248791475</v>
      </c>
      <c r="D18" s="285">
        <v>134.0867127425</v>
      </c>
      <c r="E18" s="284">
        <v>161.8844647825</v>
      </c>
      <c r="F18" s="325">
        <f t="shared" si="1"/>
        <v>-0.17171352468779322</v>
      </c>
      <c r="G18" s="284">
        <v>863.7040409650001</v>
      </c>
      <c r="H18" s="245">
        <v>800.99519206749994</v>
      </c>
      <c r="I18" s="325">
        <f>IF(H18=0,"",G18/H18-1)</f>
        <v>7.8288670791691439E-2</v>
      </c>
      <c r="J18" s="284">
        <v>795.12044744499997</v>
      </c>
      <c r="K18" s="325">
        <f t="shared" si="2"/>
        <v>7.3884964741852688E-3</v>
      </c>
      <c r="L18" s="22"/>
    </row>
    <row r="19" spans="1:12" ht="11.25" customHeight="1">
      <c r="A19" s="146" t="s">
        <v>42</v>
      </c>
      <c r="B19" s="286">
        <f>SUM(B6:B18)</f>
        <v>4326.8283334224998</v>
      </c>
      <c r="C19" s="287">
        <f>SUM(C6:C18)</f>
        <v>4528.8096993324998</v>
      </c>
      <c r="D19" s="575">
        <f>SUM(D6:D18)</f>
        <v>4438.198389709999</v>
      </c>
      <c r="E19" s="286">
        <f>SUM(E6:E18)</f>
        <v>3756.7117709450013</v>
      </c>
      <c r="F19" s="326">
        <f>IF(E19=0,"",D19/E19-1)</f>
        <v>0.18140508516935538</v>
      </c>
      <c r="G19" s="286">
        <f>SUM(G6:G18)</f>
        <v>26624.930628644997</v>
      </c>
      <c r="H19" s="287">
        <f>SUM(H6:H18)</f>
        <v>23143.706118089998</v>
      </c>
      <c r="I19" s="326">
        <f>IF(H19=0,"",G19/H19-1)</f>
        <v>0.15041776337774793</v>
      </c>
      <c r="J19" s="286">
        <f>SUM(J6:J18)</f>
        <v>26348.143163722511</v>
      </c>
      <c r="K19" s="326">
        <f t="shared" si="2"/>
        <v>-0.1216190843400512</v>
      </c>
      <c r="L19" s="30"/>
    </row>
    <row r="20" spans="1:12" ht="11.25" customHeight="1">
      <c r="A20" s="22"/>
      <c r="B20" s="22"/>
      <c r="C20" s="22"/>
      <c r="D20" s="22"/>
      <c r="E20" s="22"/>
      <c r="F20" s="22"/>
      <c r="G20" s="22"/>
      <c r="H20" s="22"/>
      <c r="I20" s="22"/>
      <c r="J20" s="22"/>
      <c r="K20" s="22"/>
      <c r="L20" s="22"/>
    </row>
    <row r="21" spans="1:12" ht="11.25" customHeight="1">
      <c r="A21" s="142" t="s">
        <v>39</v>
      </c>
      <c r="B21" s="232">
        <v>3.9899851899999996</v>
      </c>
      <c r="C21" s="233">
        <v>16.988557740000001</v>
      </c>
      <c r="D21" s="305">
        <v>7.6836916000000022</v>
      </c>
      <c r="E21" s="559">
        <v>16.997148410000001</v>
      </c>
      <c r="F21" s="120">
        <f>IF(E21=0,"",D21/E21-1)</f>
        <v>-0.54794231275409555</v>
      </c>
      <c r="G21" s="232">
        <v>28.662234530000003</v>
      </c>
      <c r="H21" s="304">
        <v>22.616474610000001</v>
      </c>
      <c r="I21" s="123">
        <f>IF(H21=0,"",G21/H21-1)</f>
        <v>0.26731663640127334</v>
      </c>
      <c r="J21" s="232">
        <v>29.997176460000002</v>
      </c>
      <c r="K21" s="120">
        <f>IF(J21=0,"",H21/J21-1)</f>
        <v>-0.24604655240941964</v>
      </c>
      <c r="L21" s="22"/>
    </row>
    <row r="22" spans="1:12" ht="11.25" customHeight="1">
      <c r="A22" s="143" t="s">
        <v>40</v>
      </c>
      <c r="B22" s="229">
        <v>0</v>
      </c>
      <c r="C22" s="230">
        <v>0</v>
      </c>
      <c r="D22" s="231">
        <v>0</v>
      </c>
      <c r="E22" s="560">
        <v>0</v>
      </c>
      <c r="F22" s="558" t="str">
        <f>IF(E22=0,"",D22/E22-1)</f>
        <v/>
      </c>
      <c r="G22" s="229">
        <v>0</v>
      </c>
      <c r="H22" s="230">
        <v>0</v>
      </c>
      <c r="I22" s="115" t="str">
        <f>IF(H22=0,"",G22/H22-1)</f>
        <v/>
      </c>
      <c r="J22" s="229">
        <v>0</v>
      </c>
      <c r="K22" s="121" t="str">
        <f>IF(J22=0,"",H22/J22-1)</f>
        <v/>
      </c>
      <c r="L22" s="22"/>
    </row>
    <row r="23" spans="1:12" ht="23.25" customHeight="1">
      <c r="A23" s="144" t="s">
        <v>41</v>
      </c>
      <c r="B23" s="242">
        <f>+B22-B21</f>
        <v>-3.9899851899999996</v>
      </c>
      <c r="C23" s="243">
        <f>+C22-C21</f>
        <v>-16.988557740000001</v>
      </c>
      <c r="D23" s="327">
        <f>+D22-D21</f>
        <v>-7.6836916000000022</v>
      </c>
      <c r="E23" s="561">
        <f>+E22-E21</f>
        <v>-16.997148410000001</v>
      </c>
      <c r="F23" s="243"/>
      <c r="G23" s="242">
        <f>+G22-G21</f>
        <v>-28.662234530000003</v>
      </c>
      <c r="H23" s="243">
        <f>+H22-H21</f>
        <v>-22.616474610000001</v>
      </c>
      <c r="I23" s="124"/>
      <c r="J23" s="242">
        <f>+J22-J21</f>
        <v>-29.997176460000002</v>
      </c>
      <c r="K23" s="122"/>
      <c r="L23" s="30"/>
    </row>
    <row r="24" spans="1:12" ht="11.25" customHeight="1">
      <c r="A24" s="227" t="s">
        <v>220</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27"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5">
    <mergeCell ref="A2:K2"/>
    <mergeCell ref="B4:D4"/>
    <mergeCell ref="E4:F4"/>
    <mergeCell ref="G4:K4"/>
    <mergeCell ref="A4:A5"/>
  </mergeCells>
  <pageMargins left="0.40333333333333332" right="0.70866141732283472" top="1.0236220472440944" bottom="0.62992125984251968" header="0.31496062992125984" footer="0.31496062992125984"/>
  <pageSetup paperSize="9" scale="88" orientation="portrait" r:id="rId1"/>
  <headerFooter>
    <oddHeader>&amp;R&amp;7Informe de la Operación Mensual - Junio 2021
INFSGI-MES-06-2021
12/07/2021
Versión: 01</oddHeader>
    <oddFooter>&amp;L&amp;7COES, 2021&amp;C4&amp;R&amp;7Dirección Ejecutiva
Sub Dirección de Gestión de Información</oddFooter>
  </headerFooter>
  <ignoredErrors>
    <ignoredError sqref="K19 G19 C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15" workbookViewId="0">
      <selection activeCell="G5" sqref="G5"/>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444"/>
  </cols>
  <sheetData>
    <row r="1" spans="1:12" ht="11.25" customHeight="1"/>
    <row r="2" spans="1:12" ht="11.25" customHeight="1">
      <c r="A2" s="846" t="s">
        <v>228</v>
      </c>
      <c r="B2" s="846"/>
      <c r="C2" s="846"/>
      <c r="D2" s="846"/>
      <c r="E2" s="846"/>
      <c r="F2" s="846"/>
      <c r="G2" s="846"/>
      <c r="H2" s="846"/>
      <c r="I2" s="846"/>
      <c r="J2" s="846"/>
      <c r="K2" s="846"/>
      <c r="L2" s="445"/>
    </row>
    <row r="3" spans="1:12" ht="11.25" customHeight="1">
      <c r="A3" s="74"/>
      <c r="B3" s="73"/>
      <c r="C3" s="73"/>
      <c r="D3" s="73"/>
      <c r="E3" s="73"/>
      <c r="F3" s="73"/>
      <c r="G3" s="73"/>
      <c r="H3" s="73"/>
      <c r="I3" s="73"/>
      <c r="J3" s="73"/>
      <c r="K3" s="73"/>
      <c r="L3" s="445"/>
    </row>
    <row r="4" spans="1:12" ht="15.75" customHeight="1">
      <c r="A4" s="844" t="s">
        <v>224</v>
      </c>
      <c r="B4" s="841" t="s">
        <v>33</v>
      </c>
      <c r="C4" s="842"/>
      <c r="D4" s="842"/>
      <c r="E4" s="842" t="s">
        <v>34</v>
      </c>
      <c r="F4" s="842"/>
      <c r="G4" s="843" t="str">
        <f>+'4. Tipo Recurso'!G4:K4</f>
        <v>Generación Acumulada a junio</v>
      </c>
      <c r="H4" s="843"/>
      <c r="I4" s="843"/>
      <c r="J4" s="843"/>
      <c r="K4" s="843"/>
      <c r="L4" s="446"/>
    </row>
    <row r="5" spans="1:12" ht="29.25" customHeight="1">
      <c r="A5" s="844"/>
      <c r="B5" s="371">
        <f>+'4. Tipo Recurso'!B5</f>
        <v>44290</v>
      </c>
      <c r="C5" s="371">
        <f>+'4. Tipo Recurso'!C5</f>
        <v>44320</v>
      </c>
      <c r="D5" s="371">
        <f>+'4. Tipo Recurso'!D5</f>
        <v>44348</v>
      </c>
      <c r="E5" s="371">
        <f>+'4. Tipo Recurso'!E5</f>
        <v>43983</v>
      </c>
      <c r="F5" s="371" t="s">
        <v>35</v>
      </c>
      <c r="G5" s="373">
        <v>2021</v>
      </c>
      <c r="H5" s="373">
        <v>2020</v>
      </c>
      <c r="I5" s="372" t="s">
        <v>498</v>
      </c>
      <c r="J5" s="373">
        <v>2019</v>
      </c>
      <c r="K5" s="372" t="s">
        <v>458</v>
      </c>
      <c r="L5" s="447"/>
    </row>
    <row r="6" spans="1:12" ht="11.25" customHeight="1">
      <c r="A6" s="139" t="s">
        <v>44</v>
      </c>
      <c r="B6" s="279">
        <v>241.65785923999996</v>
      </c>
      <c r="C6" s="280">
        <v>209.08782491499994</v>
      </c>
      <c r="D6" s="281">
        <v>164.32338348750002</v>
      </c>
      <c r="E6" s="279">
        <v>143.43081614249999</v>
      </c>
      <c r="F6" s="249">
        <f t="shared" ref="F6:F11" si="0">IF(E6=0,"",D6/E6-1)</f>
        <v>0.14566303049020557</v>
      </c>
      <c r="G6" s="279">
        <v>1355.7110774300002</v>
      </c>
      <c r="H6" s="280">
        <v>1270.3747325024999</v>
      </c>
      <c r="I6" s="253">
        <f t="shared" ref="I6:I11" si="1">IF(H6=0,"",G6/H6-1)</f>
        <v>6.7174151645315705E-2</v>
      </c>
      <c r="J6" s="279">
        <v>958.31141548750008</v>
      </c>
      <c r="K6" s="249">
        <f t="shared" ref="K6:K11" si="2">IF(J6=0,"",H6/J6-1)</f>
        <v>0.32563873493696294</v>
      </c>
      <c r="L6" s="448"/>
    </row>
    <row r="7" spans="1:12" ht="11.25" customHeight="1">
      <c r="A7" s="140" t="s">
        <v>38</v>
      </c>
      <c r="B7" s="282">
        <v>161.12612990250003</v>
      </c>
      <c r="C7" s="244">
        <v>159.5248791475</v>
      </c>
      <c r="D7" s="283">
        <v>134.0867127425</v>
      </c>
      <c r="E7" s="282">
        <v>161.8844647825</v>
      </c>
      <c r="F7" s="250">
        <f t="shared" si="0"/>
        <v>-0.17171352468779322</v>
      </c>
      <c r="G7" s="282">
        <v>863.7040409650001</v>
      </c>
      <c r="H7" s="244">
        <v>800.99519206749994</v>
      </c>
      <c r="I7" s="239">
        <f t="shared" si="1"/>
        <v>7.8288670791691439E-2</v>
      </c>
      <c r="J7" s="282">
        <v>795.12044744499997</v>
      </c>
      <c r="K7" s="250">
        <f t="shared" si="2"/>
        <v>7.3884964741852688E-3</v>
      </c>
      <c r="L7" s="448"/>
    </row>
    <row r="8" spans="1:12" ht="11.25" customHeight="1">
      <c r="A8" s="247" t="s">
        <v>30</v>
      </c>
      <c r="B8" s="334">
        <v>62.385008147499988</v>
      </c>
      <c r="C8" s="288">
        <v>57.124060049999997</v>
      </c>
      <c r="D8" s="335">
        <v>54.256861282500005</v>
      </c>
      <c r="E8" s="334">
        <v>55.064190197499997</v>
      </c>
      <c r="F8" s="251">
        <f t="shared" si="0"/>
        <v>-1.4661596077311323E-2</v>
      </c>
      <c r="G8" s="334">
        <v>374.22773975749999</v>
      </c>
      <c r="H8" s="288">
        <v>350.62904399749999</v>
      </c>
      <c r="I8" s="246">
        <f t="shared" si="1"/>
        <v>6.7303881877418759E-2</v>
      </c>
      <c r="J8" s="334">
        <v>341.36199789999995</v>
      </c>
      <c r="K8" s="251">
        <f t="shared" si="2"/>
        <v>2.7147269334341084E-2</v>
      </c>
      <c r="L8" s="448"/>
    </row>
    <row r="9" spans="1:12" ht="11.25" customHeight="1">
      <c r="A9" s="140" t="s">
        <v>48</v>
      </c>
      <c r="B9" s="282">
        <v>13.388166422499999</v>
      </c>
      <c r="C9" s="244">
        <v>17.571160589999998</v>
      </c>
      <c r="D9" s="283">
        <v>28.032808269999997</v>
      </c>
      <c r="E9" s="282">
        <v>19.396027994999997</v>
      </c>
      <c r="F9" s="250">
        <f t="shared" si="0"/>
        <v>0.44528602852225374</v>
      </c>
      <c r="G9" s="282">
        <v>112.68767763999999</v>
      </c>
      <c r="H9" s="244">
        <v>106.3829947025</v>
      </c>
      <c r="I9" s="239">
        <f t="shared" si="1"/>
        <v>5.9264010710837978E-2</v>
      </c>
      <c r="J9" s="282">
        <v>76.464057187500003</v>
      </c>
      <c r="K9" s="250">
        <f t="shared" si="2"/>
        <v>0.39128106218108205</v>
      </c>
      <c r="L9" s="449"/>
    </row>
    <row r="10" spans="1:12" ht="11.25" customHeight="1">
      <c r="A10" s="248" t="s">
        <v>49</v>
      </c>
      <c r="B10" s="336">
        <v>6.0227819250000012</v>
      </c>
      <c r="C10" s="337">
        <v>6.3462431249999991</v>
      </c>
      <c r="D10" s="338">
        <v>5.730149074999999</v>
      </c>
      <c r="E10" s="336">
        <v>2.4690675999999998</v>
      </c>
      <c r="F10" s="252">
        <f t="shared" si="0"/>
        <v>1.3207744798076813</v>
      </c>
      <c r="G10" s="336">
        <v>41.094498732500007</v>
      </c>
      <c r="H10" s="337">
        <v>21.020305515</v>
      </c>
      <c r="I10" s="254">
        <f t="shared" si="1"/>
        <v>0.95499055440346226</v>
      </c>
      <c r="J10" s="336">
        <v>31.618054317499997</v>
      </c>
      <c r="K10" s="252">
        <f t="shared" si="2"/>
        <v>-0.33518029591828302</v>
      </c>
      <c r="L10" s="448"/>
    </row>
    <row r="11" spans="1:12" ht="11.25" customHeight="1">
      <c r="A11" s="255" t="s">
        <v>221</v>
      </c>
      <c r="B11" s="317">
        <f>+B6+B7+B8+B9+B10</f>
        <v>484.57994563749997</v>
      </c>
      <c r="C11" s="318">
        <f t="shared" ref="C11:D11" si="3">+C6+C7+C8+C9+C10</f>
        <v>449.65416782749992</v>
      </c>
      <c r="D11" s="319">
        <f t="shared" si="3"/>
        <v>386.42991485749997</v>
      </c>
      <c r="E11" s="320">
        <f>+E6+E7+E8+E9+E10</f>
        <v>382.24456671750005</v>
      </c>
      <c r="F11" s="256">
        <f t="shared" si="0"/>
        <v>1.0949398642710051E-2</v>
      </c>
      <c r="G11" s="332">
        <f>+G6+G7+G8+G9+G10</f>
        <v>2747.4250345250002</v>
      </c>
      <c r="H11" s="333">
        <f>+H6+H7+H8+H9+H10</f>
        <v>2549.4022687850002</v>
      </c>
      <c r="I11" s="257">
        <f t="shared" si="1"/>
        <v>7.7674193737331976E-2</v>
      </c>
      <c r="J11" s="332">
        <f>+J6+J7+J8+J9+J10</f>
        <v>2202.8759723375001</v>
      </c>
      <c r="K11" s="256">
        <f t="shared" si="2"/>
        <v>0.1573063126562666</v>
      </c>
      <c r="L11" s="446"/>
    </row>
    <row r="12" spans="1:12" ht="24.75" customHeight="1">
      <c r="A12" s="258" t="s">
        <v>222</v>
      </c>
      <c r="B12" s="259">
        <f>B11/'4. Tipo Recurso'!B19</f>
        <v>0.11199426191567892</v>
      </c>
      <c r="C12" s="573">
        <f>C11/'4. Tipo Recurso'!C19</f>
        <v>9.9287494436733417E-2</v>
      </c>
      <c r="D12" s="452">
        <f>D11/'4. Tipo Recurso'!D19</f>
        <v>8.7069094467124547E-2</v>
      </c>
      <c r="E12" s="259">
        <f>E11/'4. Tipo Recurso'!E19</f>
        <v>0.10174977214750398</v>
      </c>
      <c r="F12" s="260"/>
      <c r="G12" s="259">
        <f>G11/'4. Tipo Recurso'!G19</f>
        <v>0.10318994151928887</v>
      </c>
      <c r="H12" s="257">
        <f>H11/'4. Tipo Recurso'!H19</f>
        <v>0.11015531634288644</v>
      </c>
      <c r="I12" s="257"/>
      <c r="J12" s="259">
        <f>J11/'4. Tipo Recurso'!J19</f>
        <v>8.3606497757706663E-2</v>
      </c>
      <c r="K12" s="260"/>
      <c r="L12" s="446"/>
    </row>
    <row r="13" spans="1:12" ht="11.25" customHeight="1">
      <c r="A13" s="261" t="s">
        <v>223</v>
      </c>
      <c r="B13" s="134"/>
      <c r="C13" s="134"/>
      <c r="D13" s="134"/>
      <c r="E13" s="134"/>
      <c r="F13" s="134"/>
      <c r="G13" s="134"/>
      <c r="H13" s="134"/>
      <c r="I13" s="134"/>
      <c r="J13" s="134"/>
      <c r="K13" s="135"/>
      <c r="L13" s="446"/>
    </row>
    <row r="14" spans="1:12" ht="35.25" customHeight="1">
      <c r="A14" s="847" t="s">
        <v>452</v>
      </c>
      <c r="B14" s="847"/>
      <c r="C14" s="847"/>
      <c r="D14" s="847"/>
      <c r="E14" s="847"/>
      <c r="F14" s="847"/>
      <c r="G14" s="847"/>
      <c r="H14" s="847"/>
      <c r="I14" s="847"/>
      <c r="J14" s="847"/>
      <c r="K14" s="847"/>
      <c r="L14" s="446"/>
    </row>
    <row r="15" spans="1:12" ht="11.25" customHeight="1">
      <c r="A15" s="31"/>
      <c r="L15" s="446"/>
    </row>
    <row r="16" spans="1:12" ht="11.25" customHeight="1">
      <c r="A16" s="136"/>
      <c r="B16" s="147"/>
      <c r="C16" s="147"/>
      <c r="D16" s="147"/>
      <c r="E16" s="147"/>
      <c r="F16" s="147"/>
      <c r="G16" s="147"/>
      <c r="H16" s="147"/>
      <c r="I16" s="147"/>
      <c r="J16" s="147"/>
      <c r="K16" s="147"/>
      <c r="L16" s="446"/>
    </row>
    <row r="17" spans="1:12" ht="11.25" customHeight="1">
      <c r="A17" s="147"/>
      <c r="B17" s="147"/>
      <c r="C17" s="147"/>
      <c r="D17" s="147"/>
      <c r="E17" s="147"/>
      <c r="F17" s="147"/>
      <c r="G17" s="147"/>
      <c r="H17" s="147"/>
      <c r="I17" s="147"/>
      <c r="J17" s="147"/>
      <c r="K17" s="147"/>
      <c r="L17" s="446"/>
    </row>
    <row r="18" spans="1:12" ht="11.25" customHeight="1">
      <c r="A18" s="147"/>
      <c r="B18" s="147"/>
      <c r="C18" s="147"/>
      <c r="D18" s="147"/>
      <c r="E18" s="147"/>
      <c r="F18" s="147"/>
      <c r="G18" s="147"/>
      <c r="H18" s="147"/>
      <c r="I18" s="147"/>
      <c r="J18" s="147"/>
      <c r="K18" s="147"/>
      <c r="L18" s="450"/>
    </row>
    <row r="19" spans="1:12" ht="11.25" customHeight="1">
      <c r="A19" s="136"/>
      <c r="B19" s="138"/>
      <c r="C19" s="138"/>
      <c r="D19" s="138"/>
      <c r="E19" s="138"/>
      <c r="F19" s="138"/>
      <c r="G19" s="138"/>
      <c r="H19" s="138"/>
      <c r="I19" s="138"/>
      <c r="J19" s="138"/>
      <c r="K19" s="138"/>
      <c r="L19" s="446"/>
    </row>
    <row r="20" spans="1:12" ht="11.25" customHeight="1">
      <c r="A20" s="136"/>
      <c r="B20" s="138"/>
      <c r="C20" s="138"/>
      <c r="D20" s="138"/>
      <c r="E20" s="138"/>
      <c r="F20" s="138"/>
      <c r="G20" s="138"/>
      <c r="H20" s="138"/>
      <c r="I20" s="138"/>
      <c r="J20" s="138"/>
      <c r="K20" s="138"/>
      <c r="L20" s="446"/>
    </row>
    <row r="21" spans="1:12" ht="11.25" customHeight="1">
      <c r="A21" s="136"/>
      <c r="B21" s="138"/>
      <c r="C21" s="138"/>
      <c r="D21" s="138"/>
      <c r="E21" s="138"/>
      <c r="F21" s="138"/>
      <c r="G21" s="138"/>
      <c r="H21" s="138"/>
      <c r="I21" s="138"/>
      <c r="J21" s="138"/>
      <c r="K21" s="138"/>
      <c r="L21" s="446"/>
    </row>
    <row r="22" spans="1:12" ht="11.25" customHeight="1">
      <c r="A22" s="136"/>
      <c r="B22" s="138"/>
      <c r="C22" s="138"/>
      <c r="D22" s="138"/>
      <c r="E22" s="138"/>
      <c r="F22" s="138"/>
      <c r="G22" s="138"/>
      <c r="H22" s="138"/>
      <c r="I22" s="138"/>
      <c r="J22" s="138"/>
      <c r="K22" s="138"/>
      <c r="L22" s="450"/>
    </row>
    <row r="23" spans="1:12" ht="11.25" customHeight="1">
      <c r="A23" s="136"/>
      <c r="B23" s="138"/>
      <c r="C23" s="138"/>
      <c r="D23" s="138"/>
      <c r="E23" s="138"/>
      <c r="F23" s="138"/>
      <c r="G23" s="138"/>
      <c r="H23" s="138"/>
      <c r="I23" s="138"/>
      <c r="J23" s="138"/>
      <c r="K23" s="138"/>
      <c r="L23" s="446"/>
    </row>
    <row r="24" spans="1:12" ht="11.25" customHeight="1">
      <c r="A24" s="136"/>
      <c r="B24" s="138"/>
      <c r="C24" s="138"/>
      <c r="D24" s="138"/>
      <c r="E24" s="138"/>
      <c r="F24" s="138"/>
      <c r="G24" s="138"/>
      <c r="H24" s="138"/>
      <c r="I24" s="138"/>
      <c r="J24" s="138"/>
      <c r="K24" s="138"/>
      <c r="L24" s="446"/>
    </row>
    <row r="25" spans="1:12" ht="11.25" customHeight="1">
      <c r="A25" s="136"/>
      <c r="B25" s="138"/>
      <c r="C25" s="138"/>
      <c r="D25" s="138"/>
      <c r="E25" s="138"/>
      <c r="F25" s="138"/>
      <c r="G25" s="138"/>
      <c r="H25" s="138"/>
      <c r="I25" s="138"/>
      <c r="J25" s="138"/>
      <c r="K25" s="138"/>
      <c r="L25" s="446"/>
    </row>
    <row r="26" spans="1:12" ht="11.25" customHeight="1">
      <c r="A26" s="136"/>
      <c r="B26" s="138"/>
      <c r="C26" s="138"/>
      <c r="D26" s="138"/>
      <c r="E26" s="138"/>
      <c r="F26" s="138"/>
      <c r="G26" s="138"/>
      <c r="H26" s="138"/>
      <c r="I26" s="138"/>
      <c r="J26" s="138"/>
      <c r="K26" s="138"/>
      <c r="L26" s="446"/>
    </row>
    <row r="27" spans="1:12" ht="11.25" customHeight="1">
      <c r="A27" s="136"/>
      <c r="B27" s="138"/>
      <c r="C27" s="138"/>
      <c r="D27" s="138"/>
      <c r="E27" s="138"/>
      <c r="F27" s="138"/>
      <c r="G27" s="138"/>
      <c r="H27" s="138"/>
      <c r="I27" s="138"/>
      <c r="J27" s="138"/>
      <c r="K27" s="138"/>
      <c r="L27" s="446"/>
    </row>
    <row r="28" spans="1:12" ht="11.25" customHeight="1">
      <c r="A28" s="136"/>
      <c r="B28" s="138"/>
      <c r="C28" s="138"/>
      <c r="D28" s="138"/>
      <c r="E28" s="138"/>
      <c r="F28" s="138"/>
      <c r="G28" s="138"/>
      <c r="H28" s="138"/>
      <c r="I28" s="138"/>
      <c r="J28" s="138"/>
      <c r="K28" s="138"/>
      <c r="L28" s="446"/>
    </row>
    <row r="29" spans="1:12" ht="11.25" customHeight="1">
      <c r="A29" s="136"/>
      <c r="B29" s="138"/>
      <c r="C29" s="138"/>
      <c r="D29" s="138"/>
      <c r="E29" s="138"/>
      <c r="F29" s="138"/>
      <c r="G29" s="138"/>
      <c r="H29" s="138"/>
      <c r="I29" s="138"/>
      <c r="J29" s="138"/>
      <c r="K29" s="138"/>
      <c r="L29" s="446"/>
    </row>
    <row r="30" spans="1:12" ht="11.25" customHeight="1">
      <c r="A30" s="136"/>
      <c r="B30" s="138"/>
      <c r="C30" s="138"/>
      <c r="D30" s="138"/>
      <c r="E30" s="138"/>
      <c r="F30" s="138"/>
      <c r="G30" s="138"/>
      <c r="H30" s="138"/>
      <c r="I30" s="138"/>
      <c r="J30" s="138"/>
      <c r="K30" s="138"/>
      <c r="L30" s="446"/>
    </row>
    <row r="31" spans="1:12" ht="11.25" customHeight="1">
      <c r="A31" s="136"/>
      <c r="B31" s="138"/>
      <c r="C31" s="138"/>
      <c r="D31" s="138"/>
      <c r="E31" s="138"/>
      <c r="F31" s="138"/>
      <c r="G31" s="138"/>
      <c r="H31" s="138"/>
      <c r="I31" s="138"/>
      <c r="J31" s="138"/>
      <c r="K31" s="138"/>
      <c r="L31" s="446"/>
    </row>
    <row r="32" spans="1:12" ht="11.25" customHeight="1">
      <c r="A32" s="136"/>
      <c r="B32" s="138"/>
      <c r="C32" s="138"/>
      <c r="D32" s="138"/>
      <c r="E32" s="138"/>
      <c r="F32" s="138"/>
      <c r="G32" s="138"/>
      <c r="H32" s="138"/>
      <c r="I32" s="138"/>
      <c r="J32" s="138"/>
      <c r="K32" s="138"/>
      <c r="L32" s="446"/>
    </row>
    <row r="33" spans="1:16" ht="11.25" customHeight="1">
      <c r="A33" s="136"/>
      <c r="B33" s="138"/>
      <c r="C33" s="138"/>
      <c r="D33" s="138"/>
      <c r="E33" s="138"/>
      <c r="F33" s="138"/>
      <c r="G33" s="138"/>
      <c r="H33" s="138"/>
      <c r="I33" s="138"/>
      <c r="J33" s="138"/>
      <c r="K33" s="138"/>
      <c r="L33" s="446"/>
    </row>
    <row r="34" spans="1:16" ht="11.25" customHeight="1">
      <c r="A34" s="845"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4" s="845"/>
      <c r="C34" s="845"/>
      <c r="D34" s="845"/>
      <c r="E34" s="845"/>
      <c r="F34" s="845"/>
      <c r="G34" s="845"/>
      <c r="H34" s="845"/>
      <c r="I34" s="845"/>
      <c r="J34" s="845"/>
      <c r="K34" s="845"/>
      <c r="L34" s="622"/>
      <c r="M34" s="278"/>
      <c r="N34" s="278"/>
      <c r="O34" s="278"/>
    </row>
    <row r="35" spans="1:16" ht="11.25" customHeight="1">
      <c r="L35" s="623"/>
      <c r="M35" s="278"/>
      <c r="N35" s="278"/>
      <c r="O35" s="278"/>
    </row>
    <row r="36" spans="1:16" ht="11.25" customHeight="1">
      <c r="A36" s="136"/>
      <c r="B36" s="138"/>
      <c r="C36" s="138"/>
      <c r="D36" s="138"/>
      <c r="E36" s="138"/>
      <c r="F36" s="138"/>
      <c r="G36" s="138"/>
      <c r="H36" s="138"/>
      <c r="I36" s="138"/>
      <c r="J36" s="138"/>
      <c r="K36" s="138"/>
      <c r="L36" s="622"/>
      <c r="M36" s="278"/>
      <c r="N36" s="278"/>
      <c r="O36" s="278"/>
    </row>
    <row r="37" spans="1:16" ht="11.25" customHeight="1">
      <c r="A37" s="136"/>
      <c r="B37" s="138"/>
      <c r="C37" s="138"/>
      <c r="D37" s="138"/>
      <c r="E37" s="138"/>
      <c r="F37" s="138"/>
      <c r="G37" s="138"/>
      <c r="H37" s="138"/>
      <c r="I37" s="138"/>
      <c r="J37" s="138"/>
      <c r="K37" s="138"/>
      <c r="L37" s="622"/>
      <c r="M37" s="278"/>
      <c r="N37" s="278"/>
      <c r="O37" s="278"/>
    </row>
    <row r="38" spans="1:16" ht="11.25" customHeight="1">
      <c r="A38" s="136"/>
      <c r="B38" s="138"/>
      <c r="C38" s="138"/>
      <c r="D38" s="138"/>
      <c r="E38" s="138"/>
      <c r="F38" s="138"/>
      <c r="G38" s="138"/>
      <c r="H38" s="138"/>
      <c r="I38" s="138"/>
      <c r="J38" s="138"/>
      <c r="K38" s="138"/>
      <c r="L38" s="622"/>
      <c r="M38" s="278"/>
      <c r="N38" s="278"/>
      <c r="O38" s="278"/>
    </row>
    <row r="39" spans="1:16" ht="11.25" customHeight="1">
      <c r="A39" s="136"/>
      <c r="B39" s="138"/>
      <c r="C39" s="262" t="s">
        <v>226</v>
      </c>
      <c r="D39" s="158"/>
      <c r="E39" s="158"/>
      <c r="F39" s="331">
        <f>+'4. Tipo Recurso'!D19</f>
        <v>4438.198389709999</v>
      </c>
      <c r="G39" s="262" t="s">
        <v>225</v>
      </c>
      <c r="H39" s="138"/>
      <c r="I39" s="138"/>
      <c r="J39" s="138"/>
      <c r="K39" s="138"/>
      <c r="L39" s="622"/>
      <c r="M39" s="624">
        <f>+F39-F40</f>
        <v>4051.7683897099992</v>
      </c>
      <c r="N39" s="278"/>
      <c r="O39" s="278"/>
      <c r="P39" s="451"/>
    </row>
    <row r="40" spans="1:16" ht="11.25" customHeight="1">
      <c r="A40" s="136"/>
      <c r="B40" s="138"/>
      <c r="C40" s="262" t="s">
        <v>227</v>
      </c>
      <c r="D40" s="158"/>
      <c r="E40" s="158"/>
      <c r="F40" s="331">
        <f>ROUND(D11,2)</f>
        <v>386.43</v>
      </c>
      <c r="G40" s="262" t="s">
        <v>225</v>
      </c>
      <c r="H40" s="138"/>
      <c r="I40" s="138"/>
      <c r="J40" s="138"/>
      <c r="K40" s="138"/>
      <c r="L40" s="622"/>
      <c r="M40" s="625"/>
      <c r="N40" s="278"/>
      <c r="O40" s="278"/>
      <c r="P40" s="451"/>
    </row>
    <row r="41" spans="1:16" ht="11.25" customHeight="1">
      <c r="A41" s="136"/>
      <c r="B41" s="138"/>
      <c r="C41" s="138"/>
      <c r="D41" s="138"/>
      <c r="E41" s="138"/>
      <c r="F41" s="138"/>
      <c r="G41" s="138"/>
      <c r="H41" s="138"/>
      <c r="I41" s="138"/>
      <c r="J41" s="138"/>
      <c r="K41" s="138"/>
      <c r="L41" s="622"/>
      <c r="M41" s="278"/>
      <c r="N41" s="278"/>
      <c r="O41" s="278"/>
      <c r="P41" s="451"/>
    </row>
    <row r="42" spans="1:16" ht="11.25" customHeight="1">
      <c r="A42" s="136"/>
      <c r="B42" s="138"/>
      <c r="C42" s="138"/>
      <c r="D42" s="138"/>
      <c r="E42" s="138"/>
      <c r="F42" s="138"/>
      <c r="G42" s="138"/>
      <c r="H42" s="138"/>
      <c r="I42" s="138"/>
      <c r="J42" s="138"/>
      <c r="K42" s="138"/>
      <c r="L42" s="622"/>
      <c r="M42" s="278"/>
      <c r="N42" s="278"/>
      <c r="O42" s="278"/>
      <c r="P42" s="451"/>
    </row>
    <row r="43" spans="1:16" ht="11.25" customHeight="1">
      <c r="A43" s="136"/>
      <c r="B43" s="138"/>
      <c r="C43" s="138"/>
      <c r="D43" s="138"/>
      <c r="E43" s="138"/>
      <c r="F43" s="138"/>
      <c r="G43" s="138"/>
      <c r="H43" s="138"/>
      <c r="I43" s="138"/>
      <c r="J43" s="138"/>
      <c r="K43" s="138"/>
      <c r="L43" s="446"/>
      <c r="P43" s="451"/>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27" t="str">
        <f>"Gráfico N° 7: Participación de las RER en la Matriz de Generación del SEIN en "&amp;'1. Resumen'!Q4&amp;" "&amp;'1. Resumen'!Q5&amp;"."</f>
        <v>Gráfico N° 7: Participación de las RER en la Matriz de Generación del SEIN en junio 2021.</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95" workbookViewId="0">
      <selection activeCell="M35" sqref="M35"/>
    </sheetView>
  </sheetViews>
  <sheetFormatPr baseColWidth="10" defaultColWidth="9.28515625" defaultRowHeight="10.199999999999999"/>
  <cols>
    <col min="1" max="11" width="10.28515625" customWidth="1"/>
    <col min="12" max="12" width="21.140625" style="585" bestFit="1" customWidth="1"/>
    <col min="13" max="14" width="9.28515625" style="585"/>
    <col min="15" max="15" width="11.85546875" style="585" customWidth="1"/>
    <col min="16" max="19" width="9.28515625" style="585"/>
    <col min="20" max="20" width="15" style="585" customWidth="1"/>
    <col min="21" max="22" width="9.28515625" style="585"/>
    <col min="23" max="24" width="9.28515625" style="278"/>
    <col min="25" max="25" width="17.85546875" style="444" bestFit="1" customWidth="1"/>
  </cols>
  <sheetData>
    <row r="2" spans="1:25" ht="11.25" customHeight="1">
      <c r="A2" s="848" t="s">
        <v>232</v>
      </c>
      <c r="B2" s="848"/>
      <c r="C2" s="848"/>
      <c r="D2" s="848"/>
      <c r="E2" s="848"/>
      <c r="F2" s="848"/>
      <c r="G2" s="848"/>
      <c r="H2" s="848"/>
      <c r="I2" s="848"/>
      <c r="J2" s="848"/>
      <c r="K2" s="848"/>
    </row>
    <row r="3" spans="1:25" ht="11.25" customHeight="1"/>
    <row r="4" spans="1:25" ht="11.25" customHeight="1">
      <c r="L4" s="730" t="s">
        <v>54</v>
      </c>
      <c r="M4" s="731" t="s">
        <v>31</v>
      </c>
      <c r="N4" s="730"/>
      <c r="O4" s="732"/>
      <c r="P4" s="733"/>
      <c r="Q4" s="733"/>
    </row>
    <row r="5" spans="1:25" ht="10.5" customHeight="1">
      <c r="A5" s="149"/>
      <c r="B5" s="138"/>
      <c r="C5" s="138"/>
      <c r="D5" s="138"/>
      <c r="E5" s="138"/>
      <c r="F5" s="138"/>
      <c r="G5" s="138"/>
      <c r="H5" s="138"/>
      <c r="I5" s="138"/>
      <c r="J5" s="138"/>
      <c r="K5" s="138"/>
      <c r="L5" s="730"/>
      <c r="M5" s="731"/>
      <c r="N5" s="730"/>
      <c r="O5" s="730" t="s">
        <v>55</v>
      </c>
      <c r="P5" s="730" t="s">
        <v>56</v>
      </c>
      <c r="Q5" s="730"/>
      <c r="U5" s="585">
        <v>2021</v>
      </c>
      <c r="V5" s="734">
        <v>2020</v>
      </c>
      <c r="W5" s="734"/>
    </row>
    <row r="6" spans="1:25" ht="10.5" customHeight="1">
      <c r="A6" s="111"/>
      <c r="B6" s="138"/>
      <c r="C6" s="138"/>
      <c r="D6" s="138"/>
      <c r="E6" s="138"/>
      <c r="F6" s="138"/>
      <c r="G6" s="138"/>
      <c r="H6" s="138"/>
      <c r="I6" s="138"/>
      <c r="J6" s="138"/>
      <c r="K6" s="138"/>
      <c r="L6" s="735" t="s">
        <v>403</v>
      </c>
      <c r="M6" s="735" t="s">
        <v>58</v>
      </c>
      <c r="N6" s="736">
        <v>19.605</v>
      </c>
      <c r="O6" s="737">
        <v>14.3996138975</v>
      </c>
      <c r="P6" s="737">
        <v>0.98721345344066824</v>
      </c>
      <c r="Q6" s="737"/>
      <c r="S6" s="585" t="s">
        <v>444</v>
      </c>
      <c r="T6" s="585" t="s">
        <v>59</v>
      </c>
      <c r="U6" s="738">
        <v>1</v>
      </c>
      <c r="V6" s="739">
        <v>1</v>
      </c>
      <c r="W6" s="739"/>
      <c r="X6" s="585"/>
      <c r="Y6" s="756"/>
    </row>
    <row r="7" spans="1:25" ht="10.5" customHeight="1">
      <c r="A7" s="136"/>
      <c r="B7" s="138"/>
      <c r="C7" s="138"/>
      <c r="D7" s="138"/>
      <c r="E7" s="138"/>
      <c r="F7" s="138"/>
      <c r="G7" s="138"/>
      <c r="H7" s="138"/>
      <c r="I7" s="138"/>
      <c r="J7" s="138"/>
      <c r="K7" s="138"/>
      <c r="L7" s="735" t="s">
        <v>451</v>
      </c>
      <c r="M7" s="735" t="s">
        <v>58</v>
      </c>
      <c r="N7" s="736">
        <v>20</v>
      </c>
      <c r="O7" s="737">
        <v>12.5333137075</v>
      </c>
      <c r="P7" s="737">
        <v>0.84229258786962358</v>
      </c>
      <c r="Q7" s="737"/>
      <c r="T7" s="585" t="s">
        <v>403</v>
      </c>
      <c r="U7" s="738">
        <v>0.96356886092406091</v>
      </c>
      <c r="V7" s="739">
        <v>1</v>
      </c>
      <c r="W7" s="739"/>
      <c r="X7" s="585"/>
      <c r="Y7" s="756"/>
    </row>
    <row r="8" spans="1:25" ht="10.5" customHeight="1">
      <c r="A8" s="136"/>
      <c r="B8" s="138"/>
      <c r="C8" s="138"/>
      <c r="D8" s="138"/>
      <c r="E8" s="138"/>
      <c r="F8" s="138"/>
      <c r="G8" s="138"/>
      <c r="H8" s="138"/>
      <c r="I8" s="138"/>
      <c r="J8" s="138"/>
      <c r="K8" s="138"/>
      <c r="L8" s="735" t="s">
        <v>61</v>
      </c>
      <c r="M8" s="735" t="s">
        <v>58</v>
      </c>
      <c r="N8" s="736">
        <v>19.1995</v>
      </c>
      <c r="O8" s="737">
        <v>11.9598513625</v>
      </c>
      <c r="P8" s="737">
        <v>0.83726498271404359</v>
      </c>
      <c r="Q8" s="737"/>
      <c r="T8" s="585" t="s">
        <v>451</v>
      </c>
      <c r="U8" s="738">
        <v>0.95921939735842521</v>
      </c>
      <c r="V8" s="739">
        <v>0.95720026024496341</v>
      </c>
      <c r="W8" s="739"/>
      <c r="X8" s="585"/>
      <c r="Y8" s="756"/>
    </row>
    <row r="9" spans="1:25" ht="10.5" customHeight="1">
      <c r="A9" s="136"/>
      <c r="B9" s="138"/>
      <c r="C9" s="138"/>
      <c r="D9" s="138"/>
      <c r="E9" s="138"/>
      <c r="F9" s="138"/>
      <c r="G9" s="138"/>
      <c r="H9" s="138"/>
      <c r="I9" s="138"/>
      <c r="J9" s="138"/>
      <c r="K9" s="138"/>
      <c r="L9" s="735" t="s">
        <v>59</v>
      </c>
      <c r="M9" s="740" t="s">
        <v>58</v>
      </c>
      <c r="N9" s="736">
        <v>15</v>
      </c>
      <c r="O9" s="737">
        <v>11.930665569999999</v>
      </c>
      <c r="P9" s="737">
        <v>1.069056054659498</v>
      </c>
      <c r="Q9" s="737"/>
      <c r="T9" s="585" t="s">
        <v>420</v>
      </c>
      <c r="U9" s="738">
        <v>0.93736525156754502</v>
      </c>
      <c r="V9" s="739">
        <v>0.82273089384573772</v>
      </c>
      <c r="W9" s="739"/>
      <c r="X9" s="585"/>
      <c r="Y9" s="756"/>
    </row>
    <row r="10" spans="1:25" ht="10.5" customHeight="1">
      <c r="A10" s="136"/>
      <c r="B10" s="138"/>
      <c r="C10" s="138"/>
      <c r="D10" s="138"/>
      <c r="E10" s="138"/>
      <c r="F10" s="138"/>
      <c r="G10" s="138"/>
      <c r="H10" s="138"/>
      <c r="I10" s="138"/>
      <c r="J10" s="138"/>
      <c r="K10" s="138"/>
      <c r="L10" s="735" t="s">
        <v>420</v>
      </c>
      <c r="M10" s="740" t="s">
        <v>58</v>
      </c>
      <c r="N10" s="736">
        <v>13.17</v>
      </c>
      <c r="O10" s="737">
        <v>9.1583625399999988</v>
      </c>
      <c r="P10" s="737">
        <v>0.93467175929327806</v>
      </c>
      <c r="Q10" s="737"/>
      <c r="T10" s="585" t="s">
        <v>450</v>
      </c>
      <c r="U10" s="738">
        <v>0.90331060974907929</v>
      </c>
      <c r="V10" s="739">
        <v>0.90639394041895605</v>
      </c>
      <c r="W10" s="739"/>
      <c r="X10" s="585"/>
      <c r="Y10" s="756"/>
    </row>
    <row r="11" spans="1:25" ht="10.5" customHeight="1">
      <c r="A11" s="136"/>
      <c r="B11" s="138"/>
      <c r="C11" s="138"/>
      <c r="D11" s="138"/>
      <c r="E11" s="138"/>
      <c r="F11" s="138"/>
      <c r="G11" s="138"/>
      <c r="H11" s="138"/>
      <c r="I11" s="138"/>
      <c r="J11" s="138"/>
      <c r="K11" s="138"/>
      <c r="L11" s="735" t="s">
        <v>450</v>
      </c>
      <c r="M11" s="740" t="s">
        <v>58</v>
      </c>
      <c r="N11" s="736">
        <v>20</v>
      </c>
      <c r="O11" s="737">
        <v>8.6438365699999995</v>
      </c>
      <c r="P11" s="737">
        <v>0.58090299529569889</v>
      </c>
      <c r="Q11" s="737"/>
      <c r="T11" s="585" t="s">
        <v>61</v>
      </c>
      <c r="U11" s="738">
        <v>0.89434485850373924</v>
      </c>
      <c r="V11" s="739">
        <v>0.72824117070904903</v>
      </c>
      <c r="W11" s="739"/>
      <c r="X11" s="585"/>
      <c r="Y11" s="756"/>
    </row>
    <row r="12" spans="1:25" ht="10.5" customHeight="1">
      <c r="A12" s="136"/>
      <c r="B12" s="138"/>
      <c r="C12" s="138"/>
      <c r="D12" s="138"/>
      <c r="E12" s="138"/>
      <c r="F12" s="138"/>
      <c r="G12" s="138"/>
      <c r="H12" s="138"/>
      <c r="I12" s="138"/>
      <c r="J12" s="138"/>
      <c r="K12" s="138"/>
      <c r="L12" s="735" t="s">
        <v>63</v>
      </c>
      <c r="M12" s="735" t="s">
        <v>58</v>
      </c>
      <c r="N12" s="736">
        <v>19.899999999999999</v>
      </c>
      <c r="O12" s="737">
        <v>8.2153126424999989</v>
      </c>
      <c r="P12" s="737">
        <v>0.55487873794375098</v>
      </c>
      <c r="Q12" s="737"/>
      <c r="T12" s="585" t="s">
        <v>73</v>
      </c>
      <c r="U12" s="738">
        <v>0.89359154923426054</v>
      </c>
      <c r="V12" s="739">
        <v>0.86108549535067125</v>
      </c>
      <c r="W12" s="739"/>
      <c r="X12" s="585"/>
      <c r="Y12" s="756"/>
    </row>
    <row r="13" spans="1:25" ht="10.5" customHeight="1">
      <c r="A13" s="136"/>
      <c r="B13" s="138"/>
      <c r="C13" s="138"/>
      <c r="D13" s="138"/>
      <c r="E13" s="138"/>
      <c r="F13" s="138"/>
      <c r="G13" s="138"/>
      <c r="H13" s="138"/>
      <c r="I13" s="138"/>
      <c r="J13" s="138"/>
      <c r="K13" s="138"/>
      <c r="L13" s="735" t="s">
        <v>417</v>
      </c>
      <c r="M13" s="735" t="s">
        <v>58</v>
      </c>
      <c r="N13" s="736">
        <v>20</v>
      </c>
      <c r="O13" s="737">
        <v>8.0713270250000004</v>
      </c>
      <c r="P13" s="737">
        <v>0.54242789146505377</v>
      </c>
      <c r="Q13" s="737"/>
      <c r="T13" s="585" t="s">
        <v>62</v>
      </c>
      <c r="U13" s="738">
        <v>0.89258490688774961</v>
      </c>
      <c r="V13" s="739">
        <v>0.98504888547481262</v>
      </c>
      <c r="W13" s="739"/>
      <c r="X13" s="585"/>
      <c r="Y13" s="756"/>
    </row>
    <row r="14" spans="1:25" ht="10.5" customHeight="1">
      <c r="A14" s="136"/>
      <c r="B14" s="138"/>
      <c r="C14" s="138"/>
      <c r="D14" s="138"/>
      <c r="E14" s="138"/>
      <c r="F14" s="138"/>
      <c r="G14" s="138"/>
      <c r="H14" s="138"/>
      <c r="I14" s="138"/>
      <c r="J14" s="138"/>
      <c r="K14" s="138"/>
      <c r="L14" s="735" t="s">
        <v>478</v>
      </c>
      <c r="M14" s="735" t="s">
        <v>58</v>
      </c>
      <c r="N14" s="736">
        <v>20</v>
      </c>
      <c r="O14" s="737">
        <v>7.5211444449999991</v>
      </c>
      <c r="P14" s="737">
        <v>0.50545325571236555</v>
      </c>
      <c r="Q14" s="737"/>
      <c r="T14" s="585" t="s">
        <v>63</v>
      </c>
      <c r="U14" s="738">
        <v>0.88340288857963856</v>
      </c>
      <c r="V14" s="739">
        <v>0.76078917817682734</v>
      </c>
      <c r="W14" s="739"/>
      <c r="X14" s="585"/>
      <c r="Y14" s="756"/>
    </row>
    <row r="15" spans="1:25" ht="11.25" customHeight="1">
      <c r="A15" s="136"/>
      <c r="B15" s="138"/>
      <c r="C15" s="138"/>
      <c r="D15" s="138"/>
      <c r="E15" s="138"/>
      <c r="F15" s="138"/>
      <c r="G15" s="138"/>
      <c r="H15" s="138"/>
      <c r="I15" s="138"/>
      <c r="J15" s="138"/>
      <c r="K15" s="138"/>
      <c r="L15" s="735" t="s">
        <v>62</v>
      </c>
      <c r="M15" s="735" t="s">
        <v>58</v>
      </c>
      <c r="N15" s="736">
        <v>9.9830000000000005</v>
      </c>
      <c r="O15" s="737">
        <v>7.0753433150000005</v>
      </c>
      <c r="P15" s="737">
        <v>0.95260643564489733</v>
      </c>
      <c r="Q15" s="737"/>
      <c r="T15" s="585" t="s">
        <v>71</v>
      </c>
      <c r="U15" s="738">
        <v>0.8626714885377792</v>
      </c>
      <c r="V15" s="739">
        <v>0.84904079613801842</v>
      </c>
      <c r="W15" s="739"/>
      <c r="X15" s="585"/>
      <c r="Y15" s="756"/>
    </row>
    <row r="16" spans="1:25" ht="11.25" customHeight="1">
      <c r="A16" s="136"/>
      <c r="B16" s="138"/>
      <c r="C16" s="138"/>
      <c r="D16" s="138"/>
      <c r="E16" s="138"/>
      <c r="F16" s="138"/>
      <c r="G16" s="138"/>
      <c r="H16" s="138"/>
      <c r="I16" s="138"/>
      <c r="J16" s="138"/>
      <c r="K16" s="138"/>
      <c r="L16" s="735" t="s">
        <v>411</v>
      </c>
      <c r="M16" s="735" t="s">
        <v>58</v>
      </c>
      <c r="N16" s="736">
        <v>20.079999999999998</v>
      </c>
      <c r="O16" s="737">
        <v>6.4038709874999995</v>
      </c>
      <c r="P16" s="737">
        <v>0.42865306164455086</v>
      </c>
      <c r="Q16" s="737"/>
      <c r="T16" s="585" t="s">
        <v>410</v>
      </c>
      <c r="U16" s="738">
        <v>0.84198601902431902</v>
      </c>
      <c r="V16" s="739">
        <v>0.82705605340426758</v>
      </c>
      <c r="W16" s="739"/>
      <c r="X16" s="585"/>
      <c r="Y16" s="756"/>
    </row>
    <row r="17" spans="1:25" ht="11.25" customHeight="1">
      <c r="A17" s="136"/>
      <c r="B17" s="138"/>
      <c r="C17" s="138"/>
      <c r="D17" s="138"/>
      <c r="E17" s="138"/>
      <c r="F17" s="138"/>
      <c r="G17" s="138"/>
      <c r="H17" s="138"/>
      <c r="I17" s="138"/>
      <c r="J17" s="138"/>
      <c r="K17" s="138"/>
      <c r="L17" s="735" t="s">
        <v>410</v>
      </c>
      <c r="M17" s="735" t="s">
        <v>58</v>
      </c>
      <c r="N17" s="736">
        <v>19.98</v>
      </c>
      <c r="O17" s="737">
        <v>6.2803986399999996</v>
      </c>
      <c r="P17" s="737">
        <v>0.42249229336863747</v>
      </c>
      <c r="Q17" s="737"/>
      <c r="T17" s="585" t="s">
        <v>57</v>
      </c>
      <c r="U17" s="738">
        <v>0.83536515362257646</v>
      </c>
      <c r="V17" s="739">
        <v>0.84184204860717438</v>
      </c>
      <c r="W17" s="739"/>
      <c r="X17" s="585"/>
      <c r="Y17" s="756"/>
    </row>
    <row r="18" spans="1:25">
      <c r="A18" s="136"/>
      <c r="B18" s="138"/>
      <c r="C18" s="138"/>
      <c r="D18" s="138"/>
      <c r="E18" s="138"/>
      <c r="F18" s="138"/>
      <c r="G18" s="138"/>
      <c r="H18" s="138"/>
      <c r="I18" s="138"/>
      <c r="J18" s="138"/>
      <c r="K18" s="138"/>
      <c r="L18" s="735" t="s">
        <v>57</v>
      </c>
      <c r="M18" s="735" t="s">
        <v>58</v>
      </c>
      <c r="N18" s="736">
        <v>19.966000000000001</v>
      </c>
      <c r="O18" s="737">
        <v>5.9945365975000007</v>
      </c>
      <c r="P18" s="737">
        <v>0.4035446682411174</v>
      </c>
      <c r="Q18" s="737"/>
      <c r="T18" s="585" t="s">
        <v>411</v>
      </c>
      <c r="U18" s="738">
        <v>0.83098565343827269</v>
      </c>
      <c r="V18" s="739">
        <v>0.73602895670487745</v>
      </c>
      <c r="W18" s="739"/>
      <c r="X18" s="585"/>
      <c r="Y18" s="756"/>
    </row>
    <row r="19" spans="1:25">
      <c r="A19" s="136"/>
      <c r="B19" s="138"/>
      <c r="C19" s="138"/>
      <c r="D19" s="138"/>
      <c r="E19" s="138"/>
      <c r="F19" s="138"/>
      <c r="G19" s="138"/>
      <c r="H19" s="138"/>
      <c r="I19" s="138"/>
      <c r="J19" s="138"/>
      <c r="K19" s="138"/>
      <c r="L19" s="735" t="s">
        <v>66</v>
      </c>
      <c r="M19" s="735" t="s">
        <v>58</v>
      </c>
      <c r="N19" s="736">
        <v>9.07</v>
      </c>
      <c r="O19" s="737">
        <v>5.0253127425000006</v>
      </c>
      <c r="P19" s="737">
        <v>0.744702603184906</v>
      </c>
      <c r="Q19" s="737"/>
      <c r="T19" s="585" t="s">
        <v>64</v>
      </c>
      <c r="U19" s="738">
        <v>0.79969386147174026</v>
      </c>
      <c r="V19" s="739">
        <v>0.79667191843814567</v>
      </c>
      <c r="W19" s="739"/>
      <c r="X19" s="585"/>
      <c r="Y19" s="756"/>
    </row>
    <row r="20" spans="1:25">
      <c r="A20" s="136"/>
      <c r="B20" s="138"/>
      <c r="C20" s="138"/>
      <c r="D20" s="138"/>
      <c r="E20" s="138"/>
      <c r="F20" s="138"/>
      <c r="G20" s="138"/>
      <c r="H20" s="138"/>
      <c r="I20" s="138"/>
      <c r="J20" s="138"/>
      <c r="K20" s="138"/>
      <c r="L20" s="735" t="s">
        <v>453</v>
      </c>
      <c r="M20" s="735" t="s">
        <v>58</v>
      </c>
      <c r="N20" s="736">
        <v>20.58</v>
      </c>
      <c r="O20" s="737">
        <v>4.9960477374999996</v>
      </c>
      <c r="P20" s="737">
        <v>0.32629338808295977</v>
      </c>
      <c r="Q20" s="737"/>
      <c r="T20" s="585" t="s">
        <v>66</v>
      </c>
      <c r="U20" s="738">
        <v>0.79870274108580497</v>
      </c>
      <c r="V20" s="739">
        <v>0.86825174260186777</v>
      </c>
      <c r="W20" s="739"/>
      <c r="X20" s="585"/>
      <c r="Y20" s="756"/>
    </row>
    <row r="21" spans="1:25">
      <c r="A21" s="136"/>
      <c r="B21" s="138"/>
      <c r="C21" s="138"/>
      <c r="D21" s="138"/>
      <c r="E21" s="138"/>
      <c r="F21" s="138"/>
      <c r="G21" s="138"/>
      <c r="H21" s="138"/>
      <c r="I21" s="138"/>
      <c r="J21" s="138"/>
      <c r="K21" s="138"/>
      <c r="L21" s="735" t="s">
        <v>412</v>
      </c>
      <c r="M21" s="735" t="s">
        <v>58</v>
      </c>
      <c r="N21" s="736">
        <v>20.05</v>
      </c>
      <c r="O21" s="737">
        <v>4.6006336350000003</v>
      </c>
      <c r="P21" s="737">
        <v>0.30841133959456196</v>
      </c>
      <c r="Q21" s="737"/>
      <c r="T21" s="585" t="s">
        <v>412</v>
      </c>
      <c r="U21" s="738">
        <v>0.79541096823434032</v>
      </c>
      <c r="V21" s="739">
        <v>0.79110595995542976</v>
      </c>
      <c r="W21" s="739"/>
      <c r="X21" s="585"/>
      <c r="Y21" s="756"/>
    </row>
    <row r="22" spans="1:25">
      <c r="A22" s="136"/>
      <c r="B22" s="138"/>
      <c r="C22" s="138"/>
      <c r="D22" s="138"/>
      <c r="E22" s="138"/>
      <c r="F22" s="138"/>
      <c r="G22" s="138"/>
      <c r="H22" s="138"/>
      <c r="I22" s="138"/>
      <c r="J22" s="138"/>
      <c r="K22" s="138"/>
      <c r="L22" s="735" t="s">
        <v>60</v>
      </c>
      <c r="M22" s="735" t="s">
        <v>58</v>
      </c>
      <c r="N22" s="736">
        <v>19.966999999999999</v>
      </c>
      <c r="O22" s="737">
        <v>4.0218978400000003</v>
      </c>
      <c r="P22" s="737">
        <v>0.27073554698586005</v>
      </c>
      <c r="Q22" s="737"/>
      <c r="T22" s="585" t="s">
        <v>74</v>
      </c>
      <c r="U22" s="738">
        <v>0.77791514050022947</v>
      </c>
      <c r="V22" s="739">
        <v>0.80970261658959941</v>
      </c>
      <c r="W22" s="739"/>
      <c r="X22" s="585"/>
      <c r="Y22" s="756"/>
    </row>
    <row r="23" spans="1:25">
      <c r="A23" s="136"/>
      <c r="B23" s="138"/>
      <c r="C23" s="138"/>
      <c r="D23" s="138"/>
      <c r="E23" s="138"/>
      <c r="F23" s="138"/>
      <c r="G23" s="138"/>
      <c r="H23" s="138"/>
      <c r="I23" s="138"/>
      <c r="J23" s="138"/>
      <c r="K23" s="138"/>
      <c r="L23" s="735" t="s">
        <v>71</v>
      </c>
      <c r="M23" s="735" t="s">
        <v>58</v>
      </c>
      <c r="N23" s="736">
        <v>5.67</v>
      </c>
      <c r="O23" s="737">
        <v>3.9389684649999999</v>
      </c>
      <c r="P23" s="737">
        <v>0.93374117336102114</v>
      </c>
      <c r="Q23" s="737"/>
      <c r="T23" s="585" t="s">
        <v>65</v>
      </c>
      <c r="U23" s="738">
        <v>0.77785482350356661</v>
      </c>
      <c r="V23" s="739">
        <v>0.80961326665086175</v>
      </c>
      <c r="W23" s="739"/>
      <c r="X23" s="585"/>
      <c r="Y23" s="756"/>
    </row>
    <row r="24" spans="1:25">
      <c r="A24" s="136"/>
      <c r="B24" s="138"/>
      <c r="C24" s="138"/>
      <c r="D24" s="138"/>
      <c r="E24" s="138"/>
      <c r="F24" s="138"/>
      <c r="G24" s="138"/>
      <c r="H24" s="138"/>
      <c r="I24" s="138"/>
      <c r="J24" s="138"/>
      <c r="K24" s="138"/>
      <c r="L24" s="735" t="s">
        <v>69</v>
      </c>
      <c r="M24" s="735" t="s">
        <v>58</v>
      </c>
      <c r="N24" s="736">
        <v>9.5660000000000007</v>
      </c>
      <c r="O24" s="737">
        <v>3.7117004625000001</v>
      </c>
      <c r="P24" s="737">
        <v>0.52151836793448569</v>
      </c>
      <c r="Q24" s="737"/>
      <c r="T24" s="585" t="s">
        <v>417</v>
      </c>
      <c r="U24" s="738">
        <v>0.74651148434622472</v>
      </c>
      <c r="V24" s="739">
        <v>0.69115007371794868</v>
      </c>
      <c r="W24" s="739"/>
      <c r="X24" s="585"/>
      <c r="Y24" s="756"/>
    </row>
    <row r="25" spans="1:25">
      <c r="A25" s="136"/>
      <c r="B25" s="138"/>
      <c r="C25" s="138"/>
      <c r="D25" s="138"/>
      <c r="E25" s="138"/>
      <c r="F25" s="138"/>
      <c r="G25" s="138"/>
      <c r="H25" s="138"/>
      <c r="I25" s="138"/>
      <c r="J25" s="138"/>
      <c r="K25" s="138"/>
      <c r="L25" s="735" t="s">
        <v>449</v>
      </c>
      <c r="M25" s="735" t="s">
        <v>58</v>
      </c>
      <c r="N25" s="736">
        <v>8.58</v>
      </c>
      <c r="O25" s="737">
        <v>3.1466193474999997</v>
      </c>
      <c r="P25" s="737">
        <v>0.49292856409943092</v>
      </c>
      <c r="Q25" s="737"/>
      <c r="T25" s="585" t="s">
        <v>449</v>
      </c>
      <c r="U25" s="738">
        <v>0.72973511370075594</v>
      </c>
      <c r="V25" s="739">
        <v>0.25412295482295483</v>
      </c>
      <c r="W25" s="739"/>
      <c r="X25" s="585"/>
      <c r="Y25" s="756"/>
    </row>
    <row r="26" spans="1:25">
      <c r="A26" s="136"/>
      <c r="B26" s="138"/>
      <c r="C26" s="138"/>
      <c r="D26" s="138"/>
      <c r="E26" s="138"/>
      <c r="F26" s="138"/>
      <c r="G26" s="138"/>
      <c r="H26" s="138"/>
      <c r="I26" s="138"/>
      <c r="J26" s="138"/>
      <c r="K26" s="138"/>
      <c r="L26" s="735" t="s">
        <v>64</v>
      </c>
      <c r="M26" s="735" t="s">
        <v>58</v>
      </c>
      <c r="N26" s="736">
        <v>9.9640000000000004</v>
      </c>
      <c r="O26" s="737">
        <v>2.8341035049999999</v>
      </c>
      <c r="P26" s="737">
        <v>0.38230418552487883</v>
      </c>
      <c r="Q26" s="737"/>
      <c r="T26" s="585" t="s">
        <v>60</v>
      </c>
      <c r="U26" s="738">
        <v>0.71138494517911288</v>
      </c>
      <c r="V26" s="739">
        <v>0.70059766881723895</v>
      </c>
      <c r="W26" s="739"/>
      <c r="X26" s="585"/>
      <c r="Y26" s="756"/>
    </row>
    <row r="27" spans="1:25">
      <c r="A27" s="136"/>
      <c r="B27" s="138"/>
      <c r="C27" s="138"/>
      <c r="D27" s="138"/>
      <c r="E27" s="138"/>
      <c r="F27" s="138"/>
      <c r="G27" s="138"/>
      <c r="H27" s="138"/>
      <c r="I27" s="138"/>
      <c r="J27" s="138"/>
      <c r="K27" s="138"/>
      <c r="L27" s="735" t="s">
        <v>65</v>
      </c>
      <c r="M27" s="735" t="s">
        <v>58</v>
      </c>
      <c r="N27" s="736">
        <v>9.85</v>
      </c>
      <c r="O27" s="737">
        <v>2.6459590500000001</v>
      </c>
      <c r="P27" s="737">
        <v>0.36105548960209599</v>
      </c>
      <c r="Q27" s="737"/>
      <c r="T27" s="585" t="s">
        <v>72</v>
      </c>
      <c r="U27" s="738">
        <v>0.69266492327903739</v>
      </c>
      <c r="V27" s="739">
        <v>0.68419439428208284</v>
      </c>
      <c r="W27" s="739"/>
      <c r="X27" s="585"/>
      <c r="Y27" s="756"/>
    </row>
    <row r="28" spans="1:25">
      <c r="A28" s="136"/>
      <c r="B28" s="138"/>
      <c r="C28" s="138"/>
      <c r="D28" s="138"/>
      <c r="E28" s="138"/>
      <c r="F28" s="138"/>
      <c r="G28" s="138"/>
      <c r="H28" s="138"/>
      <c r="I28" s="138"/>
      <c r="J28" s="138"/>
      <c r="K28" s="138"/>
      <c r="L28" s="735" t="s">
        <v>73</v>
      </c>
      <c r="M28" s="735" t="s">
        <v>58</v>
      </c>
      <c r="N28" s="736">
        <v>3.91621</v>
      </c>
      <c r="O28" s="737">
        <v>2.1523594775000001</v>
      </c>
      <c r="P28" s="737">
        <v>0.73871326792035297</v>
      </c>
      <c r="Q28" s="737"/>
      <c r="T28" s="585" t="s">
        <v>67</v>
      </c>
      <c r="U28" s="738">
        <v>0.69179606561654106</v>
      </c>
      <c r="V28" s="739">
        <v>0.64195034684806018</v>
      </c>
      <c r="W28" s="739"/>
      <c r="X28" s="585"/>
      <c r="Y28" s="756"/>
    </row>
    <row r="29" spans="1:25">
      <c r="A29" s="136"/>
      <c r="B29" s="138"/>
      <c r="C29" s="138"/>
      <c r="D29" s="138"/>
      <c r="E29" s="138"/>
      <c r="F29" s="138"/>
      <c r="G29" s="138"/>
      <c r="H29" s="138"/>
      <c r="I29" s="138"/>
      <c r="J29" s="138"/>
      <c r="K29" s="138"/>
      <c r="L29" s="735" t="s">
        <v>74</v>
      </c>
      <c r="M29" s="735" t="s">
        <v>58</v>
      </c>
      <c r="N29" s="736">
        <v>3.964</v>
      </c>
      <c r="O29" s="737">
        <v>1.9724000000000002</v>
      </c>
      <c r="P29" s="737">
        <v>0.66878790837971858</v>
      </c>
      <c r="Q29" s="737"/>
      <c r="T29" s="585" t="s">
        <v>68</v>
      </c>
      <c r="U29" s="738">
        <v>0.67935377102459527</v>
      </c>
      <c r="V29" s="739">
        <v>0.61321371328770635</v>
      </c>
      <c r="W29" s="739"/>
      <c r="X29" s="585"/>
      <c r="Y29" s="756"/>
    </row>
    <row r="30" spans="1:25">
      <c r="A30" s="136"/>
      <c r="B30" s="138"/>
      <c r="C30" s="138"/>
      <c r="D30" s="138"/>
      <c r="E30" s="138"/>
      <c r="F30" s="138"/>
      <c r="G30" s="138"/>
      <c r="H30" s="138"/>
      <c r="I30" s="138"/>
      <c r="J30" s="138"/>
      <c r="K30" s="138"/>
      <c r="L30" s="585" t="s">
        <v>70</v>
      </c>
      <c r="M30" s="735" t="s">
        <v>58</v>
      </c>
      <c r="N30" s="736">
        <v>5.1890000000000001</v>
      </c>
      <c r="O30" s="737">
        <v>1.8214101550000001</v>
      </c>
      <c r="P30" s="737">
        <v>0.47179262454489129</v>
      </c>
      <c r="Q30" s="737"/>
      <c r="T30" s="585" t="s">
        <v>69</v>
      </c>
      <c r="U30" s="738">
        <v>0.67819389027533439</v>
      </c>
      <c r="V30" s="739">
        <v>0.75712592308620874</v>
      </c>
      <c r="W30" s="739"/>
      <c r="X30" s="585"/>
      <c r="Y30" s="756"/>
    </row>
    <row r="31" spans="1:25">
      <c r="A31" s="136"/>
      <c r="B31" s="138"/>
      <c r="C31" s="138"/>
      <c r="D31" s="138"/>
      <c r="E31" s="138"/>
      <c r="F31" s="138"/>
      <c r="G31" s="138"/>
      <c r="H31" s="138"/>
      <c r="I31" s="138"/>
      <c r="J31" s="138"/>
      <c r="K31" s="138"/>
      <c r="L31" s="735" t="s">
        <v>67</v>
      </c>
      <c r="M31" s="735" t="s">
        <v>58</v>
      </c>
      <c r="N31" s="736">
        <v>7.4240000000000004</v>
      </c>
      <c r="O31" s="737">
        <v>1.8117487875</v>
      </c>
      <c r="P31" s="737">
        <v>0.32800999727344615</v>
      </c>
      <c r="Q31" s="737"/>
      <c r="T31" s="585" t="s">
        <v>453</v>
      </c>
      <c r="U31" s="738">
        <v>0.65979033827586553</v>
      </c>
      <c r="V31" s="739">
        <v>0.67912106109625037</v>
      </c>
      <c r="W31" s="739"/>
      <c r="X31" s="585"/>
      <c r="Y31" s="756"/>
    </row>
    <row r="32" spans="1:25">
      <c r="A32" s="136"/>
      <c r="B32" s="138"/>
      <c r="C32" s="138"/>
      <c r="D32" s="138"/>
      <c r="E32" s="138"/>
      <c r="F32" s="138"/>
      <c r="G32" s="138"/>
      <c r="H32" s="138"/>
      <c r="I32" s="138"/>
      <c r="J32" s="138"/>
      <c r="K32" s="138"/>
      <c r="L32" s="735" t="s">
        <v>68</v>
      </c>
      <c r="M32" s="735" t="s">
        <v>58</v>
      </c>
      <c r="N32" s="736">
        <v>6.9580000000000002</v>
      </c>
      <c r="O32" s="737">
        <v>1.5141621674999999</v>
      </c>
      <c r="P32" s="737">
        <v>0.2924926995730141</v>
      </c>
      <c r="Q32" s="737"/>
      <c r="T32" s="585" t="s">
        <v>70</v>
      </c>
      <c r="U32" s="738">
        <v>0.65346431977600294</v>
      </c>
      <c r="V32" s="739">
        <v>0.79080764225376021</v>
      </c>
      <c r="W32" s="739"/>
      <c r="X32" s="585"/>
      <c r="Y32" s="756"/>
    </row>
    <row r="33" spans="1:25">
      <c r="A33" s="136"/>
      <c r="B33" s="138"/>
      <c r="C33" s="138"/>
      <c r="D33" s="138"/>
      <c r="E33" s="138"/>
      <c r="F33" s="138"/>
      <c r="G33" s="138"/>
      <c r="H33" s="138"/>
      <c r="I33" s="138"/>
      <c r="J33" s="138"/>
      <c r="K33" s="138"/>
      <c r="L33" s="735" t="s">
        <v>72</v>
      </c>
      <c r="M33" s="735" t="s">
        <v>58</v>
      </c>
      <c r="N33" s="736">
        <v>3.48</v>
      </c>
      <c r="O33" s="737">
        <v>1.3921643050000001</v>
      </c>
      <c r="P33" s="737">
        <v>0.53769786838771483</v>
      </c>
      <c r="Q33" s="737"/>
      <c r="T33" s="585" t="s">
        <v>478</v>
      </c>
      <c r="U33" s="738">
        <v>0.55710732366482496</v>
      </c>
      <c r="V33" s="739"/>
      <c r="W33" s="739"/>
      <c r="X33" s="585"/>
      <c r="Y33" s="756"/>
    </row>
    <row r="34" spans="1:25">
      <c r="B34" s="138"/>
      <c r="C34" s="138"/>
      <c r="D34" s="138"/>
      <c r="E34" s="138"/>
      <c r="F34" s="138"/>
      <c r="G34" s="138"/>
      <c r="H34" s="138"/>
      <c r="I34" s="138"/>
      <c r="J34" s="138"/>
      <c r="K34" s="138"/>
      <c r="L34" s="735" t="s">
        <v>75</v>
      </c>
      <c r="M34" s="735" t="s">
        <v>58</v>
      </c>
      <c r="N34" s="736">
        <v>1.714</v>
      </c>
      <c r="O34" s="737">
        <v>0.30371019999999999</v>
      </c>
      <c r="P34" s="737">
        <v>0.23816373069346683</v>
      </c>
      <c r="Q34" s="737"/>
      <c r="T34" s="585" t="s">
        <v>413</v>
      </c>
      <c r="U34" s="738">
        <v>0.45284137726913981</v>
      </c>
      <c r="V34" s="739">
        <v>0.71374283833725805</v>
      </c>
      <c r="W34" s="739"/>
      <c r="X34" s="585"/>
      <c r="Y34" s="756"/>
    </row>
    <row r="35" spans="1:25">
      <c r="A35" s="136"/>
      <c r="B35" s="138"/>
      <c r="C35" s="138"/>
      <c r="D35" s="138"/>
      <c r="E35" s="138"/>
      <c r="F35" s="138"/>
      <c r="G35" s="138"/>
      <c r="H35" s="138"/>
      <c r="I35" s="138"/>
      <c r="J35" s="138"/>
      <c r="K35" s="138"/>
      <c r="L35" s="735" t="s">
        <v>413</v>
      </c>
      <c r="M35" s="735" t="s">
        <v>58</v>
      </c>
      <c r="N35" s="736">
        <v>0.7</v>
      </c>
      <c r="O35" s="737">
        <v>0.24660831</v>
      </c>
      <c r="P35" s="737">
        <v>0.47351826036866362</v>
      </c>
      <c r="Q35" s="737"/>
      <c r="T35" s="585" t="s">
        <v>75</v>
      </c>
      <c r="U35" s="738">
        <v>0.25001480233468931</v>
      </c>
      <c r="V35" s="739">
        <v>0.36060475089865407</v>
      </c>
      <c r="W35" s="739"/>
      <c r="X35" s="585"/>
      <c r="Y35" s="756"/>
    </row>
    <row r="36" spans="1:25" ht="10.95" customHeight="1">
      <c r="A36" s="136"/>
      <c r="B36" s="138"/>
      <c r="C36" s="138"/>
      <c r="D36" s="138"/>
      <c r="E36" s="138"/>
      <c r="F36" s="138"/>
      <c r="G36" s="138"/>
      <c r="H36" s="138"/>
      <c r="I36" s="138"/>
      <c r="J36" s="138"/>
      <c r="K36" s="138"/>
      <c r="L36" s="735" t="s">
        <v>421</v>
      </c>
      <c r="M36" s="735" t="s">
        <v>215</v>
      </c>
      <c r="N36" s="736">
        <v>132.30000000000001</v>
      </c>
      <c r="O36" s="737">
        <v>43.498279457500004</v>
      </c>
      <c r="P36" s="737">
        <v>0.44191556597400006</v>
      </c>
      <c r="Q36" s="737"/>
      <c r="S36" s="585" t="s">
        <v>438</v>
      </c>
      <c r="T36" s="585" t="s">
        <v>78</v>
      </c>
      <c r="U36" s="738">
        <v>0.64485289684766334</v>
      </c>
      <c r="V36" s="739">
        <v>0.54449347652672841</v>
      </c>
      <c r="W36" s="739"/>
      <c r="X36" s="585"/>
      <c r="Y36" s="756"/>
    </row>
    <row r="37" spans="1:25">
      <c r="A37" s="136"/>
      <c r="B37" s="138"/>
      <c r="C37" s="138"/>
      <c r="D37" s="138"/>
      <c r="E37" s="138"/>
      <c r="F37" s="138"/>
      <c r="G37" s="138"/>
      <c r="H37" s="138"/>
      <c r="I37" s="138"/>
      <c r="J37" s="138"/>
      <c r="K37" s="138"/>
      <c r="L37" s="735" t="s">
        <v>76</v>
      </c>
      <c r="M37" s="735" t="s">
        <v>215</v>
      </c>
      <c r="N37" s="736">
        <v>97.15</v>
      </c>
      <c r="O37" s="737">
        <v>38.573131142500003</v>
      </c>
      <c r="P37" s="737">
        <v>0.53366553138783279</v>
      </c>
      <c r="Q37" s="737"/>
      <c r="T37" s="585" t="s">
        <v>76</v>
      </c>
      <c r="U37" s="738">
        <v>0.6105069610214785</v>
      </c>
      <c r="V37" s="739">
        <v>0.5278933928606776</v>
      </c>
      <c r="W37" s="739"/>
      <c r="X37" s="585"/>
      <c r="Y37" s="756"/>
    </row>
    <row r="38" spans="1:25" ht="11.25" customHeight="1">
      <c r="A38" s="136"/>
      <c r="B38" s="138"/>
      <c r="C38" s="138"/>
      <c r="D38" s="138"/>
      <c r="E38" s="138"/>
      <c r="F38" s="138"/>
      <c r="G38" s="138"/>
      <c r="H38" s="138"/>
      <c r="I38" s="138"/>
      <c r="J38" s="138"/>
      <c r="K38" s="138"/>
      <c r="L38" s="735" t="s">
        <v>77</v>
      </c>
      <c r="M38" s="735" t="s">
        <v>215</v>
      </c>
      <c r="N38" s="736">
        <v>83.15</v>
      </c>
      <c r="O38" s="737">
        <v>16.157776547499999</v>
      </c>
      <c r="P38" s="737">
        <v>0.261183903741457</v>
      </c>
      <c r="Q38" s="741"/>
      <c r="T38" s="585" t="s">
        <v>421</v>
      </c>
      <c r="U38" s="738">
        <v>0.49951754734812887</v>
      </c>
      <c r="V38" s="739">
        <v>0.46080154263450396</v>
      </c>
      <c r="W38" s="739"/>
      <c r="X38" s="585"/>
      <c r="Y38" s="756"/>
    </row>
    <row r="39" spans="1:25">
      <c r="A39" s="136"/>
      <c r="B39" s="138"/>
      <c r="C39" s="138"/>
      <c r="D39" s="138"/>
      <c r="E39" s="138"/>
      <c r="F39" s="138"/>
      <c r="G39" s="138"/>
      <c r="H39" s="138"/>
      <c r="I39" s="138"/>
      <c r="J39" s="138"/>
      <c r="K39" s="138"/>
      <c r="L39" s="735" t="s">
        <v>78</v>
      </c>
      <c r="M39" s="735" t="s">
        <v>215</v>
      </c>
      <c r="N39" s="736">
        <v>32</v>
      </c>
      <c r="O39" s="737">
        <v>13.23948869</v>
      </c>
      <c r="P39" s="737">
        <v>0.55609411500336026</v>
      </c>
      <c r="T39" s="585" t="s">
        <v>79</v>
      </c>
      <c r="U39" s="738">
        <v>0.40277185111816094</v>
      </c>
      <c r="V39" s="739">
        <v>0.42503318091095549</v>
      </c>
      <c r="W39" s="739"/>
      <c r="X39" s="585"/>
      <c r="Y39" s="756"/>
    </row>
    <row r="40" spans="1:25">
      <c r="A40" s="136"/>
      <c r="B40" s="138"/>
      <c r="C40" s="138"/>
      <c r="D40" s="138"/>
      <c r="E40" s="138"/>
      <c r="F40" s="138"/>
      <c r="G40" s="138"/>
      <c r="H40" s="138"/>
      <c r="I40" s="138"/>
      <c r="J40" s="138"/>
      <c r="K40" s="138"/>
      <c r="L40" s="735" t="s">
        <v>79</v>
      </c>
      <c r="M40" s="735" t="s">
        <v>215</v>
      </c>
      <c r="N40" s="736">
        <v>30.86</v>
      </c>
      <c r="O40" s="737">
        <v>12.326949584999999</v>
      </c>
      <c r="P40" s="737">
        <v>0.53689178953337657</v>
      </c>
      <c r="T40" s="585" t="s">
        <v>77</v>
      </c>
      <c r="U40" s="738">
        <v>0.40005060845185364</v>
      </c>
      <c r="V40" s="739">
        <v>0.48813972030362407</v>
      </c>
      <c r="W40" s="739"/>
      <c r="X40" s="585"/>
      <c r="Y40" s="756"/>
    </row>
    <row r="41" spans="1:25">
      <c r="A41" s="136"/>
      <c r="B41" s="138"/>
      <c r="C41" s="138"/>
      <c r="D41" s="138"/>
      <c r="E41" s="138"/>
      <c r="F41" s="138"/>
      <c r="G41" s="138"/>
      <c r="H41" s="138"/>
      <c r="I41" s="138"/>
      <c r="J41" s="138"/>
      <c r="K41" s="138"/>
      <c r="L41" s="585" t="s">
        <v>515</v>
      </c>
      <c r="M41" s="735" t="s">
        <v>215</v>
      </c>
      <c r="N41" s="736">
        <v>18.37</v>
      </c>
      <c r="O41" s="737">
        <v>6.0990137850000004</v>
      </c>
      <c r="P41" s="737">
        <v>0.44624927454475211</v>
      </c>
      <c r="S41" s="585" t="s">
        <v>430</v>
      </c>
      <c r="T41" s="585" t="s">
        <v>515</v>
      </c>
      <c r="U41" s="738">
        <v>0.22526203770259587</v>
      </c>
      <c r="V41" s="739"/>
      <c r="W41" s="739"/>
      <c r="X41" s="585"/>
      <c r="Y41" s="756"/>
    </row>
    <row r="42" spans="1:25">
      <c r="A42" s="136"/>
      <c r="B42" s="138"/>
      <c r="C42" s="138"/>
      <c r="D42" s="138"/>
      <c r="E42" s="138"/>
      <c r="F42" s="138"/>
      <c r="G42" s="138"/>
      <c r="H42" s="138"/>
      <c r="I42" s="138"/>
      <c r="J42" s="138"/>
      <c r="K42" s="138"/>
      <c r="L42" s="585" t="s">
        <v>514</v>
      </c>
      <c r="M42" s="735" t="s">
        <v>215</v>
      </c>
      <c r="N42" s="736">
        <v>18.37</v>
      </c>
      <c r="O42" s="737">
        <v>4.1920735350000005</v>
      </c>
      <c r="P42" s="737">
        <v>0.30672332278258735</v>
      </c>
      <c r="T42" s="585" t="s">
        <v>514</v>
      </c>
      <c r="U42" s="738">
        <v>0.16128854458335964</v>
      </c>
      <c r="V42" s="739"/>
      <c r="W42" s="739"/>
      <c r="X42" s="585"/>
      <c r="Y42" s="756"/>
    </row>
    <row r="43" spans="1:25" ht="36" customHeight="1">
      <c r="A43" s="845"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junio 2021.
Nota: Son consideradas las centrales con operación comercial</v>
      </c>
      <c r="B43" s="845"/>
      <c r="C43" s="845"/>
      <c r="D43" s="845"/>
      <c r="E43" s="845"/>
      <c r="F43" s="845"/>
      <c r="G43" s="845"/>
      <c r="H43" s="845"/>
      <c r="I43" s="845"/>
      <c r="J43" s="845"/>
      <c r="K43" s="845"/>
      <c r="L43" s="735" t="s">
        <v>422</v>
      </c>
      <c r="M43" s="735" t="s">
        <v>80</v>
      </c>
      <c r="N43" s="736">
        <v>144.47999999999999</v>
      </c>
      <c r="O43" s="737">
        <v>29.6899954975</v>
      </c>
      <c r="P43" s="737">
        <v>0.27620368166353348</v>
      </c>
      <c r="T43" s="585" t="s">
        <v>81</v>
      </c>
      <c r="U43" s="738">
        <v>0.33201249503625685</v>
      </c>
      <c r="V43" s="739">
        <v>0.30640816180889419</v>
      </c>
      <c r="W43" s="739"/>
      <c r="X43" s="585"/>
      <c r="Y43" s="756"/>
    </row>
    <row r="44" spans="1:25" ht="18" customHeight="1">
      <c r="A44" s="136"/>
      <c r="B44" s="138"/>
      <c r="C44" s="138"/>
      <c r="D44" s="138"/>
      <c r="E44" s="138"/>
      <c r="F44" s="138"/>
      <c r="G44" s="138"/>
      <c r="H44" s="138"/>
      <c r="I44" s="138"/>
      <c r="J44" s="138"/>
      <c r="K44" s="138"/>
      <c r="L44" s="735" t="s">
        <v>423</v>
      </c>
      <c r="M44" s="735" t="s">
        <v>80</v>
      </c>
      <c r="N44" s="736">
        <v>44.54</v>
      </c>
      <c r="O44" s="737">
        <v>7.3651776399999997</v>
      </c>
      <c r="P44" s="737">
        <v>0.22225936937197927</v>
      </c>
      <c r="T44" s="585" t="s">
        <v>422</v>
      </c>
      <c r="U44" s="738">
        <v>0.32729608374237001</v>
      </c>
      <c r="V44" s="739">
        <v>0.30953192245704186</v>
      </c>
      <c r="W44" s="739"/>
      <c r="X44" s="585"/>
      <c r="Y44" s="756"/>
    </row>
    <row r="45" spans="1:25" ht="12">
      <c r="A45" s="136"/>
      <c r="B45" s="138"/>
      <c r="C45" s="849" t="str">
        <f>"Factor de planta de las centrales RER  Acumulado al "&amp;'1. Resumen'!Q7&amp;" de "&amp;'1. Resumen'!Q4</f>
        <v>Factor de planta de las centrales RER  Acumulado al 30 de junio</v>
      </c>
      <c r="D45" s="849"/>
      <c r="E45" s="849"/>
      <c r="F45" s="849"/>
      <c r="G45" s="849"/>
      <c r="H45" s="849"/>
      <c r="I45" s="849"/>
      <c r="J45" s="138"/>
      <c r="K45" s="138"/>
      <c r="L45" s="735" t="s">
        <v>230</v>
      </c>
      <c r="M45" s="735" t="s">
        <v>80</v>
      </c>
      <c r="N45" s="736">
        <v>20</v>
      </c>
      <c r="O45" s="737">
        <v>3.9085683924999999</v>
      </c>
      <c r="P45" s="737">
        <v>0.26267260702284945</v>
      </c>
      <c r="T45" s="585" t="s">
        <v>230</v>
      </c>
      <c r="U45" s="738">
        <v>0.3211948695039134</v>
      </c>
      <c r="V45" s="739">
        <v>0.27838034632554948</v>
      </c>
      <c r="W45" s="739"/>
      <c r="X45" s="585"/>
      <c r="Y45" s="756"/>
    </row>
    <row r="46" spans="1:25" ht="9.75" customHeight="1">
      <c r="A46" s="136"/>
      <c r="B46" s="138"/>
      <c r="C46" s="138"/>
      <c r="D46" s="138"/>
      <c r="E46" s="138"/>
      <c r="F46" s="138"/>
      <c r="G46" s="138"/>
      <c r="H46" s="138"/>
      <c r="I46" s="138"/>
      <c r="J46" s="138"/>
      <c r="K46" s="138"/>
      <c r="L46" s="735" t="s">
        <v>229</v>
      </c>
      <c r="M46" s="735" t="s">
        <v>80</v>
      </c>
      <c r="N46" s="736">
        <v>20</v>
      </c>
      <c r="O46" s="737">
        <v>3.4419913625</v>
      </c>
      <c r="P46" s="737">
        <v>0.23131662382392473</v>
      </c>
      <c r="T46" s="585" t="s">
        <v>229</v>
      </c>
      <c r="U46" s="738">
        <v>0.31290277719267962</v>
      </c>
      <c r="V46" s="739">
        <v>0.25921535608402013</v>
      </c>
      <c r="W46" s="739"/>
      <c r="X46" s="585"/>
      <c r="Y46" s="756"/>
    </row>
    <row r="47" spans="1:25" ht="9.75" customHeight="1">
      <c r="A47" s="136"/>
      <c r="B47" s="138"/>
      <c r="C47" s="138"/>
      <c r="D47" s="138"/>
      <c r="E47" s="138"/>
      <c r="F47" s="138"/>
      <c r="G47" s="138"/>
      <c r="H47" s="138"/>
      <c r="I47" s="138"/>
      <c r="J47" s="138"/>
      <c r="K47" s="138"/>
      <c r="L47" s="735" t="s">
        <v>82</v>
      </c>
      <c r="M47" s="735" t="s">
        <v>80</v>
      </c>
      <c r="N47" s="736">
        <v>20</v>
      </c>
      <c r="O47" s="737">
        <v>3.3025214825</v>
      </c>
      <c r="P47" s="737">
        <v>0.2219436480174731</v>
      </c>
      <c r="T47" s="585" t="s">
        <v>423</v>
      </c>
      <c r="U47" s="738">
        <v>0.25583823463514077</v>
      </c>
      <c r="V47" s="739">
        <v>0.2375466789328767</v>
      </c>
      <c r="X47" s="585"/>
      <c r="Y47" s="756"/>
    </row>
    <row r="48" spans="1:25" ht="9.75" customHeight="1">
      <c r="A48" s="136"/>
      <c r="B48" s="138"/>
      <c r="C48" s="138"/>
      <c r="D48" s="138"/>
      <c r="E48" s="138"/>
      <c r="F48" s="138"/>
      <c r="G48" s="138"/>
      <c r="H48" s="138"/>
      <c r="I48" s="138"/>
      <c r="J48" s="138"/>
      <c r="K48" s="138"/>
      <c r="L48" s="735" t="s">
        <v>231</v>
      </c>
      <c r="M48" s="735" t="s">
        <v>80</v>
      </c>
      <c r="N48" s="736">
        <v>20</v>
      </c>
      <c r="O48" s="737">
        <v>3.2769572999999999</v>
      </c>
      <c r="P48" s="737">
        <v>0.22022562500000001</v>
      </c>
      <c r="T48" s="585" t="s">
        <v>82</v>
      </c>
      <c r="U48" s="738">
        <v>0.23736586320211789</v>
      </c>
      <c r="V48" s="739">
        <v>0.22929850071543037</v>
      </c>
      <c r="X48" s="585"/>
      <c r="Y48" s="756"/>
    </row>
    <row r="49" spans="1:25" ht="9.75" customHeight="1">
      <c r="A49" s="136"/>
      <c r="B49" s="138"/>
      <c r="C49" s="138"/>
      <c r="D49" s="138"/>
      <c r="E49" s="138"/>
      <c r="F49" s="138"/>
      <c r="G49" s="138"/>
      <c r="H49" s="138"/>
      <c r="I49" s="138"/>
      <c r="J49" s="138"/>
      <c r="K49" s="138"/>
      <c r="L49" s="735" t="s">
        <v>81</v>
      </c>
      <c r="M49" s="735" t="s">
        <v>80</v>
      </c>
      <c r="N49" s="736">
        <v>16</v>
      </c>
      <c r="O49" s="737">
        <v>3.2716496075000001</v>
      </c>
      <c r="P49" s="737">
        <v>0.27483615654401883</v>
      </c>
      <c r="T49" s="585" t="s">
        <v>231</v>
      </c>
      <c r="U49" s="738">
        <v>0.23619736418047879</v>
      </c>
      <c r="V49" s="739">
        <v>0.23651505723443222</v>
      </c>
      <c r="X49" s="585"/>
      <c r="Y49" s="756"/>
    </row>
    <row r="50" spans="1:25" ht="9.75" customHeight="1">
      <c r="A50" s="136"/>
      <c r="B50" s="138"/>
      <c r="C50" s="138"/>
      <c r="D50" s="138"/>
      <c r="E50" s="138"/>
      <c r="F50" s="138"/>
      <c r="G50" s="138"/>
      <c r="H50" s="138"/>
      <c r="I50" s="138"/>
      <c r="J50" s="138"/>
      <c r="K50" s="138"/>
      <c r="L50" s="735" t="s">
        <v>83</v>
      </c>
      <c r="M50" s="735" t="s">
        <v>400</v>
      </c>
      <c r="N50" s="736">
        <v>12.74105</v>
      </c>
      <c r="O50" s="737">
        <v>9.6311175724999991</v>
      </c>
      <c r="P50" s="737">
        <v>1.01601127855805</v>
      </c>
      <c r="S50" s="585" t="s">
        <v>431</v>
      </c>
      <c r="T50" s="585" t="s">
        <v>85</v>
      </c>
      <c r="U50" s="738">
        <v>0.88169674942144216</v>
      </c>
      <c r="V50" s="739">
        <v>0.51530026139996266</v>
      </c>
      <c r="Y50" s="514"/>
    </row>
    <row r="51" spans="1:25" ht="20.25" customHeight="1">
      <c r="A51" s="136"/>
      <c r="B51" s="138"/>
      <c r="C51" s="138"/>
      <c r="D51" s="138"/>
      <c r="E51" s="138"/>
      <c r="F51" s="138"/>
      <c r="G51" s="138"/>
      <c r="H51" s="138"/>
      <c r="I51" s="138"/>
      <c r="J51" s="138"/>
      <c r="K51" s="138"/>
      <c r="L51" s="735" t="s">
        <v>84</v>
      </c>
      <c r="M51" s="735" t="s">
        <v>400</v>
      </c>
      <c r="N51" s="736">
        <v>4.2625000000000002</v>
      </c>
      <c r="O51" s="737">
        <v>2.0990672500000001</v>
      </c>
      <c r="P51" s="737">
        <v>0.66189488537823604</v>
      </c>
      <c r="T51" s="584" t="s">
        <v>84</v>
      </c>
      <c r="U51" s="738">
        <v>0.86261552375474582</v>
      </c>
      <c r="V51" s="739">
        <v>0.48486496514238453</v>
      </c>
    </row>
    <row r="52" spans="1:25" ht="9.75" customHeight="1">
      <c r="A52" s="136"/>
      <c r="B52" s="138"/>
      <c r="C52" s="138"/>
      <c r="D52" s="138"/>
      <c r="E52" s="138"/>
      <c r="F52" s="138"/>
      <c r="G52" s="138"/>
      <c r="H52" s="138"/>
      <c r="I52" s="138"/>
      <c r="J52" s="138"/>
      <c r="K52" s="138"/>
      <c r="L52" s="735" t="s">
        <v>85</v>
      </c>
      <c r="M52" s="735" t="s">
        <v>400</v>
      </c>
      <c r="N52" s="736">
        <v>2.9537</v>
      </c>
      <c r="O52" s="737">
        <v>1.7365401999999999</v>
      </c>
      <c r="P52" s="737">
        <v>0.790215461489708</v>
      </c>
      <c r="T52" s="585" t="s">
        <v>83</v>
      </c>
      <c r="U52" s="738">
        <v>0.8538768363710304</v>
      </c>
      <c r="V52" s="739">
        <v>0.74927398270613943</v>
      </c>
    </row>
    <row r="53" spans="1:25" ht="9.75" customHeight="1">
      <c r="B53" s="138"/>
      <c r="C53" s="138"/>
      <c r="D53" s="138"/>
      <c r="E53" s="138"/>
      <c r="F53" s="138"/>
      <c r="G53" s="138"/>
      <c r="H53" s="138"/>
      <c r="I53" s="138"/>
      <c r="J53" s="138"/>
      <c r="K53" s="138"/>
      <c r="L53" s="735" t="s">
        <v>475</v>
      </c>
      <c r="M53" s="735" t="s">
        <v>400</v>
      </c>
      <c r="N53" s="736">
        <v>2.4</v>
      </c>
      <c r="O53" s="737">
        <v>1.4166322249999999</v>
      </c>
      <c r="P53" s="737">
        <v>0.79336482134856623</v>
      </c>
      <c r="T53" s="585" t="s">
        <v>424</v>
      </c>
      <c r="U53" s="585">
        <v>0.69355076518377845</v>
      </c>
      <c r="V53" s="739">
        <v>0.50704021195818072</v>
      </c>
    </row>
    <row r="54" spans="1:25" ht="30.75" customHeight="1">
      <c r="L54" s="585" t="s">
        <v>424</v>
      </c>
      <c r="M54" s="735" t="s">
        <v>400</v>
      </c>
      <c r="N54" s="736">
        <v>2.4</v>
      </c>
      <c r="O54" s="737">
        <v>0.47790939999999998</v>
      </c>
      <c r="P54" s="737">
        <v>0.26764639336917562</v>
      </c>
      <c r="T54" s="585" t="s">
        <v>475</v>
      </c>
      <c r="U54" s="585">
        <v>0.63098806903199822</v>
      </c>
      <c r="V54" s="739"/>
    </row>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845"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junio.
Nota: Son consideradas las centrales con operación comercial</v>
      </c>
      <c r="B64" s="845"/>
      <c r="C64" s="845"/>
      <c r="D64" s="845"/>
      <c r="E64" s="845"/>
      <c r="F64" s="845"/>
      <c r="G64" s="845"/>
      <c r="H64" s="845"/>
      <c r="I64" s="845"/>
      <c r="J64" s="845"/>
      <c r="K64" s="845"/>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Q72"/>
  <sheetViews>
    <sheetView showGridLines="0" view="pageBreakPreview" zoomScaleNormal="100" zoomScaleSheetLayoutView="100" zoomScalePageLayoutView="115" workbookViewId="0">
      <selection activeCell="B24" sqref="B24"/>
    </sheetView>
  </sheetViews>
  <sheetFormatPr baseColWidth="10" defaultColWidth="9.28515625" defaultRowHeight="10.199999999999999"/>
  <cols>
    <col min="1" max="1" width="30.140625" customWidth="1"/>
    <col min="2" max="2" width="11.140625" bestFit="1" customWidth="1"/>
    <col min="3" max="3" width="9.42578125" bestFit="1" customWidth="1"/>
    <col min="4" max="4" width="10.140625" bestFit="1" customWidth="1"/>
    <col min="10" max="10" width="9.28515625" customWidth="1"/>
    <col min="11" max="11" width="22.85546875" style="278" customWidth="1"/>
    <col min="12" max="12" width="19.140625" style="278" customWidth="1"/>
    <col min="13" max="13" width="10.42578125" style="278" bestFit="1" customWidth="1"/>
    <col min="14" max="14" width="9.42578125" style="278" bestFit="1" customWidth="1"/>
    <col min="15" max="15" width="9.28515625" style="278"/>
    <col min="16" max="17" width="9.28515625" style="514"/>
  </cols>
  <sheetData>
    <row r="1" spans="1:14" ht="11.25" customHeight="1">
      <c r="A1" s="846" t="s">
        <v>233</v>
      </c>
      <c r="B1" s="846"/>
      <c r="C1" s="846"/>
      <c r="D1" s="846"/>
      <c r="E1" s="846"/>
      <c r="F1" s="846"/>
      <c r="G1" s="846"/>
      <c r="H1" s="846"/>
      <c r="I1" s="846"/>
      <c r="J1" s="17"/>
    </row>
    <row r="2" spans="1:14" ht="6" customHeight="1">
      <c r="A2" s="17"/>
      <c r="B2" s="17"/>
      <c r="C2" s="17"/>
      <c r="D2" s="17"/>
      <c r="E2" s="17"/>
      <c r="F2" s="17"/>
      <c r="G2" s="17"/>
      <c r="H2" s="17"/>
      <c r="I2" s="17"/>
      <c r="J2" s="17"/>
      <c r="K2" s="698"/>
      <c r="L2" s="698"/>
    </row>
    <row r="3" spans="1:14" ht="11.25" customHeight="1">
      <c r="A3" s="852" t="s">
        <v>243</v>
      </c>
      <c r="B3" s="853" t="str">
        <f>+'1. Resumen'!Q4</f>
        <v>junio</v>
      </c>
      <c r="C3" s="854"/>
      <c r="D3" s="854"/>
      <c r="E3" s="138"/>
      <c r="F3" s="138"/>
      <c r="G3" s="855" t="s">
        <v>500</v>
      </c>
      <c r="H3" s="855"/>
      <c r="I3" s="855"/>
      <c r="J3" s="138"/>
      <c r="L3" s="699"/>
      <c r="M3" s="700">
        <v>2021</v>
      </c>
      <c r="N3" s="700">
        <v>2020</v>
      </c>
    </row>
    <row r="4" spans="1:14" ht="11.25" customHeight="1">
      <c r="A4" s="852"/>
      <c r="B4" s="374">
        <f>+'1. Resumen'!Q5</f>
        <v>2021</v>
      </c>
      <c r="C4" s="375">
        <f>+B4-1</f>
        <v>2020</v>
      </c>
      <c r="D4" s="375" t="s">
        <v>35</v>
      </c>
      <c r="E4" s="138"/>
      <c r="F4" s="138"/>
      <c r="G4" s="138"/>
      <c r="H4" s="138"/>
      <c r="I4" s="138"/>
      <c r="J4" s="138"/>
      <c r="K4" s="777"/>
      <c r="L4" s="701" t="s">
        <v>234</v>
      </c>
      <c r="M4" s="702">
        <v>0</v>
      </c>
      <c r="N4" s="702">
        <v>0</v>
      </c>
    </row>
    <row r="5" spans="1:14" ht="10.5" customHeight="1">
      <c r="A5" s="648" t="s">
        <v>407</v>
      </c>
      <c r="B5" s="649">
        <v>800.45004372250003</v>
      </c>
      <c r="C5" s="650">
        <v>366.03391326249999</v>
      </c>
      <c r="D5" s="651">
        <f>IF(C5=0,"",B5/C5-1)</f>
        <v>1.1868193484805873</v>
      </c>
      <c r="E5" s="138"/>
      <c r="F5" s="138"/>
      <c r="G5" s="138"/>
      <c r="H5" s="138"/>
      <c r="I5" s="138"/>
      <c r="J5" s="138"/>
      <c r="K5" s="778"/>
      <c r="L5" s="701" t="s">
        <v>409</v>
      </c>
      <c r="M5" s="702">
        <v>0.18479599999999999</v>
      </c>
      <c r="N5" s="702">
        <v>1.9248000000000001E-2</v>
      </c>
    </row>
    <row r="6" spans="1:14" ht="10.5" customHeight="1">
      <c r="A6" s="652" t="s">
        <v>87</v>
      </c>
      <c r="B6" s="653">
        <v>652.32864483749984</v>
      </c>
      <c r="C6" s="653">
        <v>577.23144132499999</v>
      </c>
      <c r="D6" s="654">
        <f t="shared" ref="D6:D66" si="0">IF(C6=0,"",B6/C6-1)</f>
        <v>0.13009894842200342</v>
      </c>
      <c r="E6" s="324"/>
      <c r="F6" s="138"/>
      <c r="G6" s="138"/>
      <c r="H6" s="138"/>
      <c r="I6" s="138"/>
      <c r="J6" s="138"/>
      <c r="L6" s="702" t="s">
        <v>487</v>
      </c>
      <c r="M6" s="702">
        <v>0.30371019999999999</v>
      </c>
      <c r="N6" s="702">
        <v>0.29502389499999998</v>
      </c>
    </row>
    <row r="7" spans="1:14" ht="10.5" customHeight="1">
      <c r="A7" s="648" t="s">
        <v>89</v>
      </c>
      <c r="B7" s="650">
        <v>586.60518911999998</v>
      </c>
      <c r="C7" s="650">
        <v>604.85600927999985</v>
      </c>
      <c r="D7" s="651">
        <f t="shared" si="0"/>
        <v>-3.0173826299130346E-2</v>
      </c>
      <c r="E7" s="138"/>
      <c r="F7" s="138"/>
      <c r="G7" s="138"/>
      <c r="H7" s="138"/>
      <c r="I7" s="138"/>
      <c r="J7" s="138"/>
      <c r="L7" s="701" t="s">
        <v>116</v>
      </c>
      <c r="M7" s="702">
        <v>0.38433295000000001</v>
      </c>
      <c r="N7" s="702">
        <v>2.0583757499999997E-2</v>
      </c>
    </row>
    <row r="8" spans="1:14" ht="10.5" customHeight="1">
      <c r="A8" s="652" t="s">
        <v>88</v>
      </c>
      <c r="B8" s="653">
        <v>586.20104074750009</v>
      </c>
      <c r="C8" s="653">
        <v>455.57443099749997</v>
      </c>
      <c r="D8" s="654">
        <f t="shared" si="0"/>
        <v>0.28672945815678785</v>
      </c>
      <c r="E8" s="138"/>
      <c r="F8" s="138"/>
      <c r="G8" s="138"/>
      <c r="H8" s="138"/>
      <c r="I8" s="138"/>
      <c r="J8" s="138"/>
      <c r="L8" s="701" t="s">
        <v>241</v>
      </c>
      <c r="M8" s="702">
        <v>0.59797893999999996</v>
      </c>
      <c r="N8" s="702">
        <v>2.3127475000000002E-3</v>
      </c>
    </row>
    <row r="9" spans="1:14" ht="10.5" customHeight="1">
      <c r="A9" s="648" t="s">
        <v>237</v>
      </c>
      <c r="B9" s="650">
        <v>367.01887198749995</v>
      </c>
      <c r="C9" s="650">
        <v>298.82168594000007</v>
      </c>
      <c r="D9" s="651">
        <f t="shared" si="0"/>
        <v>0.22822033760024052</v>
      </c>
      <c r="E9" s="138"/>
      <c r="F9" s="138"/>
      <c r="G9" s="138"/>
      <c r="H9" s="138"/>
      <c r="I9" s="138"/>
      <c r="J9" s="138"/>
      <c r="K9" s="777"/>
      <c r="L9" s="702" t="s">
        <v>117</v>
      </c>
      <c r="M9" s="702">
        <v>0.77859313500000005</v>
      </c>
      <c r="N9" s="702">
        <v>0</v>
      </c>
    </row>
    <row r="10" spans="1:14" ht="10.5" customHeight="1">
      <c r="A10" s="652" t="s">
        <v>239</v>
      </c>
      <c r="B10" s="653">
        <v>158.0561784775</v>
      </c>
      <c r="C10" s="653">
        <v>127.09308077249999</v>
      </c>
      <c r="D10" s="654">
        <f t="shared" si="0"/>
        <v>0.24362536116678757</v>
      </c>
      <c r="E10" s="138"/>
      <c r="F10" s="138"/>
      <c r="G10" s="138"/>
      <c r="H10" s="138"/>
      <c r="I10" s="138"/>
      <c r="J10" s="138"/>
      <c r="K10" s="778"/>
      <c r="L10" s="702" t="s">
        <v>242</v>
      </c>
      <c r="M10" s="702">
        <v>0.80773220000000001</v>
      </c>
      <c r="N10" s="702">
        <v>0</v>
      </c>
    </row>
    <row r="11" spans="1:14" ht="10.5" customHeight="1">
      <c r="A11" s="648" t="s">
        <v>90</v>
      </c>
      <c r="B11" s="650">
        <v>154.75683293</v>
      </c>
      <c r="C11" s="650">
        <v>154.21513433499996</v>
      </c>
      <c r="D11" s="651">
        <f t="shared" si="0"/>
        <v>3.5126163027767721E-3</v>
      </c>
      <c r="E11" s="138"/>
      <c r="F11" s="138"/>
      <c r="G11" s="138"/>
      <c r="H11" s="138"/>
      <c r="I11" s="138"/>
      <c r="J11" s="138"/>
      <c r="K11" s="778"/>
      <c r="L11" s="702" t="s">
        <v>115</v>
      </c>
      <c r="M11" s="702">
        <v>1.3921643050000001</v>
      </c>
      <c r="N11" s="702">
        <v>1.1218027825000001</v>
      </c>
    </row>
    <row r="12" spans="1:14" ht="10.5" customHeight="1">
      <c r="A12" s="652" t="s">
        <v>92</v>
      </c>
      <c r="B12" s="653">
        <v>100.79807644</v>
      </c>
      <c r="C12" s="653">
        <v>112.71340004000001</v>
      </c>
      <c r="D12" s="655">
        <f t="shared" si="0"/>
        <v>-0.10571346082871658</v>
      </c>
      <c r="E12" s="138"/>
      <c r="F12" s="138"/>
      <c r="G12" s="138"/>
      <c r="H12" s="138"/>
      <c r="I12" s="138"/>
      <c r="J12" s="138"/>
      <c r="K12" s="778"/>
      <c r="L12" s="701" t="s">
        <v>112</v>
      </c>
      <c r="M12" s="702">
        <v>1.8214101550000001</v>
      </c>
      <c r="N12" s="702">
        <v>2.12640377</v>
      </c>
    </row>
    <row r="13" spans="1:14" ht="10.5" customHeight="1">
      <c r="A13" s="648" t="s">
        <v>235</v>
      </c>
      <c r="B13" s="650">
        <v>94.202229924999997</v>
      </c>
      <c r="C13" s="650">
        <v>99.662383347499997</v>
      </c>
      <c r="D13" s="651">
        <f t="shared" si="0"/>
        <v>-5.4786502581035901E-2</v>
      </c>
      <c r="E13" s="138"/>
      <c r="F13" s="138"/>
      <c r="G13" s="138"/>
      <c r="H13" s="138"/>
      <c r="I13" s="138"/>
      <c r="J13" s="138"/>
      <c r="K13" s="778"/>
      <c r="L13" s="701" t="s">
        <v>114</v>
      </c>
      <c r="M13" s="702">
        <v>1.9724000000000002</v>
      </c>
      <c r="N13" s="702">
        <v>2.2176</v>
      </c>
    </row>
    <row r="14" spans="1:14" ht="10.5" customHeight="1">
      <c r="A14" s="652" t="s">
        <v>100</v>
      </c>
      <c r="B14" s="653">
        <v>78.170038577499994</v>
      </c>
      <c r="C14" s="653">
        <v>153.73033570749999</v>
      </c>
      <c r="D14" s="654">
        <f t="shared" si="0"/>
        <v>-0.49151195033989414</v>
      </c>
      <c r="E14" s="138"/>
      <c r="F14" s="138"/>
      <c r="G14" s="138"/>
      <c r="H14" s="138"/>
      <c r="I14" s="138"/>
      <c r="J14" s="138"/>
      <c r="K14" s="778"/>
      <c r="L14" s="702" t="s">
        <v>113</v>
      </c>
      <c r="M14" s="702">
        <v>2.1523594775000001</v>
      </c>
      <c r="N14" s="702">
        <v>1.7968975674999998</v>
      </c>
    </row>
    <row r="15" spans="1:14" ht="10.5" customHeight="1">
      <c r="A15" s="648" t="s">
        <v>98</v>
      </c>
      <c r="B15" s="650">
        <v>73.188274954999997</v>
      </c>
      <c r="C15" s="650">
        <v>88.613017904999992</v>
      </c>
      <c r="D15" s="651">
        <f t="shared" si="0"/>
        <v>-0.17406858850622275</v>
      </c>
      <c r="E15" s="138"/>
      <c r="F15" s="138"/>
      <c r="G15" s="138"/>
      <c r="H15" s="138"/>
      <c r="I15" s="138"/>
      <c r="J15" s="138" t="s">
        <v>8</v>
      </c>
      <c r="K15" s="778"/>
      <c r="L15" s="702" t="s">
        <v>110</v>
      </c>
      <c r="M15" s="702">
        <v>3.2716496075000001</v>
      </c>
      <c r="N15" s="702">
        <v>3.1982834100000002</v>
      </c>
    </row>
    <row r="16" spans="1:14" ht="10.5" customHeight="1">
      <c r="A16" s="652" t="s">
        <v>91</v>
      </c>
      <c r="B16" s="653">
        <v>70.039126034999995</v>
      </c>
      <c r="C16" s="653">
        <v>70.159468447500004</v>
      </c>
      <c r="D16" s="654">
        <f t="shared" si="0"/>
        <v>-1.7152697299874786E-3</v>
      </c>
      <c r="E16" s="138"/>
      <c r="F16" s="138"/>
      <c r="G16" s="138"/>
      <c r="H16" s="138"/>
      <c r="I16" s="138"/>
      <c r="J16" s="138"/>
      <c r="K16" s="778"/>
      <c r="L16" s="702" t="s">
        <v>483</v>
      </c>
      <c r="M16" s="702">
        <v>3.2769572999999999</v>
      </c>
      <c r="N16" s="702">
        <v>3.3092989999999998</v>
      </c>
    </row>
    <row r="17" spans="1:14" ht="10.5" customHeight="1">
      <c r="A17" s="648" t="s">
        <v>93</v>
      </c>
      <c r="B17" s="650">
        <v>67.30903233250001</v>
      </c>
      <c r="C17" s="650">
        <v>66.997822694999996</v>
      </c>
      <c r="D17" s="651">
        <f t="shared" si="0"/>
        <v>4.6450709139722601E-3</v>
      </c>
      <c r="E17" s="138"/>
      <c r="F17" s="138"/>
      <c r="G17" s="138"/>
      <c r="H17" s="138"/>
      <c r="I17" s="138"/>
      <c r="J17" s="138"/>
      <c r="K17" s="779"/>
      <c r="L17" s="702" t="s">
        <v>484</v>
      </c>
      <c r="M17" s="702">
        <v>3.3025214825</v>
      </c>
      <c r="N17" s="702">
        <v>3.3394412349999998</v>
      </c>
    </row>
    <row r="18" spans="1:14" ht="10.5" customHeight="1">
      <c r="A18" s="652" t="s">
        <v>94</v>
      </c>
      <c r="B18" s="653">
        <v>67.067425929999999</v>
      </c>
      <c r="C18" s="653">
        <v>63.7613017575</v>
      </c>
      <c r="D18" s="654">
        <f t="shared" si="0"/>
        <v>5.1851578957311961E-2</v>
      </c>
      <c r="E18" s="138"/>
      <c r="F18" s="138"/>
      <c r="G18" s="138"/>
      <c r="H18" s="138"/>
      <c r="I18" s="138"/>
      <c r="J18" s="138"/>
      <c r="K18" s="778"/>
      <c r="L18" s="701" t="s">
        <v>109</v>
      </c>
      <c r="M18" s="702">
        <v>3.4419913625</v>
      </c>
      <c r="N18" s="702">
        <v>2.9275250850000001</v>
      </c>
    </row>
    <row r="19" spans="1:14" ht="10.5" customHeight="1">
      <c r="A19" s="648" t="s">
        <v>96</v>
      </c>
      <c r="B19" s="650">
        <v>64.7966159275</v>
      </c>
      <c r="C19" s="650">
        <v>61.168153510000003</v>
      </c>
      <c r="D19" s="651">
        <f t="shared" si="0"/>
        <v>5.9319469516221357E-2</v>
      </c>
      <c r="E19" s="138"/>
      <c r="F19" s="138"/>
      <c r="G19" s="138"/>
      <c r="H19" s="138"/>
      <c r="I19" s="138"/>
      <c r="J19" s="138"/>
      <c r="K19" s="778"/>
      <c r="L19" s="702" t="s">
        <v>107</v>
      </c>
      <c r="M19" s="702">
        <v>3.9085683924999999</v>
      </c>
      <c r="N19" s="702">
        <v>3.8023325275000004</v>
      </c>
    </row>
    <row r="20" spans="1:14" ht="10.5" customHeight="1">
      <c r="A20" s="652" t="s">
        <v>425</v>
      </c>
      <c r="B20" s="653">
        <v>54.009388967500001</v>
      </c>
      <c r="C20" s="653">
        <v>60.631306335000005</v>
      </c>
      <c r="D20" s="654">
        <f t="shared" si="0"/>
        <v>-0.10921614208528829</v>
      </c>
      <c r="E20" s="138"/>
      <c r="F20" s="138"/>
      <c r="G20" s="138"/>
      <c r="H20" s="138"/>
      <c r="I20" s="138"/>
      <c r="J20" s="138"/>
      <c r="K20" s="778"/>
      <c r="L20" s="701" t="s">
        <v>485</v>
      </c>
      <c r="M20" s="702">
        <v>4.1920735350000005</v>
      </c>
      <c r="N20" s="702"/>
    </row>
    <row r="21" spans="1:14" ht="10.5" customHeight="1">
      <c r="A21" s="648" t="s">
        <v>95</v>
      </c>
      <c r="B21" s="650">
        <v>44.163238017499999</v>
      </c>
      <c r="C21" s="650">
        <v>50.641498837499995</v>
      </c>
      <c r="D21" s="651">
        <f t="shared" si="0"/>
        <v>-0.12792395503118181</v>
      </c>
      <c r="E21" s="138"/>
      <c r="F21" s="138"/>
      <c r="G21" s="138"/>
      <c r="H21" s="138"/>
      <c r="I21" s="138"/>
      <c r="J21" s="138"/>
      <c r="K21" s="779"/>
      <c r="L21" s="702" t="s">
        <v>102</v>
      </c>
      <c r="M21" s="702">
        <v>4.4306151800000002</v>
      </c>
      <c r="N21" s="702">
        <v>0</v>
      </c>
    </row>
    <row r="22" spans="1:14" ht="10.5" customHeight="1">
      <c r="A22" s="652" t="s">
        <v>99</v>
      </c>
      <c r="B22" s="653">
        <v>38.573131142500003</v>
      </c>
      <c r="C22" s="653">
        <v>46.796291310000001</v>
      </c>
      <c r="D22" s="654">
        <f t="shared" si="0"/>
        <v>-0.17572247580531608</v>
      </c>
      <c r="E22" s="138"/>
      <c r="F22" s="138"/>
      <c r="G22" s="138"/>
      <c r="H22" s="138"/>
      <c r="I22" s="138"/>
      <c r="J22" s="138"/>
      <c r="K22" s="778"/>
      <c r="L22" s="701" t="s">
        <v>426</v>
      </c>
      <c r="M22" s="702">
        <v>5.217454</v>
      </c>
      <c r="N22" s="702">
        <v>4.7489047499999995</v>
      </c>
    </row>
    <row r="23" spans="1:14" ht="10.5" customHeight="1">
      <c r="A23" s="648" t="s">
        <v>236</v>
      </c>
      <c r="B23" s="650">
        <v>32.441926084999999</v>
      </c>
      <c r="C23" s="650">
        <v>37.451579500000001</v>
      </c>
      <c r="D23" s="651">
        <f t="shared" si="0"/>
        <v>-0.13376347491565754</v>
      </c>
      <c r="E23" s="138"/>
      <c r="F23" s="138"/>
      <c r="G23" s="138"/>
      <c r="H23" s="138"/>
      <c r="I23" s="138"/>
      <c r="J23" s="138"/>
      <c r="K23" s="778"/>
      <c r="L23" s="701" t="s">
        <v>408</v>
      </c>
      <c r="M23" s="702">
        <v>5.7301490749999999</v>
      </c>
      <c r="N23" s="702">
        <v>2.4690676000000003</v>
      </c>
    </row>
    <row r="24" spans="1:14" ht="10.5" customHeight="1">
      <c r="A24" s="652" t="s">
        <v>97</v>
      </c>
      <c r="B24" s="653">
        <v>28.484726132500001</v>
      </c>
      <c r="C24" s="653">
        <v>44.014606310000005</v>
      </c>
      <c r="D24" s="654">
        <f t="shared" si="0"/>
        <v>-0.35283469464934547</v>
      </c>
      <c r="E24" s="138"/>
      <c r="F24" s="138"/>
      <c r="G24" s="138"/>
      <c r="H24" s="138"/>
      <c r="I24" s="138"/>
      <c r="J24" s="138"/>
      <c r="K24" s="778"/>
      <c r="L24" s="701" t="s">
        <v>486</v>
      </c>
      <c r="M24" s="702">
        <v>6.0990137850000004</v>
      </c>
      <c r="N24" s="702"/>
    </row>
    <row r="25" spans="1:14" ht="10.5" customHeight="1">
      <c r="A25" s="648" t="s">
        <v>519</v>
      </c>
      <c r="B25" s="650">
        <v>24.978724379999999</v>
      </c>
      <c r="C25" s="650"/>
      <c r="D25" s="651" t="str">
        <f t="shared" si="0"/>
        <v/>
      </c>
      <c r="E25" s="138"/>
      <c r="F25" s="138"/>
      <c r="G25" s="138"/>
      <c r="H25" s="138"/>
      <c r="I25" s="138"/>
      <c r="J25" s="138"/>
      <c r="K25" s="778"/>
      <c r="L25" s="702" t="s">
        <v>119</v>
      </c>
      <c r="M25" s="702">
        <v>6.1763460699999992</v>
      </c>
      <c r="N25" s="702">
        <v>0</v>
      </c>
    </row>
    <row r="26" spans="1:14" ht="10.5" customHeight="1">
      <c r="A26" s="652" t="s">
        <v>105</v>
      </c>
      <c r="B26" s="653">
        <v>22.330118052499998</v>
      </c>
      <c r="C26" s="653">
        <v>1.3787250000000002E-4</v>
      </c>
      <c r="D26" s="654"/>
      <c r="E26" s="138"/>
      <c r="F26" s="138"/>
      <c r="G26" s="138"/>
      <c r="H26" s="138"/>
      <c r="I26" s="138"/>
      <c r="J26" s="138"/>
      <c r="K26" s="778"/>
      <c r="L26" s="701" t="s">
        <v>447</v>
      </c>
      <c r="M26" s="702">
        <v>7.0078906275000001</v>
      </c>
      <c r="N26" s="702">
        <v>5.8982593724999992</v>
      </c>
    </row>
    <row r="27" spans="1:14" ht="10.5" customHeight="1">
      <c r="A27" s="656" t="s">
        <v>108</v>
      </c>
      <c r="B27" s="650">
        <v>22.310216005000001</v>
      </c>
      <c r="C27" s="650">
        <v>22.301874475000005</v>
      </c>
      <c r="D27" s="651">
        <f t="shared" si="0"/>
        <v>3.7402820150145288E-4</v>
      </c>
      <c r="E27" s="138"/>
      <c r="F27" s="138"/>
      <c r="G27" s="138"/>
      <c r="H27" s="138"/>
      <c r="I27" s="138"/>
      <c r="J27" s="138"/>
      <c r="K27" s="778"/>
      <c r="L27" s="701" t="s">
        <v>462</v>
      </c>
      <c r="M27" s="702">
        <v>7.5211444449999991</v>
      </c>
      <c r="N27" s="702">
        <v>2.3152220425000003</v>
      </c>
    </row>
    <row r="28" spans="1:14" ht="10.5" customHeight="1">
      <c r="A28" s="657" t="s">
        <v>488</v>
      </c>
      <c r="B28" s="653">
        <v>18.822407947500004</v>
      </c>
      <c r="C28" s="653">
        <v>18.1049693625</v>
      </c>
      <c r="D28" s="654">
        <f t="shared" si="0"/>
        <v>3.9626611381403443E-2</v>
      </c>
      <c r="E28" s="138"/>
      <c r="F28" s="138"/>
      <c r="G28" s="138"/>
      <c r="H28" s="138"/>
      <c r="I28" s="138"/>
      <c r="J28" s="138"/>
      <c r="K28" s="778"/>
      <c r="L28" s="701" t="s">
        <v>415</v>
      </c>
      <c r="M28" s="702">
        <v>8.0713270250000004</v>
      </c>
      <c r="N28" s="702">
        <v>9.3673749849999997</v>
      </c>
    </row>
    <row r="29" spans="1:14" ht="10.5" customHeight="1">
      <c r="A29" s="658" t="s">
        <v>111</v>
      </c>
      <c r="B29" s="650">
        <v>16.245014170000001</v>
      </c>
      <c r="C29" s="650">
        <v>16.321826267500001</v>
      </c>
      <c r="D29" s="651">
        <f t="shared" si="0"/>
        <v>-4.7060969919124895E-3</v>
      </c>
      <c r="E29" s="138"/>
      <c r="F29" s="138"/>
      <c r="G29" s="138"/>
      <c r="H29" s="138"/>
      <c r="I29" s="138"/>
      <c r="J29" s="138"/>
      <c r="K29" s="778"/>
      <c r="L29" s="702" t="s">
        <v>448</v>
      </c>
      <c r="M29" s="702">
        <v>8.1426670849999994</v>
      </c>
      <c r="N29" s="702">
        <v>6.0410269574999997</v>
      </c>
    </row>
    <row r="30" spans="1:14" ht="10.5" customHeight="1">
      <c r="A30" s="657" t="s">
        <v>399</v>
      </c>
      <c r="B30" s="653">
        <v>14.3996138975</v>
      </c>
      <c r="C30" s="653">
        <v>14.4008622175</v>
      </c>
      <c r="D30" s="654">
        <f t="shared" si="0"/>
        <v>-8.66836985971009E-5</v>
      </c>
      <c r="E30" s="138"/>
      <c r="F30" s="138"/>
      <c r="G30" s="138"/>
      <c r="H30" s="138"/>
      <c r="I30" s="138"/>
      <c r="J30" s="138"/>
      <c r="K30" s="778"/>
      <c r="L30" s="702" t="s">
        <v>118</v>
      </c>
      <c r="M30" s="702">
        <v>8.2153126424999989</v>
      </c>
      <c r="N30" s="702">
        <v>2.5531149850000001</v>
      </c>
    </row>
    <row r="31" spans="1:14" ht="14.25" customHeight="1">
      <c r="A31" s="658" t="s">
        <v>240</v>
      </c>
      <c r="B31" s="650">
        <v>13.23948869</v>
      </c>
      <c r="C31" s="650">
        <v>13.4524993675</v>
      </c>
      <c r="D31" s="651">
        <f t="shared" si="0"/>
        <v>-1.5834282662344101E-2</v>
      </c>
      <c r="E31" s="138"/>
      <c r="F31" s="138"/>
      <c r="G31" s="138"/>
      <c r="H31" s="138"/>
      <c r="I31" s="138"/>
      <c r="J31" s="138"/>
      <c r="K31" s="778"/>
      <c r="L31" s="702" t="s">
        <v>439</v>
      </c>
      <c r="M31" s="702">
        <v>8.6438365699999995</v>
      </c>
      <c r="N31" s="702">
        <v>9.5612677625</v>
      </c>
    </row>
    <row r="32" spans="1:14">
      <c r="A32" s="659" t="s">
        <v>489</v>
      </c>
      <c r="B32" s="653">
        <v>13.194489557500001</v>
      </c>
      <c r="C32" s="653">
        <v>12.60795622</v>
      </c>
      <c r="D32" s="654">
        <f t="shared" si="0"/>
        <v>4.6520889449916059E-2</v>
      </c>
      <c r="E32" s="138"/>
      <c r="F32" s="138"/>
      <c r="G32" s="138"/>
      <c r="H32" s="138"/>
      <c r="I32" s="138"/>
      <c r="J32" s="138"/>
      <c r="K32" s="778"/>
      <c r="L32" s="701" t="s">
        <v>418</v>
      </c>
      <c r="M32" s="702">
        <v>9.1583625399999988</v>
      </c>
      <c r="N32" s="702">
        <v>6.1175919424999998</v>
      </c>
    </row>
    <row r="33" spans="1:14">
      <c r="A33" s="660" t="s">
        <v>101</v>
      </c>
      <c r="B33" s="650">
        <v>12.710065015</v>
      </c>
      <c r="C33" s="650">
        <v>9.6163806674999996</v>
      </c>
      <c r="D33" s="651">
        <f>IF(C33=0,"",B33/C33-1)</f>
        <v>0.32170984640360278</v>
      </c>
      <c r="E33" s="138"/>
      <c r="F33" s="138"/>
      <c r="G33" s="138"/>
      <c r="H33" s="138"/>
      <c r="I33" s="138"/>
      <c r="J33" s="138"/>
      <c r="K33" s="780"/>
      <c r="L33" s="701" t="s">
        <v>106</v>
      </c>
      <c r="M33" s="702">
        <v>9.6311175724999991</v>
      </c>
      <c r="N33" s="702">
        <v>8.7488638724999994</v>
      </c>
    </row>
    <row r="34" spans="1:14">
      <c r="A34" s="659" t="s">
        <v>104</v>
      </c>
      <c r="B34" s="653">
        <v>11.9598513625</v>
      </c>
      <c r="C34" s="653">
        <v>6.930165165</v>
      </c>
      <c r="D34" s="654">
        <f t="shared" si="0"/>
        <v>0.72576714663336594</v>
      </c>
      <c r="E34" s="138"/>
      <c r="F34" s="138"/>
      <c r="G34" s="138"/>
      <c r="H34" s="138"/>
      <c r="I34" s="138"/>
      <c r="J34" s="138"/>
      <c r="K34" s="780"/>
      <c r="L34" s="701" t="s">
        <v>103</v>
      </c>
      <c r="M34" s="702">
        <v>11.583227112499999</v>
      </c>
      <c r="N34" s="702">
        <v>9.4649494475000004</v>
      </c>
    </row>
    <row r="35" spans="1:14" ht="12.6" customHeight="1">
      <c r="A35" s="660" t="s">
        <v>238</v>
      </c>
      <c r="B35" s="650">
        <v>11.930665569999999</v>
      </c>
      <c r="C35" s="650">
        <v>11.345840219999999</v>
      </c>
      <c r="D35" s="651">
        <f t="shared" si="0"/>
        <v>5.1545353949995931E-2</v>
      </c>
      <c r="E35" s="138"/>
      <c r="F35" s="138"/>
      <c r="G35" s="138"/>
      <c r="H35" s="138"/>
      <c r="I35" s="138"/>
      <c r="J35" s="138"/>
      <c r="K35" s="779"/>
      <c r="L35" s="701" t="s">
        <v>238</v>
      </c>
      <c r="M35" s="702">
        <v>11.930665569999999</v>
      </c>
      <c r="N35" s="702">
        <v>11.345840219999999</v>
      </c>
    </row>
    <row r="36" spans="1:14" ht="13.95" customHeight="1">
      <c r="A36" s="659" t="s">
        <v>103</v>
      </c>
      <c r="B36" s="653">
        <v>11.583227112499999</v>
      </c>
      <c r="C36" s="653">
        <v>9.4649494475000004</v>
      </c>
      <c r="D36" s="654">
        <f t="shared" si="0"/>
        <v>0.22380232210954953</v>
      </c>
      <c r="E36" s="138"/>
      <c r="F36" s="138"/>
      <c r="G36" s="138"/>
      <c r="H36" s="138"/>
      <c r="I36" s="138"/>
      <c r="J36" s="138"/>
      <c r="K36" s="779"/>
      <c r="L36" s="702" t="s">
        <v>104</v>
      </c>
      <c r="M36" s="702">
        <v>11.9598513625</v>
      </c>
      <c r="N36" s="702">
        <v>6.930165165</v>
      </c>
    </row>
    <row r="37" spans="1:14" ht="10.5" customHeight="1">
      <c r="A37" s="660" t="s">
        <v>106</v>
      </c>
      <c r="B37" s="650">
        <v>9.6311175724999991</v>
      </c>
      <c r="C37" s="650">
        <v>8.7488638724999994</v>
      </c>
      <c r="D37" s="651">
        <f t="shared" si="0"/>
        <v>0.10084208793934457</v>
      </c>
      <c r="E37" s="138"/>
      <c r="F37" s="138"/>
      <c r="G37" s="138"/>
      <c r="H37" s="138"/>
      <c r="I37" s="138"/>
      <c r="J37" s="138"/>
      <c r="K37" s="779"/>
      <c r="L37" s="701" t="s">
        <v>101</v>
      </c>
      <c r="M37" s="702">
        <v>12.710065015</v>
      </c>
      <c r="N37" s="702">
        <v>9.6163806674999996</v>
      </c>
    </row>
    <row r="38" spans="1:14" ht="10.5" customHeight="1">
      <c r="A38" s="659" t="s">
        <v>418</v>
      </c>
      <c r="B38" s="653">
        <v>9.1583625399999988</v>
      </c>
      <c r="C38" s="653">
        <v>6.1175919424999998</v>
      </c>
      <c r="D38" s="654">
        <f t="shared" si="0"/>
        <v>0.49705351812944976</v>
      </c>
      <c r="E38" s="138"/>
      <c r="F38" s="138"/>
      <c r="G38" s="138"/>
      <c r="H38" s="138"/>
      <c r="I38" s="138"/>
      <c r="J38" s="138"/>
      <c r="K38" s="780"/>
      <c r="L38" s="702" t="s">
        <v>489</v>
      </c>
      <c r="M38" s="702">
        <v>13.194489557500001</v>
      </c>
      <c r="N38" s="702">
        <v>12.60795622</v>
      </c>
    </row>
    <row r="39" spans="1:14" ht="10.5" customHeight="1">
      <c r="A39" s="660" t="s">
        <v>439</v>
      </c>
      <c r="B39" s="650">
        <v>8.6438365699999995</v>
      </c>
      <c r="C39" s="650">
        <v>9.5612677625</v>
      </c>
      <c r="D39" s="651">
        <f t="shared" si="0"/>
        <v>-9.5952881489025255E-2</v>
      </c>
      <c r="E39" s="138"/>
      <c r="F39" s="138"/>
      <c r="G39" s="138"/>
      <c r="H39" s="138"/>
      <c r="I39" s="138"/>
      <c r="J39" s="138"/>
      <c r="K39" s="780"/>
      <c r="L39" s="701" t="s">
        <v>240</v>
      </c>
      <c r="M39" s="702">
        <v>13.23948869</v>
      </c>
      <c r="N39" s="702">
        <v>13.4524993675</v>
      </c>
    </row>
    <row r="40" spans="1:14" ht="10.5" customHeight="1">
      <c r="A40" s="657" t="s">
        <v>118</v>
      </c>
      <c r="B40" s="653">
        <v>8.2153126424999989</v>
      </c>
      <c r="C40" s="653">
        <v>2.5531149850000001</v>
      </c>
      <c r="D40" s="654">
        <f t="shared" si="0"/>
        <v>2.2177605359595658</v>
      </c>
      <c r="E40" s="138"/>
      <c r="F40" s="138"/>
      <c r="G40" s="138"/>
      <c r="H40" s="138"/>
      <c r="I40" s="138"/>
      <c r="J40" s="138"/>
      <c r="K40" s="780"/>
      <c r="L40" s="702" t="s">
        <v>399</v>
      </c>
      <c r="M40" s="702">
        <v>14.3996138975</v>
      </c>
      <c r="N40" s="702">
        <v>14.4008622175</v>
      </c>
    </row>
    <row r="41" spans="1:14" ht="10.5" customHeight="1">
      <c r="A41" s="658" t="s">
        <v>448</v>
      </c>
      <c r="B41" s="650">
        <v>8.1426670849999994</v>
      </c>
      <c r="C41" s="650">
        <v>6.0410269574999997</v>
      </c>
      <c r="D41" s="651">
        <f t="shared" si="0"/>
        <v>0.34789451235452451</v>
      </c>
      <c r="E41" s="138"/>
      <c r="F41" s="138"/>
      <c r="G41" s="138"/>
      <c r="H41" s="138"/>
      <c r="I41" s="138"/>
      <c r="J41" s="138"/>
      <c r="L41" s="701" t="s">
        <v>111</v>
      </c>
      <c r="M41" s="702">
        <v>16.245014170000001</v>
      </c>
      <c r="N41" s="702">
        <v>16.321826267500001</v>
      </c>
    </row>
    <row r="42" spans="1:14" ht="10.5" customHeight="1">
      <c r="A42" s="657" t="s">
        <v>415</v>
      </c>
      <c r="B42" s="653">
        <v>8.0713270250000004</v>
      </c>
      <c r="C42" s="653">
        <v>9.3673749849999997</v>
      </c>
      <c r="D42" s="654">
        <f t="shared" si="0"/>
        <v>-0.13835764684080265</v>
      </c>
      <c r="E42" s="138"/>
      <c r="F42" s="138"/>
      <c r="G42" s="138"/>
      <c r="H42" s="138"/>
      <c r="I42" s="138"/>
      <c r="J42" s="138"/>
      <c r="L42" s="701" t="s">
        <v>488</v>
      </c>
      <c r="M42" s="702">
        <v>18.822407947500004</v>
      </c>
      <c r="N42" s="702">
        <v>18.1049693625</v>
      </c>
    </row>
    <row r="43" spans="1:14" ht="10.5" customHeight="1">
      <c r="A43" s="658" t="s">
        <v>462</v>
      </c>
      <c r="B43" s="650">
        <v>7.5211444449999991</v>
      </c>
      <c r="C43" s="650">
        <v>2.3152220425000003</v>
      </c>
      <c r="D43" s="651">
        <f t="shared" si="0"/>
        <v>2.2485629053870753</v>
      </c>
      <c r="E43" s="138"/>
      <c r="F43" s="138"/>
      <c r="G43" s="138"/>
      <c r="H43" s="138"/>
      <c r="I43" s="138"/>
      <c r="J43" s="138"/>
      <c r="L43" s="703" t="s">
        <v>108</v>
      </c>
      <c r="M43" s="702">
        <v>22.310216005000001</v>
      </c>
      <c r="N43" s="702">
        <v>22.301874475000005</v>
      </c>
    </row>
    <row r="44" spans="1:14" ht="10.5" customHeight="1">
      <c r="A44" s="657" t="s">
        <v>447</v>
      </c>
      <c r="B44" s="653">
        <v>7.0078906275000001</v>
      </c>
      <c r="C44" s="653">
        <v>5.8982593724999992</v>
      </c>
      <c r="D44" s="654">
        <f t="shared" si="0"/>
        <v>0.18812859606912813</v>
      </c>
      <c r="E44" s="138"/>
      <c r="F44" s="138"/>
      <c r="G44" s="138"/>
      <c r="H44" s="138"/>
      <c r="I44" s="138"/>
      <c r="J44" s="138"/>
      <c r="L44" s="701" t="s">
        <v>105</v>
      </c>
      <c r="M44" s="702">
        <v>22.330118052499998</v>
      </c>
      <c r="N44" s="702">
        <v>1.3787250000000002E-4</v>
      </c>
    </row>
    <row r="45" spans="1:14" ht="10.5" customHeight="1">
      <c r="A45" s="658" t="s">
        <v>119</v>
      </c>
      <c r="B45" s="650">
        <v>6.1763460699999992</v>
      </c>
      <c r="C45" s="650">
        <v>0</v>
      </c>
      <c r="D45" s="651" t="str">
        <f t="shared" si="0"/>
        <v/>
      </c>
      <c r="E45" s="138"/>
      <c r="F45" s="138"/>
      <c r="G45" s="138"/>
      <c r="H45" s="138"/>
      <c r="I45" s="138"/>
      <c r="J45" s="138"/>
      <c r="L45" s="701" t="s">
        <v>519</v>
      </c>
      <c r="M45" s="702">
        <v>24.978724379999999</v>
      </c>
      <c r="N45" s="702"/>
    </row>
    <row r="46" spans="1:14" ht="10.5" customHeight="1">
      <c r="A46" s="657" t="s">
        <v>486</v>
      </c>
      <c r="B46" s="653">
        <v>6.0990137850000004</v>
      </c>
      <c r="C46" s="653"/>
      <c r="D46" s="654" t="str">
        <f t="shared" si="0"/>
        <v/>
      </c>
      <c r="E46" s="138"/>
      <c r="F46" s="138"/>
      <c r="G46" s="138"/>
      <c r="H46" s="138"/>
      <c r="I46" s="138"/>
      <c r="J46" s="138"/>
      <c r="L46" s="701" t="s">
        <v>97</v>
      </c>
      <c r="M46" s="702">
        <v>28.484726132500001</v>
      </c>
      <c r="N46" s="702">
        <v>44.014606310000005</v>
      </c>
    </row>
    <row r="47" spans="1:14" ht="13.95" customHeight="1">
      <c r="A47" s="660" t="s">
        <v>408</v>
      </c>
      <c r="B47" s="650">
        <v>5.7301490749999999</v>
      </c>
      <c r="C47" s="650">
        <v>2.4690676000000003</v>
      </c>
      <c r="D47" s="651">
        <f t="shared" si="0"/>
        <v>1.3207744798076808</v>
      </c>
      <c r="E47" s="138"/>
      <c r="F47" s="138"/>
      <c r="G47" s="138"/>
      <c r="H47" s="138"/>
      <c r="I47" s="138"/>
      <c r="J47" s="138"/>
      <c r="L47" s="702" t="s">
        <v>236</v>
      </c>
      <c r="M47" s="702">
        <v>32.441926084999999</v>
      </c>
      <c r="N47" s="702">
        <v>37.451579500000001</v>
      </c>
    </row>
    <row r="48" spans="1:14" ht="10.5" customHeight="1">
      <c r="A48" s="657" t="s">
        <v>426</v>
      </c>
      <c r="B48" s="653">
        <v>5.217454</v>
      </c>
      <c r="C48" s="653">
        <v>4.7489047499999995</v>
      </c>
      <c r="D48" s="654">
        <f t="shared" si="0"/>
        <v>9.8664697370483223E-2</v>
      </c>
      <c r="E48" s="138"/>
      <c r="F48" s="138"/>
      <c r="G48" s="138"/>
      <c r="H48" s="138"/>
      <c r="I48" s="138"/>
      <c r="J48" s="138"/>
      <c r="L48" s="704" t="s">
        <v>99</v>
      </c>
      <c r="M48" s="702">
        <v>38.573131142500003</v>
      </c>
      <c r="N48" s="702">
        <v>46.796291310000001</v>
      </c>
    </row>
    <row r="49" spans="1:17" ht="10.5" customHeight="1">
      <c r="A49" s="658" t="s">
        <v>102</v>
      </c>
      <c r="B49" s="650">
        <v>4.4306151800000002</v>
      </c>
      <c r="C49" s="650">
        <v>0</v>
      </c>
      <c r="D49" s="651" t="str">
        <f t="shared" si="0"/>
        <v/>
      </c>
      <c r="E49" s="138"/>
      <c r="F49" s="138"/>
      <c r="G49" s="138"/>
      <c r="H49" s="138"/>
      <c r="I49" s="138"/>
      <c r="J49" s="138"/>
      <c r="L49" s="701" t="s">
        <v>95</v>
      </c>
      <c r="M49" s="702">
        <v>44.163238017499999</v>
      </c>
      <c r="N49" s="702">
        <v>50.641498837499995</v>
      </c>
    </row>
    <row r="50" spans="1:17" ht="12" customHeight="1">
      <c r="A50" s="659" t="s">
        <v>485</v>
      </c>
      <c r="B50" s="653">
        <v>4.1920735350000005</v>
      </c>
      <c r="C50" s="653"/>
      <c r="D50" s="654" t="str">
        <f t="shared" si="0"/>
        <v/>
      </c>
      <c r="E50" s="138"/>
      <c r="F50" s="138"/>
      <c r="G50" s="138"/>
      <c r="H50" s="138"/>
      <c r="I50" s="138"/>
      <c r="J50" s="138"/>
      <c r="L50" s="701" t="s">
        <v>425</v>
      </c>
      <c r="M50" s="702">
        <v>54.009388967500001</v>
      </c>
      <c r="N50" s="702">
        <v>60.631306335000005</v>
      </c>
    </row>
    <row r="51" spans="1:17" ht="10.5" customHeight="1">
      <c r="A51" s="658" t="s">
        <v>107</v>
      </c>
      <c r="B51" s="650">
        <v>3.9085683924999999</v>
      </c>
      <c r="C51" s="650">
        <v>3.8023325275000004</v>
      </c>
      <c r="D51" s="651">
        <f t="shared" si="0"/>
        <v>2.7939656574394567E-2</v>
      </c>
      <c r="E51" s="138"/>
      <c r="F51" s="138"/>
      <c r="G51" s="138"/>
      <c r="H51" s="138"/>
      <c r="I51" s="138"/>
      <c r="J51" s="138"/>
      <c r="L51" s="701" t="s">
        <v>96</v>
      </c>
      <c r="M51" s="702">
        <v>64.7966159275</v>
      </c>
      <c r="N51" s="702">
        <v>61.168153510000003</v>
      </c>
    </row>
    <row r="52" spans="1:17" ht="10.5" customHeight="1">
      <c r="A52" s="657" t="s">
        <v>109</v>
      </c>
      <c r="B52" s="653">
        <v>3.4419913625</v>
      </c>
      <c r="C52" s="653">
        <v>2.9275250850000001</v>
      </c>
      <c r="D52" s="654">
        <f t="shared" si="0"/>
        <v>0.17573419955853264</v>
      </c>
      <c r="E52" s="138"/>
      <c r="F52" s="138"/>
      <c r="G52" s="138"/>
      <c r="H52" s="138"/>
      <c r="I52" s="138"/>
      <c r="J52" s="138"/>
      <c r="L52" s="701" t="s">
        <v>94</v>
      </c>
      <c r="M52" s="702">
        <v>67.067425929999999</v>
      </c>
      <c r="N52" s="702">
        <v>63.7613017575</v>
      </c>
    </row>
    <row r="53" spans="1:17" ht="10.5" customHeight="1">
      <c r="A53" s="658" t="s">
        <v>484</v>
      </c>
      <c r="B53" s="650">
        <v>3.3025214825</v>
      </c>
      <c r="C53" s="650">
        <v>3.3394412349999998</v>
      </c>
      <c r="D53" s="651">
        <f t="shared" si="0"/>
        <v>-1.1055667670702318E-2</v>
      </c>
      <c r="E53" s="138"/>
      <c r="F53" s="138"/>
      <c r="G53" s="138"/>
      <c r="H53" s="138"/>
      <c r="I53" s="138"/>
      <c r="J53" s="138"/>
      <c r="L53" s="701" t="s">
        <v>93</v>
      </c>
      <c r="M53" s="702">
        <v>67.30903233250001</v>
      </c>
      <c r="N53" s="702">
        <v>66.997822694999996</v>
      </c>
    </row>
    <row r="54" spans="1:17" ht="10.5" customHeight="1">
      <c r="A54" s="657" t="s">
        <v>483</v>
      </c>
      <c r="B54" s="653">
        <v>3.2769572999999999</v>
      </c>
      <c r="C54" s="653">
        <v>3.3092989999999998</v>
      </c>
      <c r="D54" s="654">
        <f t="shared" si="0"/>
        <v>-9.7729760894981199E-3</v>
      </c>
      <c r="E54" s="138"/>
      <c r="F54" s="138"/>
      <c r="G54" s="138"/>
      <c r="H54" s="138"/>
      <c r="I54" s="138"/>
      <c r="J54" s="138"/>
      <c r="L54" s="701" t="s">
        <v>91</v>
      </c>
      <c r="M54" s="702">
        <v>70.039126034999995</v>
      </c>
      <c r="N54" s="702">
        <v>70.159468447500004</v>
      </c>
    </row>
    <row r="55" spans="1:17" ht="10.5" customHeight="1">
      <c r="A55" s="660" t="s">
        <v>110</v>
      </c>
      <c r="B55" s="650">
        <v>3.2716496075000001</v>
      </c>
      <c r="C55" s="650">
        <v>3.1982834100000002</v>
      </c>
      <c r="D55" s="651">
        <f t="shared" si="0"/>
        <v>2.2939242116757796E-2</v>
      </c>
      <c r="E55" s="138"/>
      <c r="F55" s="138"/>
      <c r="G55" s="138"/>
      <c r="H55" s="138"/>
      <c r="I55" s="138"/>
      <c r="J55" s="138"/>
      <c r="L55" s="702" t="s">
        <v>98</v>
      </c>
      <c r="M55" s="702">
        <v>73.188274954999997</v>
      </c>
      <c r="N55" s="702">
        <v>88.613017904999992</v>
      </c>
    </row>
    <row r="56" spans="1:17" ht="10.5" customHeight="1">
      <c r="A56" s="657" t="s">
        <v>113</v>
      </c>
      <c r="B56" s="653">
        <v>2.1523594775000001</v>
      </c>
      <c r="C56" s="653">
        <v>1.7968975674999998</v>
      </c>
      <c r="D56" s="654">
        <f t="shared" si="0"/>
        <v>0.19781979586880394</v>
      </c>
      <c r="E56" s="138"/>
      <c r="F56" s="138"/>
      <c r="G56" s="138"/>
      <c r="H56" s="138"/>
      <c r="I56" s="138"/>
      <c r="J56" s="138"/>
      <c r="L56" s="701" t="s">
        <v>100</v>
      </c>
      <c r="M56" s="702">
        <v>78.170038577499994</v>
      </c>
      <c r="N56" s="702">
        <v>153.73033570749999</v>
      </c>
    </row>
    <row r="57" spans="1:17" ht="10.5" customHeight="1">
      <c r="A57" s="658" t="s">
        <v>114</v>
      </c>
      <c r="B57" s="650">
        <v>1.9724000000000002</v>
      </c>
      <c r="C57" s="650">
        <v>2.2176</v>
      </c>
      <c r="D57" s="651">
        <f t="shared" si="0"/>
        <v>-0.11056998556998554</v>
      </c>
      <c r="E57" s="138"/>
      <c r="F57" s="138"/>
      <c r="G57" s="138"/>
      <c r="H57" s="138"/>
      <c r="I57" s="138"/>
      <c r="J57" s="138"/>
      <c r="L57" s="701" t="s">
        <v>235</v>
      </c>
      <c r="M57" s="702">
        <v>94.202229924999997</v>
      </c>
      <c r="N57" s="702">
        <v>99.662383347499997</v>
      </c>
    </row>
    <row r="58" spans="1:17" ht="10.5" customHeight="1">
      <c r="A58" s="657" t="s">
        <v>112</v>
      </c>
      <c r="B58" s="653">
        <v>1.8214101550000001</v>
      </c>
      <c r="C58" s="653">
        <v>2.12640377</v>
      </c>
      <c r="D58" s="654">
        <f t="shared" si="0"/>
        <v>-0.14343165644406275</v>
      </c>
      <c r="E58" s="138"/>
      <c r="F58" s="138"/>
      <c r="G58" s="138"/>
      <c r="H58" s="138"/>
      <c r="I58" s="138"/>
      <c r="J58" s="138"/>
      <c r="L58" s="702" t="s">
        <v>92</v>
      </c>
      <c r="M58" s="702">
        <v>100.79807644</v>
      </c>
      <c r="N58" s="702">
        <v>112.71340004000001</v>
      </c>
    </row>
    <row r="59" spans="1:17" ht="10.5" customHeight="1">
      <c r="A59" s="658" t="s">
        <v>115</v>
      </c>
      <c r="B59" s="661">
        <v>1.3921643050000001</v>
      </c>
      <c r="C59" s="661">
        <v>1.1218027825000001</v>
      </c>
      <c r="D59" s="662">
        <f t="shared" si="0"/>
        <v>0.24100628623641329</v>
      </c>
      <c r="E59" s="138"/>
      <c r="F59" s="138"/>
      <c r="G59" s="138"/>
      <c r="H59" s="138"/>
      <c r="I59" s="138"/>
      <c r="J59" s="138"/>
      <c r="L59" s="701" t="s">
        <v>90</v>
      </c>
      <c r="M59" s="702">
        <v>154.75683293</v>
      </c>
      <c r="N59" s="702">
        <v>154.21513433499996</v>
      </c>
    </row>
    <row r="60" spans="1:17" ht="10.5" customHeight="1">
      <c r="A60" s="663" t="s">
        <v>242</v>
      </c>
      <c r="B60" s="653">
        <v>0.80773220000000001</v>
      </c>
      <c r="C60" s="653">
        <v>0</v>
      </c>
      <c r="D60" s="654" t="str">
        <f t="shared" si="0"/>
        <v/>
      </c>
      <c r="E60" s="138"/>
      <c r="F60" s="138"/>
      <c r="G60" s="138"/>
      <c r="H60" s="138"/>
      <c r="I60" s="138"/>
      <c r="J60" s="138"/>
      <c r="L60" s="701" t="s">
        <v>239</v>
      </c>
      <c r="M60" s="702">
        <v>158.0561784775</v>
      </c>
      <c r="N60" s="702">
        <v>127.09308077249999</v>
      </c>
    </row>
    <row r="61" spans="1:17" s="574" customFormat="1" ht="10.5" customHeight="1">
      <c r="A61" s="658" t="s">
        <v>117</v>
      </c>
      <c r="B61" s="661">
        <v>0.77859313500000005</v>
      </c>
      <c r="C61" s="661">
        <v>0</v>
      </c>
      <c r="D61" s="662" t="str">
        <f t="shared" si="0"/>
        <v/>
      </c>
      <c r="E61" s="138"/>
      <c r="F61" s="138"/>
      <c r="G61" s="138"/>
      <c r="H61" s="138"/>
      <c r="I61" s="138"/>
      <c r="J61" s="138"/>
      <c r="K61" s="278"/>
      <c r="L61" s="701" t="s">
        <v>237</v>
      </c>
      <c r="M61" s="702">
        <v>367.01887198749995</v>
      </c>
      <c r="N61" s="702">
        <v>298.82168594000007</v>
      </c>
      <c r="O61" s="278"/>
      <c r="P61" s="514"/>
      <c r="Q61" s="514"/>
    </row>
    <row r="62" spans="1:17" s="574" customFormat="1" ht="10.5" customHeight="1">
      <c r="A62" s="663" t="s">
        <v>241</v>
      </c>
      <c r="B62" s="653">
        <v>0.59797893999999996</v>
      </c>
      <c r="C62" s="653">
        <v>2.3127475000000002E-3</v>
      </c>
      <c r="D62" s="654">
        <f t="shared" si="0"/>
        <v>257.55781489332492</v>
      </c>
      <c r="E62" s="138"/>
      <c r="F62" s="138"/>
      <c r="G62" s="138"/>
      <c r="H62" s="138"/>
      <c r="I62" s="138"/>
      <c r="J62" s="138"/>
      <c r="K62" s="278"/>
      <c r="L62" s="701" t="s">
        <v>88</v>
      </c>
      <c r="M62" s="702">
        <v>586.20104074750009</v>
      </c>
      <c r="N62" s="702">
        <v>455.57443099749997</v>
      </c>
      <c r="O62" s="278"/>
      <c r="P62" s="514"/>
      <c r="Q62" s="514"/>
    </row>
    <row r="63" spans="1:17" s="574" customFormat="1" ht="10.5" customHeight="1">
      <c r="A63" s="658" t="s">
        <v>116</v>
      </c>
      <c r="B63" s="661">
        <v>0.38433295000000001</v>
      </c>
      <c r="C63" s="661">
        <v>2.0583757499999997E-2</v>
      </c>
      <c r="D63" s="662">
        <f t="shared" si="0"/>
        <v>17.671661381552909</v>
      </c>
      <c r="E63" s="138"/>
      <c r="F63" s="138"/>
      <c r="G63" s="138"/>
      <c r="H63" s="138"/>
      <c r="I63" s="138"/>
      <c r="J63" s="138"/>
      <c r="K63" s="278"/>
      <c r="L63" s="701" t="s">
        <v>89</v>
      </c>
      <c r="M63" s="702">
        <v>586.60518911999998</v>
      </c>
      <c r="N63" s="702">
        <v>604.85600927999985</v>
      </c>
      <c r="O63" s="278"/>
      <c r="P63" s="514"/>
      <c r="Q63" s="514"/>
    </row>
    <row r="64" spans="1:17" s="574" customFormat="1" ht="10.5" customHeight="1">
      <c r="A64" s="663" t="s">
        <v>487</v>
      </c>
      <c r="B64" s="653">
        <v>0.30371019999999999</v>
      </c>
      <c r="C64" s="653">
        <v>0.29502389499999998</v>
      </c>
      <c r="D64" s="654">
        <f t="shared" si="0"/>
        <v>2.9442716834851668E-2</v>
      </c>
      <c r="E64" s="138"/>
      <c r="F64" s="138"/>
      <c r="G64" s="138"/>
      <c r="H64" s="138"/>
      <c r="I64" s="138"/>
      <c r="J64" s="138"/>
      <c r="K64" s="278"/>
      <c r="L64" s="701" t="s">
        <v>87</v>
      </c>
      <c r="M64" s="702">
        <v>652.32864483749984</v>
      </c>
      <c r="N64" s="702">
        <v>577.23144132499999</v>
      </c>
      <c r="O64" s="278"/>
      <c r="P64" s="514"/>
      <c r="Q64" s="514"/>
    </row>
    <row r="65" spans="1:17" s="574" customFormat="1" ht="10.5" customHeight="1">
      <c r="A65" s="658" t="s">
        <v>409</v>
      </c>
      <c r="B65" s="661">
        <v>0.18479599999999999</v>
      </c>
      <c r="C65" s="661">
        <v>1.9248000000000001E-2</v>
      </c>
      <c r="D65" s="662">
        <f t="shared" si="0"/>
        <v>8.6007896924355762</v>
      </c>
      <c r="E65" s="138"/>
      <c r="F65" s="138"/>
      <c r="G65" s="138"/>
      <c r="H65" s="138"/>
      <c r="I65" s="138"/>
      <c r="J65" s="138"/>
      <c r="K65" s="278"/>
      <c r="L65" s="701" t="s">
        <v>407</v>
      </c>
      <c r="M65" s="702">
        <v>800.45004372250003</v>
      </c>
      <c r="N65" s="702">
        <v>366.03391326249999</v>
      </c>
      <c r="O65" s="278"/>
      <c r="P65" s="514"/>
      <c r="Q65" s="514"/>
    </row>
    <row r="66" spans="1:17" s="574" customFormat="1" ht="10.5" customHeight="1">
      <c r="A66" s="663" t="s">
        <v>234</v>
      </c>
      <c r="B66" s="653">
        <v>0</v>
      </c>
      <c r="C66" s="653">
        <v>0</v>
      </c>
      <c r="D66" s="654" t="str">
        <f t="shared" si="0"/>
        <v/>
      </c>
      <c r="E66" s="138"/>
      <c r="F66" s="138"/>
      <c r="G66" s="138"/>
      <c r="H66" s="138"/>
      <c r="I66" s="138"/>
      <c r="J66" s="138"/>
      <c r="K66" s="278"/>
      <c r="L66" s="701"/>
      <c r="M66" s="702"/>
      <c r="N66" s="702"/>
      <c r="O66" s="278"/>
      <c r="P66" s="514"/>
      <c r="Q66" s="514"/>
    </row>
    <row r="67" spans="1:17" ht="10.5" customHeight="1">
      <c r="A67" s="664" t="s">
        <v>42</v>
      </c>
      <c r="B67" s="665">
        <f>+SUM(B5:B64)</f>
        <v>4438.0135937099985</v>
      </c>
      <c r="C67" s="665">
        <f>+SUM(C5:C64)</f>
        <v>3756.6925229449998</v>
      </c>
      <c r="D67" s="666">
        <f>IF(C67=0,"",B67/C67-1)</f>
        <v>0.18136194713931175</v>
      </c>
      <c r="E67" s="138"/>
      <c r="F67" s="138"/>
      <c r="G67" s="138"/>
      <c r="H67" s="138"/>
      <c r="I67" s="138"/>
      <c r="J67" s="138"/>
      <c r="L67" s="701"/>
      <c r="M67" s="702"/>
      <c r="N67" s="702"/>
    </row>
    <row r="68" spans="1:17" ht="40.5" customHeight="1">
      <c r="A68" s="857" t="str">
        <f>"Cuadro N° 6: Participación de las empresas generadoras del COES en la producción de energía eléctrica (GWh) en "&amp;'1. Resumen'!Q4</f>
        <v>Cuadro N° 6: Participación de las empresas generadoras del COES en la producción de energía eléctrica (GWh) en junio</v>
      </c>
      <c r="B68" s="857"/>
      <c r="C68" s="857"/>
      <c r="D68" s="418"/>
      <c r="E68" s="856" t="str">
        <f>"Gráfico N° 10: Comparación de producción energética (GWh) de las empresas generadoras del COES en "&amp;'1. Resumen'!Q4</f>
        <v>Gráfico N° 10: Comparación de producción energética (GWh) de las empresas generadoras del COES en junio</v>
      </c>
      <c r="F68" s="856"/>
      <c r="G68" s="856"/>
      <c r="H68" s="856"/>
      <c r="I68" s="856"/>
      <c r="J68" s="856"/>
    </row>
    <row r="69" spans="1:17">
      <c r="A69" s="850"/>
      <c r="B69" s="850"/>
      <c r="C69" s="850"/>
      <c r="D69" s="850"/>
      <c r="E69" s="850"/>
      <c r="F69" s="850"/>
      <c r="G69" s="850"/>
      <c r="H69" s="850"/>
      <c r="I69" s="850"/>
      <c r="J69" s="850"/>
    </row>
    <row r="70" spans="1:17">
      <c r="A70" s="851"/>
      <c r="B70" s="851"/>
      <c r="C70" s="851"/>
      <c r="D70" s="851"/>
      <c r="E70" s="851"/>
      <c r="F70" s="851"/>
      <c r="G70" s="851"/>
      <c r="H70" s="851"/>
      <c r="I70" s="851"/>
      <c r="J70" s="851"/>
    </row>
    <row r="71" spans="1:17">
      <c r="A71" s="850"/>
      <c r="B71" s="850"/>
      <c r="C71" s="850"/>
      <c r="D71" s="850"/>
      <c r="E71" s="850"/>
      <c r="F71" s="850"/>
      <c r="G71" s="850"/>
      <c r="H71" s="850"/>
      <c r="I71" s="850"/>
      <c r="J71" s="850"/>
    </row>
    <row r="72" spans="1:17">
      <c r="A72" s="851"/>
      <c r="B72" s="851"/>
      <c r="C72" s="851"/>
      <c r="D72" s="851"/>
      <c r="E72" s="851"/>
      <c r="F72" s="851"/>
      <c r="G72" s="851"/>
      <c r="H72" s="851"/>
      <c r="I72" s="851"/>
      <c r="J72" s="851"/>
    </row>
  </sheetData>
  <mergeCells count="10">
    <mergeCell ref="A69:J69"/>
    <mergeCell ref="A70:J70"/>
    <mergeCell ref="A71:J71"/>
    <mergeCell ref="A72:J72"/>
    <mergeCell ref="A1:I1"/>
    <mergeCell ref="A3:A4"/>
    <mergeCell ref="B3:D3"/>
    <mergeCell ref="G3:I3"/>
    <mergeCell ref="E68:J68"/>
    <mergeCell ref="A68:C68"/>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 Junio 2021
INFSGI-MES-06-2021
12/07/2021
Versión: 01</oddHeader>
    <oddFooter>&amp;L&amp;7COES, 2021&amp;C7&amp;R&amp;7Dirección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21</vt:i4>
      </vt:variant>
    </vt:vector>
  </HeadingPairs>
  <TitlesOfParts>
    <vt:vector size="51"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Contraportada</vt:lpstr>
      <vt:lpstr>'1. Resumen'!Área_de_impresión</vt:lpstr>
      <vt:lpstr>'10. Volúmenes'!Área_de_impresión</vt:lpstr>
      <vt:lpstr>'11. Volúmenes'!Área_de_impresión</vt:lpstr>
      <vt:lpstr>'12.Caudales'!Área_de_impresión</vt:lpstr>
      <vt:lpstr>'13.Caudales'!Área_de_impresión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2021-05-11T17:14:59Z</cp:lastPrinted>
  <dcterms:created xsi:type="dcterms:W3CDTF">2018-02-13T14:18:17Z</dcterms:created>
  <dcterms:modified xsi:type="dcterms:W3CDTF">2021-07-13T21:05:35Z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