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12. Diciembre\"/>
    </mc:Choice>
  </mc:AlternateContent>
  <xr:revisionPtr revIDLastSave="0" documentId="13_ncr:1_{59754559-9F91-46AA-8AA2-2666CB57FF0C}"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7" hidden="1">'6. FP RER'!$U$52:$W$53</definedName>
    <definedName name="_xlnm._FilterDatabase" localSheetId="8" hidden="1">'7. Generacion empresa'!$M$3:$O$59</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ANEXOI-3'!$A$1:$G$50</definedName>
    <definedName name="_xlnm.Print_Area" localSheetId="22">'21. ANEXOII-1'!$A$1:$F$80</definedName>
    <definedName name="_xlnm.Print_Area" localSheetId="24">'23. ANEXOII-3'!$A$1:$F$66</definedName>
    <definedName name="_xlnm.Print_Area" localSheetId="26">'25.ANEXO III -1'!$A$1:$F$13</definedName>
    <definedName name="_xlnm.Print_Area" localSheetId="27">'26.ANEXO III-2'!$A$1:$F$13</definedName>
    <definedName name="_xlnm.Print_Area" localSheetId="28">'27.ANEXO III-3'!$A$1:$F$15</definedName>
    <definedName name="_xlnm.Print_Area" localSheetId="29">'28.ANEXO III-4'!$A$1:$F$13</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1" i="6" l="1"/>
  <c r="I15" i="6"/>
  <c r="H15" i="6"/>
  <c r="D58" i="46" l="1"/>
  <c r="C58" i="46"/>
  <c r="J13" i="22"/>
  <c r="H13" i="22"/>
  <c r="I10" i="22"/>
  <c r="I11" i="22"/>
  <c r="H10" i="21" l="1"/>
  <c r="H11" i="21"/>
  <c r="H12" i="21"/>
  <c r="G42" i="38" l="1"/>
  <c r="F42" i="38"/>
  <c r="C70" i="13" l="1"/>
  <c r="B70" i="13"/>
  <c r="D69" i="13"/>
  <c r="D68" i="13"/>
  <c r="D67" i="13"/>
  <c r="D66" i="13"/>
  <c r="F18" i="16" l="1"/>
  <c r="D20" i="6" l="1"/>
  <c r="G41" i="38"/>
  <c r="B68" i="11"/>
  <c r="C68" i="11" l="1"/>
  <c r="I8" i="22" l="1"/>
  <c r="I9" i="22"/>
  <c r="I12" i="22"/>
  <c r="F72" i="13"/>
  <c r="A72" i="13"/>
  <c r="A57" i="7"/>
  <c r="G13" i="22" l="1"/>
  <c r="F13" i="22"/>
  <c r="E13" i="22"/>
  <c r="D13" i="22"/>
  <c r="C13" i="22"/>
  <c r="B13" i="22"/>
  <c r="J12" i="7" l="1"/>
  <c r="H8" i="6" l="1"/>
  <c r="I8" i="6"/>
  <c r="F41" i="38" l="1"/>
  <c r="G19" i="8" l="1"/>
  <c r="J14" i="12" l="1"/>
  <c r="D16" i="21" l="1"/>
  <c r="E16" i="21"/>
  <c r="F16"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E24" i="6" l="1"/>
  <c r="D24"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1" i="45" l="1"/>
  <c r="F70" i="45"/>
  <c r="F69" i="45"/>
  <c r="F67" i="45"/>
  <c r="F66" i="45"/>
  <c r="G12" i="7" l="1"/>
  <c r="E12" i="7"/>
  <c r="D19" i="6" l="1"/>
  <c r="F77" i="36" l="1"/>
  <c r="F76" i="36"/>
  <c r="F75" i="36"/>
  <c r="F74" i="36"/>
  <c r="F72" i="36"/>
  <c r="F71" i="36"/>
  <c r="E58" i="46" l="1"/>
  <c r="F10" i="8" l="1"/>
  <c r="I10" i="8"/>
  <c r="K10" i="8"/>
  <c r="F5" i="45" l="1"/>
  <c r="F6" i="45"/>
  <c r="F7" i="45"/>
  <c r="F8" i="45"/>
  <c r="F9" i="45"/>
  <c r="F10" i="45"/>
  <c r="F11" i="45"/>
  <c r="F12" i="45"/>
  <c r="F13" i="45"/>
  <c r="F14" i="45"/>
  <c r="F15" i="45"/>
  <c r="F16" i="45"/>
  <c r="F17" i="45"/>
  <c r="F18" i="45"/>
  <c r="F20"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7" i="22" l="1"/>
  <c r="I13" i="22" s="1"/>
  <c r="B16" i="7" l="1"/>
  <c r="C16" i="7"/>
  <c r="E16" i="7"/>
  <c r="E5" i="36" l="1"/>
  <c r="E4" i="36"/>
  <c r="D12" i="7" l="1"/>
  <c r="F55" i="46" l="1"/>
  <c r="D5" i="11"/>
  <c r="D2" i="46" l="1"/>
  <c r="C2" i="46"/>
  <c r="D2" i="45"/>
  <c r="C2" i="45"/>
  <c r="C56" i="46" l="1"/>
  <c r="D56" i="46"/>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8"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31" i="16"/>
  <c r="F10" i="7"/>
  <c r="F12" i="7"/>
  <c r="D12" i="9" l="1"/>
  <c r="B47" i="4" l="1"/>
  <c r="A9" i="4"/>
  <c r="A53" i="21" l="1"/>
  <c r="A63" i="9" l="1"/>
  <c r="A35" i="9"/>
  <c r="A64" i="8"/>
  <c r="B49" i="4" l="1"/>
  <c r="F2" i="38" l="1"/>
  <c r="N29" i="18" l="1"/>
  <c r="N28" i="18"/>
  <c r="N27" i="18"/>
  <c r="N26" i="18"/>
  <c r="N25" i="18"/>
  <c r="N24" i="18"/>
  <c r="N23" i="18"/>
  <c r="N20" i="18"/>
  <c r="N19" i="18"/>
  <c r="N18" i="18"/>
  <c r="N17" i="18"/>
  <c r="N16" i="18"/>
  <c r="N15" i="18"/>
  <c r="N12" i="18"/>
  <c r="N11" i="18"/>
  <c r="N10" i="18"/>
  <c r="N9" i="18"/>
  <c r="H47" i="4" l="1"/>
  <c r="A54" i="22" l="1"/>
  <c r="B58" i="18"/>
  <c r="B40" i="18"/>
  <c r="B21" i="18"/>
  <c r="B18" i="12" l="1"/>
  <c r="B20" i="12" s="1"/>
  <c r="C18" i="12"/>
  <c r="D18" i="12"/>
  <c r="D20" i="12" s="1"/>
  <c r="E18" i="12"/>
  <c r="E20" i="12" s="1"/>
  <c r="G18" i="12"/>
  <c r="G20" i="12" s="1"/>
  <c r="H18" i="12"/>
  <c r="H20" i="12" s="1"/>
  <c r="J20" i="12"/>
  <c r="F21" i="6" l="1"/>
  <c r="F23" i="6"/>
  <c r="F11" i="14" l="1"/>
  <c r="F22" i="6" l="1"/>
  <c r="F20" i="6"/>
  <c r="E19" i="6" l="1"/>
  <c r="E70" i="11" l="1"/>
  <c r="C45" i="10"/>
  <c r="D3" i="36" l="1"/>
  <c r="C3" i="36"/>
  <c r="F2" i="37"/>
  <c r="F3" i="23"/>
  <c r="C2" i="23"/>
  <c r="C1" i="37" s="1"/>
  <c r="C1" i="38" s="1"/>
  <c r="E17" i="22"/>
  <c r="A17" i="22"/>
  <c r="A14" i="22"/>
  <c r="A17" i="21"/>
  <c r="F6" i="21"/>
  <c r="E6" i="21"/>
  <c r="D6" i="21"/>
  <c r="B47" i="18"/>
  <c r="B28" i="18"/>
  <c r="B10" i="18"/>
  <c r="C32" i="16"/>
  <c r="E6" i="16"/>
  <c r="B3" i="13"/>
  <c r="B4" i="11"/>
  <c r="C4" i="11" s="1"/>
  <c r="B3" i="11"/>
  <c r="G6" i="7"/>
  <c r="G4" i="8" s="1"/>
  <c r="G4" i="9" s="1"/>
  <c r="D7" i="7"/>
  <c r="E7" i="7" s="1"/>
  <c r="A57" i="6"/>
  <c r="B25"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40" i="9"/>
  <c r="F24"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1" i="9"/>
  <c r="M40" i="9" s="1"/>
  <c r="F20" i="12"/>
  <c r="K19" i="8"/>
  <c r="J12" i="9"/>
  <c r="G12" i="9"/>
  <c r="K12" i="7"/>
  <c r="I11" i="9"/>
  <c r="H12" i="9"/>
  <c r="F11" i="9"/>
  <c r="K11" i="9"/>
  <c r="D68" i="11" l="1"/>
  <c r="D70" i="13"/>
</calcChain>
</file>

<file path=xl/sharedStrings.xml><?xml version="1.0" encoding="utf-8"?>
<sst xmlns="http://schemas.openxmlformats.org/spreadsheetml/2006/main" count="1701" uniqueCount="766">
  <si>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</si>
  <si>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</si>
  <si>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</si>
  <si>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</si>
  <si>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</si>
  <si>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</si>
  <si>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</si>
  <si>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</si>
  <si>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</si>
  <si>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</si>
  <si>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</si>
  <si>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</si>
  <si>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</si>
  <si>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</si>
  <si>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</si>
  <si>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</si>
  <si>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</si>
  <si>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</si>
  <si>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</si>
  <si>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</si>
  <si>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</si>
  <si>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</si>
  <si>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</si>
  <si>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</si>
  <si>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</si>
  <si>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</si>
  <si>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</si>
  <si>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</si>
  <si>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</si>
  <si>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</si>
  <si>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</si>
  <si>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</si>
  <si>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</si>
  <si>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</si>
  <si>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</si>
  <si>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</si>
  <si>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</si>
  <si>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</si>
  <si>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</si>
  <si>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</si>
  <si>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</si>
  <si>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</si>
  <si>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</si>
  <si>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</si>
  <si>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</si>
  <si>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</si>
  <si>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</si>
  <si>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</si>
  <si>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</si>
  <si>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</si>
  <si>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</si>
  <si>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</si>
  <si>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</si>
  <si>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</si>
  <si>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</si>
  <si>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</si>
  <si>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</si>
  <si>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</si>
  <si>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</si>
  <si>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</si>
  <si>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</si>
  <si>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</si>
  <si>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</si>
  <si>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</si>
  <si>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</si>
  <si>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</si>
  <si>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</si>
  <si>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</si>
  <si>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</si>
  <si>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</si>
  <si>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</si>
  <si>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</si>
  <si>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</si>
  <si>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</si>
  <si>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</si>
  <si>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</si>
  <si>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</si>
  <si>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</si>
  <si>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</si>
  <si>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</si>
  <si>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</si>
  <si>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</si>
  <si>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</si>
  <si>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</si>
  <si>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</si>
  <si>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</si>
  <si>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</si>
  <si>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</si>
  <si>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</si>
  <si>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</si>
  <si>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</si>
  <si>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</si>
  <si>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</si>
  <si>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</si>
  <si>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</si>
  <si>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</si>
  <si>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</si>
  <si>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</si>
  <si>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</si>
  <si>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</si>
  <si>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</si>
  <si>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</si>
  <si>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</si>
  <si>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</si>
  <si>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</si>
  <si>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</si>
  <si>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</si>
  <si>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</si>
  <si>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</si>
  <si>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</si>
  <si>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</si>
  <si>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</si>
  <si>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</si>
  <si>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</si>
  <si>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</si>
  <si>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</si>
  <si>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</si>
  <si>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</si>
  <si>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</si>
  <si>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</si>
  <si>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</si>
  <si>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</si>
  <si>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</si>
  <si>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</si>
  <si>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</si>
  <si>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</si>
  <si>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</si>
  <si>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</si>
  <si>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</si>
  <si>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</si>
  <si>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</si>
  <si>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</si>
  <si>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</si>
  <si>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</si>
  <si>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</si>
  <si>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</si>
  <si>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</si>
  <si>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</si>
  <si>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</si>
  <si>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</si>
  <si>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</si>
  <si>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</si>
  <si>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</si>
  <si>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</si>
  <si>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</si>
  <si>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</si>
  <si>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</si>
  <si>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</si>
  <si>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</si>
  <si>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</si>
  <si>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</si>
  <si>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</si>
  <si>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</si>
  <si>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</si>
  <si>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</si>
  <si>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</si>
  <si>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</si>
  <si>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</si>
  <si>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</si>
  <si>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</si>
  <si>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</si>
  <si>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</si>
  <si>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</si>
  <si>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</si>
  <si>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</si>
  <si>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</si>
  <si>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</si>
  <si>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</si>
  <si>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</si>
  <si>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</si>
  <si>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</si>
  <si>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</si>
  <si>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</si>
  <si>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</si>
  <si>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</si>
  <si>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</si>
  <si>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</si>
  <si>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</si>
  <si>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</si>
  <si>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</si>
  <si>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</si>
  <si>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</si>
  <si>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</si>
  <si>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</si>
  <si>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</si>
  <si>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</si>
  <si>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</si>
  <si>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</si>
  <si>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</si>
  <si>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</si>
  <si>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</si>
  <si>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</si>
  <si>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</si>
  <si>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</si>
  <si>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</si>
  <si>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</si>
  <si>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</si>
  <si>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</si>
  <si>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</si>
  <si>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</si>
  <si>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</si>
  <si>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</si>
  <si>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</si>
  <si>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</si>
  <si>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</si>
  <si>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</si>
  <si>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</si>
  <si>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</si>
  <si>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</si>
  <si>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</si>
  <si>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</si>
  <si>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</si>
  <si>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</si>
  <si>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</si>
  <si>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</si>
  <si>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</si>
  <si>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</si>
  <si>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</si>
  <si>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</si>
  <si>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</si>
  <si>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</si>
  <si>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</si>
  <si>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</si>
  <si>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</si>
  <si>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</si>
  <si>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</si>
  <si>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</si>
  <si>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</si>
  <si>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</si>
  <si>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</si>
  <si>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</si>
  <si>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</si>
  <si>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</si>
  <si>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</si>
  <si>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</si>
  <si>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</si>
  <si>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</si>
  <si>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</si>
  <si>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</si>
  <si>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</si>
  <si>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</si>
  <si>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</si>
  <si>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</si>
  <si>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</si>
  <si>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</si>
  <si>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</si>
  <si>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</si>
  <si>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</si>
  <si>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</si>
  <si>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</si>
  <si>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</si>
  <si>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</si>
  <si>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</si>
  <si>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</si>
  <si>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</si>
  <si>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</si>
  <si>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</si>
  <si>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</si>
  <si>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</si>
  <si>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</si>
  <si>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</si>
  <si>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</si>
  <si>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</si>
  <si>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</si>
  <si>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</si>
  <si>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</si>
  <si>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</si>
  <si>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</si>
  <si>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</si>
  <si>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</si>
  <si>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</si>
  <si>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</si>
  <si>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</si>
  <si>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</si>
  <si>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</si>
  <si>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</si>
  <si>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</si>
  <si>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</si>
  <si>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</si>
  <si>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</si>
  <si>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</si>
  <si>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</si>
  <si>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</si>
  <si>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</si>
  <si>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</si>
  <si>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</si>
  <si>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</si>
  <si>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</si>
  <si>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</si>
  <si>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</si>
  <si>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</si>
  <si>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</si>
  <si>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</si>
  <si>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</si>
  <si>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</si>
  <si>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</si>
  <si>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</si>
  <si>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</si>
  <si>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</si>
  <si>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</si>
  <si>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</si>
  <si>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</si>
  <si>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</si>
  <si>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</si>
  <si>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</si>
  <si>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</si>
  <si>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</si>
  <si>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</si>
  <si>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</si>
  <si>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</si>
  <si>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</si>
  <si>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</si>
  <si>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</si>
  <si>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</si>
  <si>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</si>
  <si>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</si>
  <si>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</si>
  <si>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</si>
  <si>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</si>
  <si>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</si>
  <si>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</si>
  <si>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</si>
  <si>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</si>
  <si>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</si>
  <si>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</si>
  <si>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</si>
  <si>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</si>
  <si>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</si>
  <si>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</si>
  <si>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</si>
  <si>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</si>
  <si>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</si>
  <si>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</si>
  <si>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</si>
  <si>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</si>
  <si>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</si>
  <si>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</si>
  <si>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</si>
  <si>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</si>
  <si>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</si>
  <si>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</si>
  <si>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</si>
  <si>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</si>
  <si>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</si>
  <si>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</si>
  <si>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</si>
  <si>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</si>
  <si>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</si>
  <si>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</si>
  <si>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</si>
  <si>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</si>
  <si>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</si>
  <si>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</si>
  <si>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</si>
  <si>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</si>
  <si>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</si>
  <si>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</si>
  <si>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</si>
  <si>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</si>
  <si>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</si>
  <si>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</si>
  <si>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</si>
  <si>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</si>
  <si>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</si>
  <si>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</si>
  <si>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</si>
  <si>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</si>
  <si>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</si>
  <si>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</si>
  <si>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</si>
  <si>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</si>
  <si>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</si>
  <si>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</si>
  <si>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</si>
  <si>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</si>
  <si>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</si>
  <si>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</si>
  <si>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</si>
  <si>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</si>
  <si>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</si>
  <si>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</si>
  <si>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</si>
  <si>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</si>
  <si>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</si>
  <si>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</si>
  <si>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</si>
  <si>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</si>
  <si>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</si>
  <si>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</si>
  <si>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</si>
  <si>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</si>
  <si>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</si>
  <si>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</si>
  <si>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</si>
  <si>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</si>
  <si>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</si>
  <si>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</si>
  <si>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</si>
  <si>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</si>
  <si>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</si>
  <si>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</si>
  <si>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</si>
  <si>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</si>
  <si>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</si>
  <si>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</si>
  <si>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</si>
  <si>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</si>
  <si>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</si>
  <si>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</si>
  <si>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</si>
  <si>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</si>
  <si>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</si>
  <si>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</si>
  <si>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</si>
  <si>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</si>
  <si>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</si>
  <si>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</si>
  <si>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</si>
  <si>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</si>
  <si>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</si>
  <si>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</si>
  <si>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</si>
  <si>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</si>
  <si>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</si>
  <si>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</si>
  <si>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</si>
  <si>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</si>
  <si>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</si>
  <si>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</si>
  <si>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</si>
  <si>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</si>
  <si>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</si>
  <si>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</si>
  <si>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</si>
  <si>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</si>
  <si>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</si>
  <si>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</si>
  <si>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</si>
  <si>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</si>
  <si>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</si>
  <si>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</si>
  <si>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</si>
  <si>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</si>
  <si>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</si>
  <si>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</si>
  <si>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</si>
  <si>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</si>
  <si>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</si>
  <si>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</si>
  <si>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</si>
  <si>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</si>
  <si>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</si>
  <si>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</si>
  <si>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</si>
  <si>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</si>
  <si>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</si>
  <si>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</si>
  <si>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</si>
  <si>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</si>
  <si>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</si>
  <si>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</si>
  <si>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</si>
  <si>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</si>
  <si>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</si>
  <si>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</si>
  <si>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</si>
  <si>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</si>
  <si>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</si>
  <si>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</si>
  <si>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</si>
  <si>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</si>
  <si>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</si>
  <si>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</si>
  <si>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</si>
  <si>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</si>
  <si>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</si>
  <si>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</si>
  <si>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</si>
  <si>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</si>
  <si>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</si>
  <si>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</si>
  <si>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</si>
  <si>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</si>
  <si>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</si>
  <si>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</si>
  <si>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</si>
  <si>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</si>
  <si>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</si>
  <si>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</si>
  <si>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</si>
  <si>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</si>
  <si>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</si>
  <si>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</si>
  <si>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</si>
  <si>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</si>
  <si>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</si>
  <si>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</si>
  <si>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</si>
  <si>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</si>
  <si>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</si>
  <si>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</si>
  <si>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</si>
  <si>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</si>
  <si>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</si>
  <si>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</si>
  <si>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</si>
  <si>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</si>
  <si>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</si>
  <si>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</si>
  <si>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</si>
  <si>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</si>
  <si>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</si>
  <si>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</si>
  <si>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</si>
  <si>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</si>
  <si>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</si>
  <si>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</si>
  <si>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</si>
  <si>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</si>
  <si>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</si>
  <si>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</si>
  <si>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</si>
  <si>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</si>
  <si>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</si>
  <si>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</si>
  <si>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</si>
  <si>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</si>
  <si>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</si>
  <si>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</si>
  <si>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</si>
  <si>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</si>
  <si>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</si>
  <si>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</si>
  <si>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</si>
  <si>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</si>
  <si>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</si>
  <si>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</si>
  <si>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</si>
  <si>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</si>
  <si>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</si>
  <si>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</si>
  <si>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</si>
  <si>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</si>
  <si>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</si>
  <si>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</si>
  <si>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</si>
  <si>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</si>
  <si>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</si>
  <si>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</si>
  <si>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</si>
  <si>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</si>
  <si>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</si>
  <si>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</si>
  <si>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</si>
  <si>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</si>
  <si>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ELECTRONOROESTE S.A.</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</si>
  <si>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</si>
  <si>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</si>
  <si>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</si>
  <si>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</si>
  <si>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</si>
  <si>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</si>
  <si>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</si>
  <si>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</si>
  <si>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</si>
  <si>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</si>
  <si>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</si>
  <si>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</si>
  <si>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</si>
  <si>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</si>
  <si>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</si>
  <si>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</si>
  <si>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</si>
  <si>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</si>
  <si>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</si>
  <si>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</si>
  <si>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</si>
  <si>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</si>
  <si>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</si>
  <si>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</si>
  <si>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</si>
  <si>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MARCONA</t>
  </si>
  <si>
    <t>STATKRAFT S.A</t>
  </si>
  <si>
    <t>20:45</t>
  </si>
  <si>
    <t>20:00</t>
  </si>
  <si>
    <t>ELECTRO PUNO</t>
  </si>
  <si>
    <t>T62-161  T6-261</t>
  </si>
  <si>
    <t>INDEPENDENCIA</t>
  </si>
  <si>
    <t>15:00</t>
  </si>
  <si>
    <t>14:45</t>
  </si>
  <si>
    <t>L. ARICOTA 2 - TOMASIRI - LINEA L-6620</t>
  </si>
  <si>
    <t>ELECTROCENTRO</t>
  </si>
  <si>
    <t>L. AZÁNGARO - PUTINA - LINEA L-6024</t>
  </si>
  <si>
    <t>L. KIMAN AYLLU - SIHUAS - LINEA L-1132</t>
  </si>
  <si>
    <t>LINEA DE TRANSMISION</t>
  </si>
  <si>
    <t>TRANSFORMADOR 3D</t>
  </si>
  <si>
    <t>SUBESTACION</t>
  </si>
  <si>
    <t>T-30  T3-261  T4-261</t>
  </si>
  <si>
    <t>L-6627  L-6628</t>
  </si>
  <si>
    <t>MARCONA - SAN NICOLÁS</t>
  </si>
  <si>
    <t>L-2090</t>
  </si>
  <si>
    <t>CHILCA - ASIA</t>
  </si>
  <si>
    <t>21:30</t>
  </si>
  <si>
    <t>11:15</t>
  </si>
  <si>
    <t>L. MOROCOCHA - CARLOS FRANCISCO - LINEA L-6533</t>
  </si>
  <si>
    <t>TRANSMANTARO</t>
  </si>
  <si>
    <t>L. AZÁNGARO - ANTAUTA - LINEA L-6021</t>
  </si>
  <si>
    <t>L. PUNO - POMATA - ILAVE - LINEA L-6027</t>
  </si>
  <si>
    <t>ELECTRO ORIENTE</t>
  </si>
  <si>
    <t>L-2222  L-2223</t>
  </si>
  <si>
    <t>PACHACHACA - CALLAHUANCA (REP)</t>
  </si>
  <si>
    <t>L-1122</t>
  </si>
  <si>
    <t>TINGO MARÍA - AUCAYACU</t>
  </si>
  <si>
    <t>L-2213 L-2279</t>
  </si>
  <si>
    <t>HUACHO - PARAMONGA NUEVA</t>
  </si>
  <si>
    <t>L-2051 L-2052  L-5034  L-5036</t>
  </si>
  <si>
    <t>ENLACE CENTRO - SUR</t>
  </si>
  <si>
    <t>SUR</t>
  </si>
  <si>
    <t>L. CHIMBOTE 1 - CHIMBOTE SUR - LINEA L-1111</t>
  </si>
  <si>
    <t>L. CASAPALCA NORTE - SAN MATEO - LINEA L-6535</t>
  </si>
  <si>
    <t>Natural Tarma</t>
  </si>
  <si>
    <t>Descargado Yuracmayo</t>
  </si>
  <si>
    <t>TAMBORAQUE (RÍMAC)</t>
  </si>
  <si>
    <t>SHEQUE (SANTA EULALIA)</t>
  </si>
  <si>
    <t>Ingreso Toma Sheque (Santa Eulalia)</t>
  </si>
  <si>
    <t>Ingreso Toma Tamboraque (Rímac)</t>
  </si>
  <si>
    <t>NATURAL ARICOTA</t>
  </si>
  <si>
    <t>NATURAL VILCANOTA</t>
  </si>
  <si>
    <t>NATURAL SAN GABÁN</t>
  </si>
  <si>
    <t>Máximas demandas mensuales (Hora Punta y Hora Fuera de Punta)</t>
  </si>
  <si>
    <t>1.1. Producción de energía eléctrica en diciembre 2022 en comparación al mismo mes del año anterior</t>
  </si>
  <si>
    <t>diciembe</t>
  </si>
  <si>
    <t>La producción de electricidad con centrales hidroeléctricas durante el mes de diciembre 2022 fue de 2 068,17 GWh (29,71% menor al registrado durante diciembre del año 2021).</t>
  </si>
  <si>
    <t>La producción de energía eléctrica con centrales eólicas fue de 136,49 GWh y con centrales solares fue de 72,76 GWh, los cuales tuvieron una participación de 2,72% y 1,45% respectivamente.</t>
  </si>
  <si>
    <t>C.E. PUNTA LOMITAS (4)</t>
  </si>
  <si>
    <t>(4) Operación por pruebas de la C.E. Punta Lomitas propiedad de ENGIE.</t>
  </si>
  <si>
    <t>06/12/2022</t>
  </si>
  <si>
    <t>01/12/2022</t>
  </si>
  <si>
    <t>02/12/2022</t>
  </si>
  <si>
    <t>03/12/2022</t>
  </si>
  <si>
    <t>11:00</t>
  </si>
  <si>
    <t>04/12/2022</t>
  </si>
  <si>
    <t>05/12/2022</t>
  </si>
  <si>
    <t>15:45</t>
  </si>
  <si>
    <t>07/12/2022</t>
  </si>
  <si>
    <t>08/12/2022</t>
  </si>
  <si>
    <t>09/12/2022</t>
  </si>
  <si>
    <t>10/12/2022</t>
  </si>
  <si>
    <t>11/12/2022</t>
  </si>
  <si>
    <t>23:15</t>
  </si>
  <si>
    <t>20:30</t>
  </si>
  <si>
    <t>12/12/2022</t>
  </si>
  <si>
    <t>13/12/2022</t>
  </si>
  <si>
    <t>14/12/2022</t>
  </si>
  <si>
    <t>21:15</t>
  </si>
  <si>
    <t>15/12/2022</t>
  </si>
  <si>
    <t>16/12/2022</t>
  </si>
  <si>
    <t>17/12/2022</t>
  </si>
  <si>
    <t>18/12/2022</t>
  </si>
  <si>
    <t>12:30</t>
  </si>
  <si>
    <t>19/12/2022</t>
  </si>
  <si>
    <t>20/12/2022</t>
  </si>
  <si>
    <t>21/12/2022</t>
  </si>
  <si>
    <t>22/12/2022</t>
  </si>
  <si>
    <t>23/12/2022</t>
  </si>
  <si>
    <t>24/12/2022</t>
  </si>
  <si>
    <t>25/12/2022</t>
  </si>
  <si>
    <t>26/12/2022</t>
  </si>
  <si>
    <t>27/12/2022</t>
  </si>
  <si>
    <t>28/12/2022</t>
  </si>
  <si>
    <t>15:30</t>
  </si>
  <si>
    <t>29/12/2022</t>
  </si>
  <si>
    <t>30/12/2022</t>
  </si>
  <si>
    <t>31/12/2022</t>
  </si>
  <si>
    <t>AT30-211</t>
  </si>
  <si>
    <t>CHIMBOTE 1</t>
  </si>
  <si>
    <t>L. PIURA OESTE - SULLANA - LINEA L-6698</t>
  </si>
  <si>
    <t>Desconectó la línea L-6698 (Piura Oeste - Sullana) de 60 kV por actuación de su protección de sobrecorriente de la línea, en la S.E Piura Oeste de titularidad de la empresa Red de Energía del Perú. Como consecuencia se interrumpió el suministro en las SS.EE Sullana, Poechos y Quiroz, con un total de 40.50 MW de carga, asimismo, desconectaron las CC.HH. Poechos I y II con un total de 6.3 MW. A las 12:38 h entró en servicio la línea L-6698 y se procedió a recuperar la carga interrumpida. A las 13:05 h y 13:25 h las CC.HH Poechos I y II respectivamente, sincronizaron con el SEIN.</t>
  </si>
  <si>
    <t>L. PARQUE INDUSTRIAL - CONCEPCIÓN - LINEA L-6078</t>
  </si>
  <si>
    <t>Desconectó la línea L-6078 (Parque Industrial - Concepción) de 60 kV por falla bifásica entre las fases "R y T", debido a caída de árbol sobre la línea, según lo informado por Electrocentro, titular de la línea. Como consecuencia se interrumpió la carga de las SS.EE. Concepción, Jauja y Comas con un total de 6.28 MW, así también las CC.HH. Runatullo II (G1) y Runatullo III (G1) quedaron en modo aislado y desconectaron manualmente cuando generaban 7.39 MW. La línea quedó fuera de servicio para su inspección. A las 17:07 h se conectó la línea y se procedió a recuperar la carga interrumpida.</t>
  </si>
  <si>
    <t>ELECTRO SUR ESTE</t>
  </si>
  <si>
    <t>L. SAN GABÁN II - MAZUCO - LINEA L-1014</t>
  </si>
  <si>
    <t>Desconectó la línea L-1014 (San Gabán – Mazuko) de 138 kV por falla monofásica en la fase "T" a 38.9 km desde la S.E. San Gabán, cuya causa se encuentra en investigación por Electro Sur Este, titular de la línea. Como consecuencia se interrumpió el suministro de las SS.EE. Mazuko y Puerto Maldonado con 22.15 MW, asimismo desconectó la unidad UG1 de la C.H. Angel III con 5.7 MW. A las 15:07 h se declaró disponible la línea. A las 15:09 h, se energizó la L-1014 desde la S.E. San Gabán; sin embargo, luego de 47 segundos, la línea L-1014 desconectó nuevamente. Como consecuencia, desconectó la unidad UG2 de la C.H Ángel II con 5.7 MW. A las 15:10 h la línea L-1014 se declaró indisponible y a las 15:18 h se coordinó arrancar la C.T.R.F. Puerto Maldonado para restablecer el suministro interrumpido en sistema aislado. A las 15:28 h se normalizó el suministro interrumpido en la S.E. Puerto Maldonado en modo aislado. A las 18:50 h se conectó la línea L-1014 y se procedió a recuperar la carga interrumpida de la S.E. Mazuco. A las 15:39 h la unidad G2 de la C.H Ángel II, sincronizó con el SEIN. A las 16:24 h la unidad G1 de la C.H Ángel III, sincronizó con el SEIN.</t>
  </si>
  <si>
    <t>INFRAESTRUCTURAS Y ENERGIAS DEL PERU S.A.C.</t>
  </si>
  <si>
    <t>C.T. RESERVA FRIA PTO MALDONADO - CT CENTRAL</t>
  </si>
  <si>
    <t>Desconectó la C.T.R.F. Puerto Maldonado cuando se encontraba operando en sistema aislado con la carga de la S.E. Puerto Maldonado, debido a incremento intempestivo de carga, según lo informado por Infraestructura y Energías del Perú, titular de la central. Como consecuencia se interrumpió 14.6 MW de la carga del sistema aislado. A las 15:55 h se arrancan 11 grupos de la C.T.R.F. Puerto Maldonado en Black Start y a las 16:02 h se procede restablecer el suministro en la S.E. Puerto Maldonado.</t>
  </si>
  <si>
    <t>Desconectó la C.T.R.F. Puerto Maldonado cuando se encontraba operando en sistema aislado con la carga de la S.E. Puerto Maldonado, cuya causa no ha sido informada por Infraestructura y Energías del Perú, titular de la central. Como consecuencia se interrumpió 11.6 MW de la carga del sistema aislado. A las 16:32 h se arrancan 11 grupos de la C.T.R.F. Puerto Maldonado en Black Start y a las 17:04 h se procede restablecer el suministro en la S.E. Puerto Maldonado.</t>
  </si>
  <si>
    <t>L. CHIMBOTE 1 - SANTA - LINEA L-1116</t>
  </si>
  <si>
    <t>Desconectó la línea L-1116 (Chimbote 1 – Santa) de 138 kV en la S.E. Santa debido a falla cuya causa se encuentra en investigación por Hidrandina, titular de la línea. Como consecuencia se interrumpió el suministro en la S.E. Santa con 14.5 MW. A las 00:05 h, del 06/12/2022 se conectó la línea y se inició las maniobras para normalizar el suministro interrumpido.</t>
  </si>
  <si>
    <t>SOUTHERN PERU CC</t>
  </si>
  <si>
    <t>S.E. LIXIVIACIÓN - TRAFO LT2</t>
  </si>
  <si>
    <t>Desconectó el transformador LT2 de 138/13.8 kV, 60/72 MVA de la SE Lixiviación por actuación de su protección diferencial (87T), debido a una falla en un alimentador de 13.8 kV, según lo informado por Southern Perú, titular de los equipos. Como consecuencia, el usuario libre Southern Cooper disminuyó 23.1 MW de carga en la S.E. Toquepala. El transformador quedó indisponible para su inspección. El día 07.12.2022 a las 15:20 h se conectó el transformador LT2.</t>
  </si>
  <si>
    <t>S.E. HUALLANCA - SSEE SSEE</t>
  </si>
  <si>
    <t>Desconectó el transformador T63 de 66/13.8 kV, 20 MVA de la SE Huallanca por actuación de su protección Buchholz, momento en que se produjo la desconexión de la línea HLL-303 (Huallanca - Huaylas) de 13.8 kV por falla bifásica, según lo informado por ISA PERÚ, titular del transformador. Como consecuencia se interrumpió el suministro de Huaylas, Huallanca Pueblo y Molino Pampa en total 0.83 MW. A las 19:08 h, se conectó el transformador y se procedió a normalizar el suministro interrumpido.</t>
  </si>
  <si>
    <t>S.E. TARAPOTO - TRAFO3D TP-1345</t>
  </si>
  <si>
    <t>Desconectó el transformador TP-1345 138/60/22.9kV de la S.E. Tarapoto por falla, según lo informado por ELECTRO ORIENTE, titular del equipo. Como consecuencia se interrumpe el suministro en la SS.EE Tarapoto con un total de 14.02 MW. A las 13:34 h, se conectó el Transformador y se procedió a recuperar los suministros interrumpidos.</t>
  </si>
  <si>
    <t>Se produjo la desconexión de las líneas L-6620 (Aricota 2 – Tomasiri) y L-6637 (Tomasiri – Los Héroes) de 66 kV por falla monofásica en la fase "S" de la L-6620, debido a condiciones climáticas adversas, según lo informado por EGESUR, titular de las líneas. Como consecuencia se interrumpió el suministro de la S.E. Tomasiri con 0.92 MW. A las 07:06 h se conectó la línea L-6637 y se procedió a normalizar el suministro de la S.E. Tomasiri. A las 08:06 h, se conectó la L-6620 en la S.E. Aricota 2.</t>
  </si>
  <si>
    <t>L. HUARAZ - TICAPAMPA - LINEA L-6681</t>
  </si>
  <si>
    <t>Desconecto la línea L-6681 (Huaraz – Ticapampa) de 66 kV por falla monofásica en la fase "S" a 0.8 km desde la S.E. Huaraz, debido a causa no informada por Hidrandina, titular de la línea. Como consecuencia se interrumpió el suministro de la S.E. Ticapampa con 8.9 MW y desconectaron los generadores CH2-G1 (0.31 MW), CH3-G1 (0.33 MW) y CH4-G1 (1.04 MW) de la C.H. Pariac. A las 19:51 h, se conectó la línea L-6681 y se procedió a normalizar el suministro interrumpido. A las 21:01 h, 21:29 h y 21:52 h la CH2, CH3 y CH4 de la CH Pariac respectivamente, sincronizaron con el SEIN.</t>
  </si>
  <si>
    <t>CONENHUA</t>
  </si>
  <si>
    <t>L. PARAGSHA II - UCHUCCHACUA - LINEA L-1123</t>
  </si>
  <si>
    <t>Desconectó la línea L-1123 (Paragsha II – Uchucchacua) de 138 kV en la S.E. Uchucchacua, debido a falla monofásica en la fase "R" a 20.5 km de la S.E Paragsha II, cuya causa se encuentra en investigación por CONENHUA, titular del equipo. Cabe señalar que en el extremo de Paragsha II se produjo recierre monofásico, sin embargo, en la S.E Uchucchacua se produjo disparo trifásico. Como consecuencia se interrumpió el suministro de los Usuarios Libres Buenaventura, Ishcaycruz y Raura con un total de 12.85 MW. A las 16:08 h se conectó la línea L-1123 y se procedió a normalizar el suministro interrumpido.</t>
  </si>
  <si>
    <t>MINERA ARUNTANI</t>
  </si>
  <si>
    <t>L. PUNO - TUCARI - LINEA L-6007</t>
  </si>
  <si>
    <t>Se produjo la desconexión de la línea L-6007 (Puno - Tucari) de 60 kV por falla cuya causa no fue informada por MINERA ARUNTANI, titular de la línea. Como consecuencia se interrumpió la carga de Minera Aruntani en 1.3 MW. A las 12:20 h se energizó la línea y se procedió a recuperar la carga interrumpida.</t>
  </si>
  <si>
    <t>L. COMBAPATA - SICUANI - LINEA L-6001</t>
  </si>
  <si>
    <t xml:space="preserve">Se produjo la desconexión de la línea L-6001 (Combapata - Sicuani) de 60 kV por falla cuya causa no fue informada por ELECTRO SUR ESTE, titular de la línea. Como consecuencia se interrumpió el suministro de la S.E. Sicuani. A las 03:38 h, se conectó la línea L-6001 y se inició a restablecer el suministro interrumpido. </t>
  </si>
  <si>
    <t>Se produjo la desconexión de la línea L-6535 (Carlos Francisco - San Mateo) de 50 kV por falla monofásica en la fase "R", debido al acercamiento de un árbol al conductor de la línea, según lo informado por STATKRAFT, titular de la línea. Como consecuencia se interrumpieron los suministros de las SS.EE. San Mateo y Huanchor con 12.86 MW, así mismo, desconectó la C.H. Huanchor con 18.167 MW. A las 16:40 h se conectó la línea, con lo cual se inició el restablecimiento del suministro interrumpido.</t>
  </si>
  <si>
    <t>S.E. GALLITO CIEGO - BARRA GALL_60</t>
  </si>
  <si>
    <t>Desconectó la barra de 60 kV de la S.E. Gallito Ciego por falla en la línea L-6045 (Gallito Ciego - Cajamarca) de 60 kV de titularidad de Hidrandina, según lo informado por Statkraft, titular de la barra. La falla fue despejada mediante la desconexión de las líneas L-6646/L-6656 (Guadalupe - Gallito Ciego) en la S.E Gallito Ciego y la desconexión de los grupos G1 y G2 de la C.H Gallito Ciego (27,17 MW). Como consecuencia, se interrumpieron los suministros de las SS.EE. Tembladera, Chilete, Cajamarca y Celendín con un total de 11.78 MW y el usuario libre Cementos Pacasmayo redujo su carga en 10.05 MW. A las 03:19 h, entraron en servicio las líneas L-6656 y L-6646, asimismo, se conectó la línea L-6045 (Gallito Ciego - Cajamarca). A las 03:21 h, se conectó la línea L-6042 (Gallito Ciego - Tembladera) y se procedió a restablecer el suministro interrumpido. A las 03:24 h, desconectó nuevamente la barra de 60 kV de la S.E. Gallito Ciego, interrumpiendo 8 MW de carga. La línea L-6045 quedó fuera de servicio para su inspección. A las 03:41 h, se energizó la barra de 60 kV de la S.E. Gallito Ciego con las líneas L-6646 y L-6656 con lo cual se inició el restablecimiento del suministro interrumpido. A las 13:06 h se conectó la línea L-6045 (Gallito Ciego - Cajamarca).</t>
  </si>
  <si>
    <t>Se produjo la desconexión de la línea L-1111 (Chimbote 1 – Chimbote Sur) de 138 kV por falla monofásica a tierra en la fase "R", debido a caída de la línea por deterioro en la estructura N° 29, según lo informado por HIDRANDINA, titular de la línea. Como consecuencia se interrumpieron los suministros de las SS.EE. Chimbote Sur, Trapecio, Nepeña y Casmacon un total de 39.40 MW. Asimismo, se produjo la desconexión de la C.T San Jacinto, la cual operó de manera aislada del SEIN. A las 06:41 h, se conectó la línea y se procedió a normalizar el suministro interrumpido. A las 07:05 h la C.T San Jacinto sincronizó con el SEIN.</t>
  </si>
  <si>
    <t>S.E. CHIMBOTE NORTE - TRAFO3D TP-A058</t>
  </si>
  <si>
    <t>Se produjo la desconexión del transformador TP-A058 138/13,8 kV de la S.E. Chimbote Norte por actuación de su protección diferencial (87T) debido a sobrecorriente en la fase R, según lo informado por HIDRANDINA, titular del transformador. Como consecuencia, se interrumpió una carga de 9,56 MW. A las 06:56 h, el CC-HDN conectó el transformador y procedió a restablecer su carga.</t>
  </si>
  <si>
    <t>Se produjo la desconexión de la línea L-6681 (Huaraz - Ticapampa) de 66 kV por falla monofásica a tierra en la fase "S" a 15.8 km de la S.E Huaraz, debido a descargas atmosféricas, de acuerdo con lo informado por HIDRANDINA, titular de la línea. Como consecuencia, se interrumpió el suministro de la S.E. Ticapampa con un total de 7.23 MW, así mismo, desconectó la C.H. Pariac con 2.92 MW. A las 16:57 h se conectó la línea, con lo cual se inició el restablecimiento del suministro interrumpido. A las 17:44 h la C.H Pariac sincronizó con el SEIN.</t>
  </si>
  <si>
    <t>Se produjo la desconexión de las líneas L-6024/6025/6026 (Azángaro - Putina - Huancané - Ananea) de 60 kV por falla debido a descargas atmosféricas en la zona, según lo informado por ELECTRO PUNO, titular de las líneas. Como consecuencia se interrumpieron los suministros de las SS.EE. Ananea y Huancané con un total de 12.3 MW. A las 12:42 h, se conectaron las líneas y se procedió a recuperar la carga interrumpida.</t>
  </si>
  <si>
    <t>L. ILO 1 - REFINERÍA - LINEA L-1387</t>
  </si>
  <si>
    <t>Se produjo la desconexión de la línea L-1387 (Ilo 1 - Refinería) de 138 kV y el transformador RT1 por falla monofásica a tierra en la fase "S", debido al contacto de un ave con el conductor de la línea en la estructura N° 1, de acuerdo con lo informado por SOUTHERN PERÚ, titular de la línea. Como consecuencia se interrumpió el suministro de la S.E. Refinería con 10.8 MW. A las 18:12 h se procedió a recuperar la carga interrumpida mediante el transformador RT2. A las 20:32 h se puso en servicio la línea L-1387.</t>
  </si>
  <si>
    <t>Se produjo la desconexión de las líneas L-6532/L-6533 (Nueva Morococha - Carlos Francisco) de 50 kV por falla monofásica a tierra en la fase "S", debido a descargas atmosféricas en la zona de Morococha, según lo informado por STATKRAFT, titular de las líneas. Como consecuencia, se interrumpieron los suministros de las subestaciones Carlos Francisco, Antuquito, Rosaura, Bellavista y Huanchor con un total de 32,5 MW, así mismo, desconectó la C.H. Huanchor con 18 MW. A las 12:21 h, el CC-STK conectó las líneas iniciando el restablecimiento de los suministros interrumpidos. A las 12:54 h, el generador G2sincronizó con el SEIN.</t>
  </si>
  <si>
    <t>Se produjo la desconexión de la línea L-1111 (Chimbote 1 - Chimbote Sur) de 138 kV por falla monofásica a tierra en la fase "S", debido a contaminación en las partes aislantes de las estructuras E20 a la E-25 de la línea, según lo informado por HIDRANDINA, titular de la línea. Como consecuencia se interrumpieron los suministros de las SS.EE. Chimbote Sur, Trapecio, Nepeña, Casma y San Jacinto con un total de 32.7 MW, así mismo, la C.T. San Jacinto quedó operando en sistema aislado. A las 06:42 h, se conectó la línea y se inició el restablecimiento del suministro interrumpido.</t>
  </si>
  <si>
    <t>L. COBRIZA I - PAMPAS - LINEA L-6066</t>
  </si>
  <si>
    <t>Se produjo la desconexión de la línea L-6066 (Cobriza I - Pampas) de 66 kV por falla bifásica a tierra entre las fases "R y S", debido a descargas atmosféricas en la zona de Pampas, según lo informado por ELECTRO CENTRO, titular de la línea. Como consecuencia se interrumpió el suministro de la S.E. Pampas en 0.68 MW. A las 15:44 h se conectó la línea y se restableció el suministro interrumpido.</t>
  </si>
  <si>
    <t>ELECTRONORTE S.A.</t>
  </si>
  <si>
    <t>L. DUNA - CUTERVO - LINEA L-1135</t>
  </si>
  <si>
    <t>Desconectó la línea L-1135 (Duna Huambos - Cutervo) por falla a tierra en la fase "T", ocasionado por descargas atmosféricas, según lo informado por ELECTRONORTE, titular de la línea L-1135. Como consecuencia se interrumpió el suministro en el Sistema Eléctrico Bagua – Jaén – San Ignacio, con un total</t>
  </si>
  <si>
    <t>COMPAÑIA TRANSMISORA SUR ANDINO S.A.C.</t>
  </si>
  <si>
    <t>L. INGENIO - CAUDALOSA - LINEA L-6644</t>
  </si>
  <si>
    <t>Desconectó la línea de 60 kV L-6644 (Ingenio - Caudalosa) por falla bifásica entre las fases "S-T"a 18.39 km de la S.E Ingenio, debido a intensas nevadas en la zona de falla, según lo informado por la Compañía Transmisora Sur Andino, titular de la línea. Como consecuencia se interrumpió el suministro de la S.E. Caudalosa en 6.9 MW aproximadamente. A las 23:59 h, la línea se puso en servicio y se coordinó recuperar la carga interrumpida.</t>
  </si>
  <si>
    <t>Se produjo la desconexión de la línea L-6644 (Ingenio - Caudalosa) de 60 kV por falla bifásica S-T cuya causa no fue informada por COMPAÑÍA TRANSMISORA SUR ANDINO, titular de la línea. Como consecuencia se interrumpió el suministro de la S.E. Caudalosa con 6.5 MW aproximadamente. A la 01:39 h, se conectó la línea y se coordinó recuperar la carga interrumpida.</t>
  </si>
  <si>
    <t>Se produjo la desconexión de la línea L-6644 (Ingenio - Caudalosa) de 60 kV por falla bifásica en las fase "S" y "T" cuya causano fue informada por COMPAÑÍA TRANSMISORA SUR ANDINO, titular de la línea. Como consecuencia se interrumpió el suministro de la S.E. Caudalosa con 4.39 MW aproximadamente. A la 08:17 h, se conectó la línea y se coordinó recuperar la carga interrumpida.</t>
  </si>
  <si>
    <t>Se produjo la desconexión de la línea L-6644 (Ingenio - Caudalosa) de 60 kV por falla bifásica en la fase "S" y "T" cuya causa no fue informada por COMPAÑÍA TRANSMISORA SUR ANDINO, titular de la línea. Como consecuencia se interrumpió el suministro de la S.E. Caudalosa con 2.73 MW aproximadamente. A la 11:22 h, se conectó la línea y se coordinó recuperar la carga interrumpida.</t>
  </si>
  <si>
    <t>L. PUNO - BELLAVISTA - LINEA L-6028</t>
  </si>
  <si>
    <t>Se produjo la desconexión de la línea L-6028 (Puno - Bellavista) de 60 kV por falla cuya causa no fue informada por ELECTRO PUNO, titular de la línea. Como consecuencia se interrumpió el suministro de la S.E. Bellavista con un total de 10 MW. A las 20:26 h, se conectó la línea y se inició el restablecimiento del suministro interrumpido.</t>
  </si>
  <si>
    <t>Se produjo la desconexión de la línea L-6028 (Puno - Bellavista) de 60 kV por falla cuya causa no fue informada por ELECTRO PUNO, titular de la línea. Como consecuencia se interrumpió el suministro de la S.E. Bellavista. A las 20:21 h, se conectó la línea y se inició el restablecimiento del suministro interrumpido.</t>
  </si>
  <si>
    <t>Se produjo la desconexión de la línea L-6028 (Puno - Bellavista) de 60 kV por falla cuya causa no fue informada por ELECTRO PUNO, titular de la línea. Como consecuencia se interrumpió el suministro de la S.E. Bellavista. A las 20:26 h, se conectó la línea y se inició el restablecimiento del suministro interrumpido.</t>
  </si>
  <si>
    <t>Se produjo la desconexión de la línea L-6028 (Puno - Bellavista) de 60 kV por falla cuya causa no fue informada por ELECTRO PUNO, titular de la línea. Como consecuencia se interrumpió el suministro de la S.E. Bellavista. La línea quedó indisponible para su inspección.</t>
  </si>
  <si>
    <t>L. CANCHAYLLO - Der. AZULCOCHA - LINEA L-6647 A</t>
  </si>
  <si>
    <t>Se produjo la desconexión de la línea L-6647 (Canchayllo - Azulcocha - Chumpe) de 69 kV por falla debido a descargas atmosféricas según lo informado por STATKRAFT, titular de la línea. Como consecuencia se interrumpieron los suministros de las SS.EE. Azulcocha y Chumpe con un total 10.9 MW. A las 14:03 h, se conectó la línea y se procedió a recuperar el suministro interrumpido.</t>
  </si>
  <si>
    <t xml:space="preserve">MINERA VOLCAN </t>
  </si>
  <si>
    <t>L. POMACOCHA - SAN CRISTOBAL - LINEA L-6545</t>
  </si>
  <si>
    <t>Se produjo la desconexión de la línea L-6545 (Pomacocha - San Cristóbal) de 50 kV por falla monofásica a tierra en la fase "T" a 11 km de la S.E Pomacocha, debido a descargas atmosféricas en la zona de San Cristobal, según lo informado por MINERA VOLCAN, titular de la línea. Como consecuencia es interrumpieron los suministros de las SS.EE. San Cristóbal y Andaychagua con una carga de 19.98 MW. A las 14:49 h, se conectó la línea y se procedió a recuperar la carga interrumpida.</t>
  </si>
  <si>
    <t>Se produjo la desconexión de la línea L-6007 (Puno - Tucari) de 60 kV por falla monofásica en la fase "R" debido a desccargas atmosféricas en la zona de falla, según lo informado por MINERA ARUNTANI, titular de la línea. Como consecuencia se interrumpió el suministro de la S.E. Tucari con un total de 0.897 MW. A las 15:34 h, se conectó la línea.</t>
  </si>
  <si>
    <t>Se produjo la desconexión de la línea L-6021 (Azángaro - Antauta) de 60 kV debido a descargas atmosféricas según lo informado por ELECTRO PUNO, titular de la línea. Como consecuencia se interrumpió el suministro de la S.E. Antauta con un total de 1.46 MW. A las 15:39 h, se conectó la línea y se procedió a recuperar la carga interrumpida.</t>
  </si>
  <si>
    <t>Se produjo la desconexión de la línea L-6066 (Cobriza I - Pampas) de 66 kV por falla monofásica a tierra en la fase "T", debido a descargas atmosféricas en la zona de Matachocco, según lo informado por ELECTRO CENTRO, titular de la línea. Como consecuencia se interrumpió el suministro de la S.E. Pampas con un total de 1.47 MW. A las 18:34 h, se conectó la línea y se procedió a recuperar el suministro interrumpido.</t>
  </si>
  <si>
    <t>Se produjo la desconexión de la línea L-6007 (Puno - Tucari) de 60 kV por falla monofásica en la fase "T" debido a descargas atmosfpericas en la zona de falla, según lo informado por MINERA ARUNTANI, titular de la línea. Como consecuencia se interrumpió el suministro de la S.E. Tucari con un total de 0.507 MW. A las 15:24 h, se conectó la línea.</t>
  </si>
  <si>
    <t>Se produjo la desconexión de la línea L-1132 (Kiman Ayllu – Sihuas) de 138 kV por falla bifásica a tierra entre las fases "R y T" a 69.2 km de la S.E Kiman Ayllu, debido a descargas atmosféricas, según lo informado por HIDRANDINA, titular de la línea. Como consecuencia se interrumpieron los suministros de las subestaciones Sihuas, Tayabamba, Pomabamba, Huari y Llacuabamba con 26.17¿MW. Asimismo, desconectaron las CC.HH Tarabamba, Pomabamba y María Jiray con un total de 13.138 MW. A las 17:10 h, se conectó la línea L-1132 y se inició el restablecimiento del suministro interrumpido.</t>
  </si>
  <si>
    <t>Se produjo la desconexión de la línea L-1132 (Kiman Ayllu – Sihuas) de 138 kV por falla monofásica en la fase "S", debido a descargas atmosféricas en la zona de falla, según lo informado por HIDRANDINA, titular de la línea. Como consecuencia se interrumpieron los suministros de las subestaciones Sihuas, Tayabamba, Pomabamba, Huari y Llacuabamba con 26.17 MW. Asimismo, desconectaron las CC.HH Tarabamba, Pomabamba y María Jiray con un total de 3.513 MW. A las 20:42 h, se conectó la línea L-1132 y se inició el restablecimiento del suministro interrumpido.</t>
  </si>
  <si>
    <t>Se produjo la desconexión de las líneas de 60 kV, L-6637 (Los Héroes - Tomasiri) y L-6620 (Tomasiri - Aricota 2) por falla monofásica a tierra en la fase "T" en la línea L-6637, debido a alta concentración de nebilna en la zona de Tomasiri, según lo informado por EGESUR, titular de las líneas. Como consecuencia se interrumpió el suministro de la S.E. Tomasiri con un total de 1 MW. A las 22:17 h, se conectó la línea L-6637 y se procedió a recuperar la carga interrumpida. A las 22:59 h, se conectó la línea L-6620.</t>
  </si>
  <si>
    <t>CEMENTOS PACASMAYO</t>
  </si>
  <si>
    <t>S.E. PACASMAYO - SSEE PACASMAYO</t>
  </si>
  <si>
    <t>Se produjo la desconexión de la S.E. Cementos Pacasmayo de 60 kV por falla en el bushing del lado de 60 kV del transformador de potencia TRF3 de la SE Cementos Pacasmayo, debido al contacto de un ave de rapiña (gallinazo) con el bushing del transformador, según lo informado por EMPRESA DE TRANSMISIÓN GUADALUPE, titular de las instalaciones. Como consecuencia se interrumpió el suministro de Cementos Pacasmayo con 20.30 MW. A las 08:52 h, se energizó la barra de 60 kV de la S.E. Cementos Pacasmayo y se inició el restablecimiento del suministro interrumpido.</t>
  </si>
  <si>
    <t>Se produjo la desconexión de la línea L-6007 (Puno - Tucari) de 60 kV por falla monofásica en la fase "T" debido a descargas atmosfpericas en la zona de falla, según lo informado por MINERA ARUNTANI, titular de la línea. Como consecuencia se interrumpió el suministro de la S.E. Tucari con un total de 0.608 MW. A las 14:35 h, se conectó la línea.</t>
  </si>
  <si>
    <t>L. TRUJILLO NORTE - TRUJILLO NUEVA - LINEA L-2291</t>
  </si>
  <si>
    <t>Desconectó la línea L-2291 (Trujillo Norte - Trujillo Nueva) de 220 kV por falla monofásica a tierra en la fase "T" a 1.48 km de la S.E Trujillo Norte, debido a rotura del conductor de fibra óptica en el vano de la torre T6, según lo informado por Transmantaro, titular de la línea. Como consecuencia, los usuarios libres Cementos Pacasmayo y Sider Perú redujeron carga de 3.52 MW y 4 MW respectivamente. La línea quedó fuera de servicio para su inspección y a las 15:25 h del 01.01.2023 se puso en servicio la línea. A las 18:48 h se coordinó recuperar la carga de Cementos Pacasmayo. A las 18:55 h se coordinó recuperar la carga de Sider Perú.</t>
  </si>
  <si>
    <t>Desconectó la línea L-6027 (Puno - Pomata) de 60 kV por falla debido a descargas atmosféricas, según lo informado por Electro Puno, titular de la línea. Como consecuencia se interrumpió 5.46 MW de las SS.EE. Ilave y Pomata.A las 21:57 h se conectó la línea y se procedió a recuperar la carga interrumpida.</t>
  </si>
  <si>
    <t>TRANSFORMADOR 2D</t>
  </si>
  <si>
    <t>CENTRAL TERMOELÉCTRICA</t>
  </si>
  <si>
    <t>Diesel2/Residual500</t>
  </si>
  <si>
    <t>La producción de electricidad con centrales termoeléctricas durante el mes de diciembre 2022 fue de 2 735,37 GWh, 79,12% mayor al registrado durante diciembre del año 2021. La participación del gas natural de Camisea fue de 48,10%, mientras que las del gas que proviene de los yacimientos de Aguaytía y Malacas fue del 2,17%, la producción con diesel, residual, carbón, biogás y bagazo tuvieron una intervención del 3,43%, 0,00%, 0,20%, 0,14%, 0,52% respectivamente.</t>
  </si>
  <si>
    <t>El total de la producción de energía eléctrica de la empresas generadoras integrantes del COES en el mes de diciembre 2022 fue de 5 012,79  GWh, lo que representa un incremento de 325,53 GWh (6,94%) en comparación con el año 2021.</t>
  </si>
  <si>
    <t>VOLUMEN ÚTIL
31-12-2022</t>
  </si>
  <si>
    <t>VOLUMEN ÚTIL
31-12-2021</t>
  </si>
  <si>
    <t>(5) Retiro de Operación Comercial de C.T. Ilo 2, propiedad de ENGIE, desde el 31 de diciembre de 2022</t>
  </si>
  <si>
    <t>C.T. ILO 2   (5)</t>
  </si>
  <si>
    <t>C.T Ilo 2</t>
  </si>
  <si>
    <t>TV1</t>
  </si>
  <si>
    <t>31,12,2022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</si>
</sst>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1">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20" fontId="35" fillId="10" borderId="127" xfId="5" applyNumberFormat="1" applyFont="1" applyFill="1" applyBorder="1" applyAlignment="1">
      <alignment horizontal="center" vertical="center"/>
    </xf>
    <xf numFmtId="0" fontId="35" fillId="10" borderId="128"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1" xfId="0" applyFont="1" applyFill="1" applyBorder="1"/>
    <xf numFmtId="43" fontId="30" fillId="0" borderId="31" xfId="10" applyFont="1" applyBorder="1"/>
    <xf numFmtId="43" fontId="47" fillId="4" borderId="132" xfId="10" applyFont="1" applyFill="1" applyBorder="1"/>
    <xf numFmtId="43" fontId="30" fillId="0" borderId="134" xfId="10" applyFont="1" applyBorder="1"/>
    <xf numFmtId="0" fontId="47" fillId="0" borderId="133"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6"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7" xfId="0" applyFont="1" applyFill="1" applyBorder="1" applyAlignment="1">
      <alignment horizontal="center" vertical="center" wrapText="1"/>
    </xf>
    <xf numFmtId="0" fontId="45" fillId="4" borderId="139" xfId="0" applyFont="1" applyFill="1" applyBorder="1" applyAlignment="1">
      <alignment horizontal="center" vertical="center"/>
    </xf>
    <xf numFmtId="0" fontId="30" fillId="0" borderId="0" xfId="0" applyFont="1" applyAlignment="1">
      <alignment vertical="center"/>
    </xf>
    <xf numFmtId="0" fontId="53" fillId="4" borderId="138" xfId="0" applyFont="1" applyFill="1" applyBorder="1" applyAlignment="1">
      <alignment vertical="center"/>
    </xf>
    <xf numFmtId="0" fontId="53" fillId="0" borderId="138" xfId="0" applyFont="1" applyBorder="1" applyAlignment="1">
      <alignment vertical="center" wrapText="1"/>
    </xf>
    <xf numFmtId="0" fontId="46" fillId="0" borderId="139" xfId="0" applyFont="1" applyBorder="1" applyAlignment="1">
      <alignment horizontal="center" vertical="center"/>
    </xf>
    <xf numFmtId="0" fontId="45" fillId="0" borderId="139" xfId="0" applyFont="1" applyBorder="1" applyAlignment="1">
      <alignment horizontal="center" vertical="center"/>
    </xf>
    <xf numFmtId="4" fontId="46" fillId="0" borderId="140"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31"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2"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quotePrefix="1" applyNumberFormat="1" applyFont="1" applyAlignment="1">
      <alignment horizontal="center"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0" fontId="74" fillId="0" borderId="0" xfId="0" applyFont="1" applyAlignment="1">
      <alignment horizontal="right"/>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30" fillId="0" borderId="147" xfId="8" applyFont="1" applyBorder="1" applyAlignment="1">
      <alignment horizontal="center" vertical="center" wrapText="1"/>
    </xf>
    <xf numFmtId="22" fontId="30" fillId="0" borderId="147" xfId="8" applyNumberFormat="1" applyFont="1" applyBorder="1" applyAlignment="1">
      <alignment horizontal="center" vertical="center" wrapText="1"/>
    </xf>
    <xf numFmtId="0" fontId="44" fillId="0" borderId="147" xfId="8" applyFont="1" applyBorder="1" applyAlignment="1">
      <alignment horizontal="justify" vertical="center" wrapText="1"/>
    </xf>
    <xf numFmtId="0" fontId="44" fillId="0" borderId="147"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48" xfId="0" applyNumberFormat="1" applyFont="1" applyFill="1" applyBorder="1" applyAlignment="1">
      <alignment horizontal="center" vertical="center" wrapText="1"/>
    </xf>
    <xf numFmtId="169" fontId="35" fillId="8" borderId="148" xfId="0" applyNumberFormat="1" applyFont="1" applyFill="1" applyBorder="1" applyAlignment="1">
      <alignment horizontal="center" vertical="center" wrapText="1"/>
    </xf>
    <xf numFmtId="0" fontId="35" fillId="8" borderId="148" xfId="0" applyFont="1" applyFill="1" applyBorder="1" applyAlignment="1">
      <alignment horizontal="center" vertical="center" wrapText="1"/>
    </xf>
    <xf numFmtId="0" fontId="35" fillId="8" borderId="149" xfId="0" applyFont="1" applyFill="1" applyBorder="1" applyAlignment="1">
      <alignment horizontal="center" vertical="center" wrapText="1"/>
    </xf>
    <xf numFmtId="0" fontId="30" fillId="2" borderId="150" xfId="0" quotePrefix="1" applyFont="1" applyFill="1" applyBorder="1" applyAlignment="1">
      <alignment vertical="center" wrapText="1"/>
    </xf>
    <xf numFmtId="168" fontId="30" fillId="2" borderId="150" xfId="0" applyNumberFormat="1" applyFont="1" applyFill="1" applyBorder="1" applyAlignment="1">
      <alignment horizontal="center" vertical="center" wrapText="1"/>
    </xf>
    <xf numFmtId="0" fontId="30" fillId="2" borderId="150" xfId="1" applyNumberFormat="1" applyFont="1" applyFill="1" applyBorder="1" applyAlignment="1">
      <alignment horizontal="center" vertical="center" wrapText="1"/>
    </xf>
    <xf numFmtId="2" fontId="30" fillId="2" borderId="150" xfId="1" applyNumberFormat="1" applyFont="1" applyFill="1" applyBorder="1" applyAlignment="1">
      <alignment horizontal="center" vertical="center" wrapText="1"/>
    </xf>
    <xf numFmtId="174" fontId="30" fillId="2" borderId="150" xfId="0" applyNumberFormat="1" applyFont="1" applyFill="1" applyBorder="1" applyAlignment="1">
      <alignment horizontal="center" vertical="center" wrapText="1"/>
    </xf>
    <xf numFmtId="0" fontId="30" fillId="2" borderId="150" xfId="0" applyFont="1" applyFill="1" applyBorder="1" applyAlignment="1">
      <alignment horizontal="center" vertical="center" wrapText="1"/>
    </xf>
    <xf numFmtId="0" fontId="35" fillId="8" borderId="151" xfId="0" quotePrefix="1" applyFont="1" applyFill="1" applyBorder="1" applyAlignment="1">
      <alignment horizontal="left" vertical="center"/>
    </xf>
    <xf numFmtId="168" fontId="35" fillId="8" borderId="152" xfId="0" applyNumberFormat="1" applyFont="1" applyFill="1" applyBorder="1" applyAlignment="1">
      <alignment horizontal="right" vertical="center"/>
    </xf>
    <xf numFmtId="168" fontId="35" fillId="8" borderId="152" xfId="0" applyNumberFormat="1" applyFont="1" applyFill="1" applyBorder="1" applyAlignment="1">
      <alignment horizontal="left" vertical="center"/>
    </xf>
    <xf numFmtId="0" fontId="35" fillId="8" borderId="152" xfId="1" applyNumberFormat="1" applyFont="1" applyFill="1" applyBorder="1" applyAlignment="1">
      <alignment horizontal="left" vertical="center"/>
    </xf>
    <xf numFmtId="0" fontId="35" fillId="8" borderId="153" xfId="1" applyNumberFormat="1" applyFont="1" applyFill="1" applyBorder="1" applyAlignment="1">
      <alignment horizontal="center" vertical="center"/>
    </xf>
    <xf numFmtId="174" fontId="35" fillId="8" borderId="150" xfId="0" applyNumberFormat="1" applyFont="1" applyFill="1" applyBorder="1" applyAlignment="1">
      <alignment horizontal="center" vertical="center"/>
    </xf>
    <xf numFmtId="0" fontId="35" fillId="8" borderId="150" xfId="0" applyFont="1" applyFill="1" applyBorder="1" applyAlignment="1">
      <alignment horizontal="center" vertical="center"/>
    </xf>
    <xf numFmtId="4" fontId="0" fillId="0" borderId="154" xfId="0" applyNumberFormat="1" applyBorder="1" applyAlignment="1">
      <alignment vertical="center"/>
    </xf>
    <xf numFmtId="4" fontId="0" fillId="0" borderId="155" xfId="0" applyNumberFormat="1" applyBorder="1" applyAlignment="1">
      <alignment vertical="center"/>
    </xf>
    <xf numFmtId="4" fontId="0" fillId="4" borderId="156" xfId="0" applyNumberFormat="1" applyFill="1" applyBorder="1" applyAlignment="1">
      <alignment vertical="center"/>
    </xf>
    <xf numFmtId="4" fontId="0" fillId="4" borderId="157" xfId="0" applyNumberFormat="1" applyFill="1" applyBorder="1" applyAlignment="1">
      <alignment vertical="center"/>
    </xf>
    <xf numFmtId="4" fontId="0" fillId="0" borderId="156" xfId="0" applyNumberFormat="1" applyBorder="1" applyAlignment="1">
      <alignment vertical="center"/>
    </xf>
    <xf numFmtId="4" fontId="0" fillId="0" borderId="157" xfId="0" applyNumberFormat="1" applyBorder="1" applyAlignment="1">
      <alignment vertical="center"/>
    </xf>
    <xf numFmtId="4" fontId="0" fillId="0" borderId="158" xfId="0" applyNumberFormat="1" applyBorder="1" applyAlignment="1">
      <alignment vertical="center"/>
    </xf>
    <xf numFmtId="4" fontId="0" fillId="0" borderId="15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43" fontId="46" fillId="0" borderId="78" xfId="10" applyFont="1" applyBorder="1" applyAlignment="1">
      <alignment horizontal="left" vertical="center" wrapText="1"/>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174" fontId="75" fillId="11" borderId="0" xfId="0" applyNumberFormat="1" applyFont="1" applyFill="1"/>
    <xf numFmtId="9" fontId="13" fillId="0" borderId="78" xfId="1" applyFont="1" applyBorder="1" applyAlignment="1">
      <alignment horizontal="center" vertical="center"/>
    </xf>
    <xf numFmtId="4" fontId="45" fillId="4" borderId="139"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78" xfId="10" applyFont="1" applyBorder="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5"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7"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0" xfId="5" applyFont="1" applyFill="1" applyBorder="1" applyAlignment="1">
      <alignment horizontal="center" vertical="center"/>
    </xf>
    <xf numFmtId="0" fontId="30" fillId="0" borderId="0" xfId="0" applyFont="1" applyAlignment="1">
      <alignment horizontal="left" vertical="center"/>
    </xf>
    <xf numFmtId="0" fontId="39" fillId="8" borderId="144" xfId="0" applyFont="1" applyFill="1" applyBorder="1" applyAlignment="1">
      <alignment horizontal="center" vertical="center"/>
    </xf>
    <xf numFmtId="0" fontId="39" fillId="8" borderId="145" xfId="0" applyFont="1" applyFill="1" applyBorder="1" applyAlignment="1">
      <alignment horizontal="center" vertical="center"/>
    </xf>
    <xf numFmtId="0" fontId="39" fillId="8" borderId="146" xfId="0" applyFont="1" applyFill="1" applyBorder="1" applyAlignment="1">
      <alignment horizontal="center" vertical="center"/>
    </xf>
    <xf numFmtId="174" fontId="39" fillId="8" borderId="141" xfId="0" applyNumberFormat="1" applyFont="1" applyFill="1" applyBorder="1" applyAlignment="1">
      <alignment horizontal="center"/>
    </xf>
    <xf numFmtId="174" fontId="39" fillId="8" borderId="142" xfId="0" applyNumberFormat="1" applyFont="1" applyFill="1" applyBorder="1" applyAlignment="1">
      <alignment horizontal="center"/>
    </xf>
    <xf numFmtId="174" fontId="39" fillId="8" borderId="143"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2068.1741958075004</c:v>
                </c:pt>
                <c:pt idx="1">
                  <c:v>2519.9402269400002</c:v>
                </c:pt>
                <c:pt idx="2">
                  <c:v>10.000489315000001</c:v>
                </c:pt>
                <c:pt idx="3">
                  <c:v>172.20920180750005</c:v>
                </c:pt>
                <c:pt idx="4">
                  <c:v>33.218603997500004</c:v>
                </c:pt>
                <c:pt idx="5">
                  <c:v>136.49075921249997</c:v>
                </c:pt>
                <c:pt idx="6">
                  <c:v>72.756407109999998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2519.9402269400002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10.000489315000001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172.20920180750005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33.218603997500004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136.49075921249997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72.756407109999998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RER'!$P$42:$P$48</c:f>
              <c:numCache>
                <c:formatCode>0.00</c:formatCode>
                <c:ptCount val="7"/>
                <c:pt idx="0">
                  <c:v>40.260056750000004</c:v>
                </c:pt>
                <c:pt idx="1">
                  <c:v>9.8797754750000006</c:v>
                </c:pt>
                <c:pt idx="2">
                  <c:v>5.3193370000000009</c:v>
                </c:pt>
                <c:pt idx="3">
                  <c:v>5.1944154999999999</c:v>
                </c:pt>
                <c:pt idx="4">
                  <c:v>4.1781094999999997</c:v>
                </c:pt>
                <c:pt idx="5">
                  <c:v>3.9131999999999998</c:v>
                </c:pt>
                <c:pt idx="6">
                  <c:v>3.7971046025000001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RER'!$Q$42:$Q$48</c:f>
              <c:numCache>
                <c:formatCode>0.00</c:formatCode>
                <c:ptCount val="7"/>
                <c:pt idx="0">
                  <c:v>0.37453612612602566</c:v>
                </c:pt>
                <c:pt idx="1">
                  <c:v>0.29814252607901076</c:v>
                </c:pt>
                <c:pt idx="2">
                  <c:v>0.35748232526881724</c:v>
                </c:pt>
                <c:pt idx="3">
                  <c:v>0.34908706317204302</c:v>
                </c:pt>
                <c:pt idx="4">
                  <c:v>0.35098366095430106</c:v>
                </c:pt>
                <c:pt idx="5">
                  <c:v>0.26298387096774195</c:v>
                </c:pt>
                <c:pt idx="6">
                  <c:v>0.25518176092069894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DOÑA CATALINA</c:v>
                </c:pt>
                <c:pt idx="3">
                  <c:v>C.T. CALLAO</c:v>
                </c:pt>
                <c:pt idx="4">
                  <c:v>C.T. LA GRINGA</c:v>
                </c:pt>
              </c:strCache>
            </c:strRef>
          </c:cat>
          <c:val>
            <c:numRef>
              <c:f>'6. FP RER'!$P$49:$P$53</c:f>
              <c:numCache>
                <c:formatCode>0.00</c:formatCode>
                <c:ptCount val="5"/>
                <c:pt idx="0">
                  <c:v>6.9936656749999999</c:v>
                </c:pt>
                <c:pt idx="1">
                  <c:v>3.0838836500000002</c:v>
                </c:pt>
                <c:pt idx="2">
                  <c:v>1.6900687749999999</c:v>
                </c:pt>
                <c:pt idx="3">
                  <c:v>1.52530265</c:v>
                </c:pt>
                <c:pt idx="4">
                  <c:v>0.94582512499999993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DOÑA CATALINA</c:v>
                </c:pt>
                <c:pt idx="3">
                  <c:v>C.T. CALLAO</c:v>
                </c:pt>
                <c:pt idx="4">
                  <c:v>C.T. LA GRINGA</c:v>
                </c:pt>
              </c:strCache>
            </c:strRef>
          </c:cat>
          <c:val>
            <c:numRef>
              <c:f>'6. FP RER'!$Q$49:$Q$53</c:f>
              <c:numCache>
                <c:formatCode>0.00</c:formatCode>
                <c:ptCount val="5"/>
                <c:pt idx="0">
                  <c:v>0.73777971775084972</c:v>
                </c:pt>
                <c:pt idx="1">
                  <c:v>0.97243516854286882</c:v>
                </c:pt>
                <c:pt idx="2">
                  <c:v>0.94649908994175624</c:v>
                </c:pt>
                <c:pt idx="3">
                  <c:v>0.85422415434587817</c:v>
                </c:pt>
                <c:pt idx="4">
                  <c:v>0.43039927186277388</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2022</c:v>
                </c:pt>
              </c:strCache>
            </c:strRef>
          </c:tx>
          <c:spPr>
            <a:solidFill>
              <a:srgbClr val="0077A5"/>
            </a:solidFill>
          </c:spPr>
          <c:invertIfNegative val="0"/>
          <c:cat>
            <c:multiLvlStrRef>
              <c:f>'6. FP RER'!$T$6:$U$53</c:f>
              <c:multiLvlStrCache>
                <c:ptCount val="48"/>
                <c:lvl>
                  <c:pt idx="0">
                    <c:v>C.H. CARHUAQUERO IV</c:v>
                  </c:pt>
                  <c:pt idx="1">
                    <c:v>C.H. RENOVANDES H1</c:v>
                  </c:pt>
                  <c:pt idx="2">
                    <c:v>C.H. YARUCAYA</c:v>
                  </c:pt>
                  <c:pt idx="3">
                    <c:v>C.H. CHANCAY</c:v>
                  </c:pt>
                  <c:pt idx="4">
                    <c:v>C.H. IMPERIAL</c:v>
                  </c:pt>
                  <c:pt idx="5">
                    <c:v>C.H. CAÑA BRAVA</c:v>
                  </c:pt>
                  <c:pt idx="6">
                    <c:v>C.H. YANAPAMPA</c:v>
                  </c:pt>
                  <c:pt idx="7">
                    <c:v>C.H. LA JOYA</c:v>
                  </c:pt>
                  <c:pt idx="8">
                    <c:v>C.H. RUCUY</c:v>
                  </c:pt>
                  <c:pt idx="9">
                    <c:v>C.H. CARHUAC</c:v>
                  </c:pt>
                  <c:pt idx="10">
                    <c:v>C.H. POECHOS II</c:v>
                  </c:pt>
                  <c:pt idx="11">
                    <c:v>C.H. 8 DE AGOSTO</c:v>
                  </c:pt>
                  <c:pt idx="12">
                    <c:v>C.H. LAS PIZARRAS</c:v>
                  </c:pt>
                  <c:pt idx="13">
                    <c:v>C.H. CANCHAYLLO</c:v>
                  </c:pt>
                  <c:pt idx="14">
                    <c:v>C.H. SANTA CRUZ II</c:v>
                  </c:pt>
                  <c:pt idx="15">
                    <c:v>C.H. ÁNGEL II</c:v>
                  </c:pt>
                  <c:pt idx="16">
                    <c:v>C.H. ÁNGEL III</c:v>
                  </c:pt>
                  <c:pt idx="17">
                    <c:v>C.H. EL CARMEN</c:v>
                  </c:pt>
                  <c:pt idx="18">
                    <c:v>C.H. RUNATULLO III</c:v>
                  </c:pt>
                  <c:pt idx="19">
                    <c:v>C.H. RONCADOR</c:v>
                  </c:pt>
                  <c:pt idx="20">
                    <c:v>C.H. POTRERO</c:v>
                  </c:pt>
                  <c:pt idx="21">
                    <c:v>C.H. ÁNGEL I</c:v>
                  </c:pt>
                  <c:pt idx="22">
                    <c:v>C.H. HUASAHUASI II</c:v>
                  </c:pt>
                  <c:pt idx="23">
                    <c:v>C.H. SANTA CRUZ I</c:v>
                  </c:pt>
                  <c:pt idx="24">
                    <c:v>C.H. HUASAHUASI I</c:v>
                  </c:pt>
                  <c:pt idx="25">
                    <c:v>C.H. HER 1</c:v>
                  </c:pt>
                  <c:pt idx="26">
                    <c:v>C.H. RUNATULLO II</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0.90649003274173401</c:v>
                </c:pt>
                <c:pt idx="1">
                  <c:v>0.86630263383611539</c:v>
                </c:pt>
                <c:pt idx="2">
                  <c:v>0.83515600131541479</c:v>
                </c:pt>
                <c:pt idx="3">
                  <c:v>0.81405625755654232</c:v>
                </c:pt>
                <c:pt idx="4">
                  <c:v>0.77056662149876975</c:v>
                </c:pt>
                <c:pt idx="5">
                  <c:v>0.72485255329258391</c:v>
                </c:pt>
                <c:pt idx="6">
                  <c:v>0.71257813166884088</c:v>
                </c:pt>
                <c:pt idx="7">
                  <c:v>0.71089013945284441</c:v>
                </c:pt>
                <c:pt idx="8">
                  <c:v>0.67308093743875486</c:v>
                </c:pt>
                <c:pt idx="9">
                  <c:v>0.66434347443196506</c:v>
                </c:pt>
                <c:pt idx="10">
                  <c:v>0.60918898210294825</c:v>
                </c:pt>
                <c:pt idx="11">
                  <c:v>0.58783239173278579</c:v>
                </c:pt>
                <c:pt idx="12">
                  <c:v>0.58633461646879836</c:v>
                </c:pt>
                <c:pt idx="13">
                  <c:v>0.57946113034598123</c:v>
                </c:pt>
                <c:pt idx="14">
                  <c:v>0.57139286757042784</c:v>
                </c:pt>
                <c:pt idx="15">
                  <c:v>0.55705597476683122</c:v>
                </c:pt>
                <c:pt idx="16">
                  <c:v>0.5532677410127198</c:v>
                </c:pt>
                <c:pt idx="17">
                  <c:v>0.55289839078349368</c:v>
                </c:pt>
                <c:pt idx="18">
                  <c:v>0.54918228997286256</c:v>
                </c:pt>
                <c:pt idx="19">
                  <c:v>0.54424690893819316</c:v>
                </c:pt>
                <c:pt idx="20">
                  <c:v>0.52426261653701722</c:v>
                </c:pt>
                <c:pt idx="21">
                  <c:v>0.50478948430444759</c:v>
                </c:pt>
                <c:pt idx="22">
                  <c:v>0.49935846887881025</c:v>
                </c:pt>
                <c:pt idx="23">
                  <c:v>0.49554174988336763</c:v>
                </c:pt>
                <c:pt idx="24">
                  <c:v>0.4755551873710685</c:v>
                </c:pt>
                <c:pt idx="25">
                  <c:v>0.46240317528095304</c:v>
                </c:pt>
                <c:pt idx="26">
                  <c:v>0.45036523650152888</c:v>
                </c:pt>
                <c:pt idx="27">
                  <c:v>0.38617601638372101</c:v>
                </c:pt>
                <c:pt idx="28">
                  <c:v>0.17320489189775204</c:v>
                </c:pt>
                <c:pt idx="29">
                  <c:v>0.64531453939247996</c:v>
                </c:pt>
                <c:pt idx="30">
                  <c:v>0.62460199957052243</c:v>
                </c:pt>
                <c:pt idx="31">
                  <c:v>0.53475221515546856</c:v>
                </c:pt>
                <c:pt idx="32">
                  <c:v>0.51508632694936929</c:v>
                </c:pt>
                <c:pt idx="33">
                  <c:v>0.46890678774125005</c:v>
                </c:pt>
                <c:pt idx="34">
                  <c:v>0.40847353100461581</c:v>
                </c:pt>
                <c:pt idx="35">
                  <c:v>0.31854485249612846</c:v>
                </c:pt>
                <c:pt idx="36">
                  <c:v>0.35765437901692482</c:v>
                </c:pt>
                <c:pt idx="37">
                  <c:v>0.34806079616152974</c:v>
                </c:pt>
                <c:pt idx="38">
                  <c:v>0.33645491241438352</c:v>
                </c:pt>
                <c:pt idx="39">
                  <c:v>0.31978667061929228</c:v>
                </c:pt>
                <c:pt idx="40">
                  <c:v>0.28726715891313132</c:v>
                </c:pt>
                <c:pt idx="41">
                  <c:v>0.2615221038812785</c:v>
                </c:pt>
                <c:pt idx="42">
                  <c:v>0.25165400970319635</c:v>
                </c:pt>
                <c:pt idx="43" formatCode="_(* #,##0.00_);_(* \(#,##0.00\);_(* &quot;-&quot;??_);_(@_)">
                  <c:v>0.8871173580007341</c:v>
                </c:pt>
                <c:pt idx="44" formatCode="_(* #,##0.00_);_(* \(#,##0.00\);_(* &quot;-&quot;??_);_(@_)">
                  <c:v>0.78888587748898631</c:v>
                </c:pt>
                <c:pt idx="45" formatCode="_(* #,##0.00_);_(* \(#,##0.00\);_(* &quot;-&quot;??_);_(@_)">
                  <c:v>0.74349144204706941</c:v>
                </c:pt>
                <c:pt idx="46" formatCode="_(* #,##0.00_);_(* \(#,##0.00\);_(* &quot;-&quot;??_);_(@_)">
                  <c:v>0.72882281737538068</c:v>
                </c:pt>
                <c:pt idx="47" formatCode="_(* #,##0.00_);_(* \(#,##0.00\);_(* &quot;-&quot;??_);_(@_)">
                  <c:v>0.69786362490487075</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2021</c:v>
                </c:pt>
              </c:strCache>
            </c:strRef>
          </c:tx>
          <c:spPr>
            <a:solidFill>
              <a:schemeClr val="accent2"/>
            </a:solidFill>
          </c:spPr>
          <c:invertIfNegative val="0"/>
          <c:cat>
            <c:multiLvlStrRef>
              <c:f>'6. FP RER'!$T$6:$U$53</c:f>
              <c:multiLvlStrCache>
                <c:ptCount val="48"/>
                <c:lvl>
                  <c:pt idx="0">
                    <c:v>C.H. CARHUAQUERO IV</c:v>
                  </c:pt>
                  <c:pt idx="1">
                    <c:v>C.H. RENOVANDES H1</c:v>
                  </c:pt>
                  <c:pt idx="2">
                    <c:v>C.H. YARUCAYA</c:v>
                  </c:pt>
                  <c:pt idx="3">
                    <c:v>C.H. CHANCAY</c:v>
                  </c:pt>
                  <c:pt idx="4">
                    <c:v>C.H. IMPERIAL</c:v>
                  </c:pt>
                  <c:pt idx="5">
                    <c:v>C.H. CAÑA BRAVA</c:v>
                  </c:pt>
                  <c:pt idx="6">
                    <c:v>C.H. YANAPAMPA</c:v>
                  </c:pt>
                  <c:pt idx="7">
                    <c:v>C.H. LA JOYA</c:v>
                  </c:pt>
                  <c:pt idx="8">
                    <c:v>C.H. RUCUY</c:v>
                  </c:pt>
                  <c:pt idx="9">
                    <c:v>C.H. CARHUAC</c:v>
                  </c:pt>
                  <c:pt idx="10">
                    <c:v>C.H. POECHOS II</c:v>
                  </c:pt>
                  <c:pt idx="11">
                    <c:v>C.H. 8 DE AGOSTO</c:v>
                  </c:pt>
                  <c:pt idx="12">
                    <c:v>C.H. LAS PIZARRAS</c:v>
                  </c:pt>
                  <c:pt idx="13">
                    <c:v>C.H. CANCHAYLLO</c:v>
                  </c:pt>
                  <c:pt idx="14">
                    <c:v>C.H. SANTA CRUZ II</c:v>
                  </c:pt>
                  <c:pt idx="15">
                    <c:v>C.H. ÁNGEL II</c:v>
                  </c:pt>
                  <c:pt idx="16">
                    <c:v>C.H. ÁNGEL III</c:v>
                  </c:pt>
                  <c:pt idx="17">
                    <c:v>C.H. EL CARMEN</c:v>
                  </c:pt>
                  <c:pt idx="18">
                    <c:v>C.H. RUNATULLO III</c:v>
                  </c:pt>
                  <c:pt idx="19">
                    <c:v>C.H. RONCADOR</c:v>
                  </c:pt>
                  <c:pt idx="20">
                    <c:v>C.H. POTRERO</c:v>
                  </c:pt>
                  <c:pt idx="21">
                    <c:v>C.H. ÁNGEL I</c:v>
                  </c:pt>
                  <c:pt idx="22">
                    <c:v>C.H. HUASAHUASI II</c:v>
                  </c:pt>
                  <c:pt idx="23">
                    <c:v>C.H. SANTA CRUZ I</c:v>
                  </c:pt>
                  <c:pt idx="24">
                    <c:v>C.H. HUASAHUASI I</c:v>
                  </c:pt>
                  <c:pt idx="25">
                    <c:v>C.H. HER 1</c:v>
                  </c:pt>
                  <c:pt idx="26">
                    <c:v>C.H. RUNATULLO II</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RER'!$W$6:$W$53</c:f>
              <c:numCache>
                <c:formatCode>0.000</c:formatCode>
                <c:ptCount val="48"/>
                <c:pt idx="0">
                  <c:v>0.88188978032060894</c:v>
                </c:pt>
                <c:pt idx="1">
                  <c:v>0.95221957021610626</c:v>
                </c:pt>
                <c:pt idx="2">
                  <c:v>1</c:v>
                </c:pt>
                <c:pt idx="3">
                  <c:v>0.92592408025114159</c:v>
                </c:pt>
                <c:pt idx="4">
                  <c:v>0.7834523266475909</c:v>
                </c:pt>
                <c:pt idx="5">
                  <c:v>0.80540697006394313</c:v>
                </c:pt>
                <c:pt idx="6">
                  <c:v>0.79364305157865145</c:v>
                </c:pt>
                <c:pt idx="7">
                  <c:v>0.75352185339923383</c:v>
                </c:pt>
                <c:pt idx="8">
                  <c:v>0.7804139150827627</c:v>
                </c:pt>
                <c:pt idx="9">
                  <c:v>0.69059359389269404</c:v>
                </c:pt>
                <c:pt idx="10">
                  <c:v>0.60060379646164064</c:v>
                </c:pt>
                <c:pt idx="11">
                  <c:v>0.57974201445744633</c:v>
                </c:pt>
                <c:pt idx="12">
                  <c:v>0.77109950091748725</c:v>
                </c:pt>
                <c:pt idx="13">
                  <c:v>0.6150243170044466</c:v>
                </c:pt>
                <c:pt idx="14">
                  <c:v>0.55038311387970396</c:v>
                </c:pt>
                <c:pt idx="15">
                  <c:v>0.64665844931689687</c:v>
                </c:pt>
                <c:pt idx="16">
                  <c:v>0.62805558451126997</c:v>
                </c:pt>
                <c:pt idx="17">
                  <c:v>0.62281746222765055</c:v>
                </c:pt>
                <c:pt idx="18">
                  <c:v>0.6615113412693131</c:v>
                </c:pt>
                <c:pt idx="19">
                  <c:v>0.57826622062470479</c:v>
                </c:pt>
                <c:pt idx="20">
                  <c:v>0.71734962833574256</c:v>
                </c:pt>
                <c:pt idx="21">
                  <c:v>0.59007613506188861</c:v>
                </c:pt>
                <c:pt idx="22">
                  <c:v>0.6061992868962971</c:v>
                </c:pt>
                <c:pt idx="23">
                  <c:v>0.53039945802505839</c:v>
                </c:pt>
                <c:pt idx="24">
                  <c:v>0.58401664954337917</c:v>
                </c:pt>
                <c:pt idx="25">
                  <c:v>0.44542265574037831</c:v>
                </c:pt>
                <c:pt idx="26">
                  <c:v>0.5454725750970838</c:v>
                </c:pt>
                <c:pt idx="27">
                  <c:v>0.49554217401541095</c:v>
                </c:pt>
                <c:pt idx="28">
                  <c:v>0.18515066711556188</c:v>
                </c:pt>
                <c:pt idx="29">
                  <c:v>0.60505089350563623</c:v>
                </c:pt>
                <c:pt idx="30">
                  <c:v>0.54109624860757621</c:v>
                </c:pt>
                <c:pt idx="31">
                  <c:v>0.53395713680639678</c:v>
                </c:pt>
                <c:pt idx="32">
                  <c:v>0.49840232326836176</c:v>
                </c:pt>
                <c:pt idx="33">
                  <c:v>0.43633370449578107</c:v>
                </c:pt>
                <c:pt idx="34">
                  <c:v>0.34805734607994471</c:v>
                </c:pt>
                <c:pt idx="35">
                  <c:v>0.26808538500520745</c:v>
                </c:pt>
                <c:pt idx="36">
                  <c:v>0.3505180172529449</c:v>
                </c:pt>
                <c:pt idx="37">
                  <c:v>0.3468297833725742</c:v>
                </c:pt>
                <c:pt idx="38">
                  <c:v>0.33546716649543379</c:v>
                </c:pt>
                <c:pt idx="39">
                  <c:v>0.30575682642694069</c:v>
                </c:pt>
                <c:pt idx="40">
                  <c:v>0.27842555002250297</c:v>
                </c:pt>
                <c:pt idx="41">
                  <c:v>0.25239760102739722</c:v>
                </c:pt>
                <c:pt idx="42">
                  <c:v>0.24830017655536529</c:v>
                </c:pt>
                <c:pt idx="43">
                  <c:v>0.87867288715819658</c:v>
                </c:pt>
                <c:pt idx="44">
                  <c:v>0.87261125677901408</c:v>
                </c:pt>
                <c:pt idx="45">
                  <c:v>0.6430163616858231</c:v>
                </c:pt>
                <c:pt idx="46">
                  <c:v>0.74515967025780083</c:v>
                </c:pt>
                <c:pt idx="47">
                  <c:v>0.66519038658200158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2022</c:v>
                </c:pt>
              </c:strCache>
            </c:strRef>
          </c:tx>
          <c:spPr>
            <a:solidFill>
              <a:srgbClr val="0077A5"/>
            </a:solidFill>
          </c:spPr>
          <c:invertIfNegative val="0"/>
          <c:cat>
            <c:strRef>
              <c:f>'7. Generacion empresa'!$M$4:$M$65</c:f>
              <c:strCache>
                <c:ptCount val="62"/>
                <c:pt idx="0">
                  <c:v>HYDRO PATAPO</c:v>
                </c:pt>
                <c:pt idx="1">
                  <c:v>SDF ENERGIA</c:v>
                </c:pt>
                <c:pt idx="2">
                  <c:v>PLANTA  ETEN</c:v>
                </c:pt>
                <c:pt idx="3">
                  <c:v>SHOUGESA</c:v>
                </c:pt>
                <c:pt idx="4">
                  <c:v>COLCA SOLAR</c:v>
                </c:pt>
                <c:pt idx="5">
                  <c:v>IYEPSA</c:v>
                </c:pt>
                <c:pt idx="6">
                  <c:v>ATRIA</c:v>
                </c:pt>
                <c:pt idx="7">
                  <c:v>CERRO VERDE</c:v>
                </c:pt>
                <c:pt idx="8">
                  <c:v>CENTRALES SANTA ROSA</c:v>
                </c:pt>
                <c:pt idx="9">
                  <c:v>MAJA ENERGIA</c:v>
                </c:pt>
                <c:pt idx="10">
                  <c:v>HIDROCAÑETE</c:v>
                </c:pt>
                <c:pt idx="11">
                  <c:v>EGECSAC</c:v>
                </c:pt>
                <c:pt idx="12">
                  <c:v>ELECTRICA YANAPAMPA</c:v>
                </c:pt>
                <c:pt idx="13">
                  <c:v>REPARTICION</c:v>
                </c:pt>
                <c:pt idx="14">
                  <c:v>SAN JACINTO</c:v>
                </c:pt>
                <c:pt idx="15">
                  <c:v>MAJES</c:v>
                </c:pt>
                <c:pt idx="16">
                  <c:v>GR PAINO</c:v>
                </c:pt>
                <c:pt idx="17">
                  <c:v>MOQUEGUA FV</c:v>
                </c:pt>
                <c:pt idx="18">
                  <c:v>GR TARUCA</c:v>
                </c:pt>
                <c:pt idx="19">
                  <c:v>RIO DOBLE</c:v>
                </c:pt>
                <c:pt idx="20">
                  <c:v>PANAMERICANA SOLAR</c:v>
                </c:pt>
                <c:pt idx="21">
                  <c:v>TACNA SOLAR</c:v>
                </c:pt>
                <c:pt idx="22">
                  <c:v>BIOENERGIA</c:v>
                </c:pt>
                <c:pt idx="23">
                  <c:v>AGUA AZUL</c:v>
                </c:pt>
                <c:pt idx="24">
                  <c:v>AIPSA</c:v>
                </c:pt>
                <c:pt idx="25">
                  <c:v>INVERSION DE ENERGÍA RENOVABLES</c:v>
                </c:pt>
                <c:pt idx="26">
                  <c:v>PETRAMAS</c:v>
                </c:pt>
                <c:pt idx="27">
                  <c:v>RIO BAÑOS</c:v>
                </c:pt>
                <c:pt idx="28">
                  <c:v>AGROAURORA</c:v>
                </c:pt>
                <c:pt idx="29">
                  <c:v>ANDEAN POWER</c:v>
                </c:pt>
                <c:pt idx="30">
                  <c:v>P.E. MARCONA</c:v>
                </c:pt>
                <c:pt idx="31">
                  <c:v>HIDROELECTRICA HUANCHOR</c:v>
                </c:pt>
                <c:pt idx="32">
                  <c:v>CELEPSA RENOVABLES</c:v>
                </c:pt>
                <c:pt idx="33">
                  <c:v>HUAURA POWER</c:v>
                </c:pt>
                <c:pt idx="34">
                  <c:v>GENERACIÓN ANDINA</c:v>
                </c:pt>
                <c:pt idx="35">
                  <c:v>SANTA ANA</c:v>
                </c:pt>
                <c:pt idx="36">
                  <c:v>SINERSA</c:v>
                </c:pt>
                <c:pt idx="37">
                  <c:v>EGESUR</c:v>
                </c:pt>
                <c:pt idx="38">
                  <c:v>LA VIRGEN</c:v>
                </c:pt>
                <c:pt idx="39">
                  <c:v>EMGE JUNÍN</c:v>
                </c:pt>
                <c:pt idx="40">
                  <c:v>EMGE HUANZA</c:v>
                </c:pt>
                <c:pt idx="41">
                  <c:v>GEPSA</c:v>
                </c:pt>
                <c:pt idx="42">
                  <c:v>P.E. TRES HERMANAS</c:v>
                </c:pt>
                <c:pt idx="43">
                  <c:v>ENERGÍA EÓLICA</c:v>
                </c:pt>
                <c:pt idx="44">
                  <c:v>TERMOSELVA</c:v>
                </c:pt>
                <c:pt idx="45">
                  <c:v>SAMAY I</c:v>
                </c:pt>
                <c:pt idx="46">
                  <c:v>INLAND</c:v>
                </c:pt>
                <c:pt idx="47">
                  <c:v>CELEPSA</c:v>
                </c:pt>
                <c:pt idx="48">
                  <c:v>SAN GABAN</c:v>
                </c:pt>
                <c:pt idx="49">
                  <c:v>ENEL GENERACION PIURA</c:v>
                </c:pt>
                <c:pt idx="50">
                  <c:v>EGASA</c:v>
                </c:pt>
                <c:pt idx="51">
                  <c:v>CHINANGO</c:v>
                </c:pt>
                <c:pt idx="52">
                  <c:v>ENEL GREEN POWER PERU</c:v>
                </c:pt>
                <c:pt idx="53">
                  <c:v>EMGE HUALLAGA</c:v>
                </c:pt>
                <c:pt idx="54">
                  <c:v>EGEMSA</c:v>
                </c:pt>
                <c:pt idx="55">
                  <c:v>TERMOCHILCA</c:v>
                </c:pt>
                <c:pt idx="56">
                  <c:v>STATKRAFT</c:v>
                </c:pt>
                <c:pt idx="57">
                  <c:v>ORAZUL ENERGY PERÚ</c:v>
                </c:pt>
                <c:pt idx="58">
                  <c:v>FENIX POWER</c:v>
                </c:pt>
                <c:pt idx="59">
                  <c:v>ELECTROPERU</c:v>
                </c:pt>
                <c:pt idx="60">
                  <c:v>ENEL GENERACION PERU</c:v>
                </c:pt>
                <c:pt idx="61">
                  <c:v>ENGIE</c:v>
                </c:pt>
              </c:strCache>
            </c:strRef>
          </c:cat>
          <c:val>
            <c:numRef>
              <c:f>'7. Generacion empresa'!$N$4:$N$65</c:f>
              <c:numCache>
                <c:formatCode>General</c:formatCode>
                <c:ptCount val="62"/>
                <c:pt idx="1">
                  <c:v>0</c:v>
                </c:pt>
                <c:pt idx="2">
                  <c:v>1.6192782499999999E-2</c:v>
                </c:pt>
                <c:pt idx="3">
                  <c:v>0.10845421</c:v>
                </c:pt>
                <c:pt idx="4">
                  <c:v>0.21440828250000002</c:v>
                </c:pt>
                <c:pt idx="5">
                  <c:v>0.24141299749999998</c:v>
                </c:pt>
                <c:pt idx="6">
                  <c:v>0.324080125</c:v>
                </c:pt>
                <c:pt idx="7">
                  <c:v>0.83611974999999994</c:v>
                </c:pt>
                <c:pt idx="8">
                  <c:v>1.2256670624999999</c:v>
                </c:pt>
                <c:pt idx="9">
                  <c:v>1.42313775</c:v>
                </c:pt>
                <c:pt idx="10">
                  <c:v>1.9330000000000001</c:v>
                </c:pt>
                <c:pt idx="11">
                  <c:v>2.0403903475000003</c:v>
                </c:pt>
                <c:pt idx="12">
                  <c:v>2.119232625</c:v>
                </c:pt>
                <c:pt idx="13">
                  <c:v>3.7971046025000001</c:v>
                </c:pt>
                <c:pt idx="14">
                  <c:v>3.8442692425000002</c:v>
                </c:pt>
                <c:pt idx="15">
                  <c:v>3.9131999999999998</c:v>
                </c:pt>
                <c:pt idx="16">
                  <c:v>4.0421193750000004</c:v>
                </c:pt>
                <c:pt idx="17">
                  <c:v>4.1781094999999997</c:v>
                </c:pt>
                <c:pt idx="18">
                  <c:v>4.5734130974999996</c:v>
                </c:pt>
                <c:pt idx="19">
                  <c:v>4.6178374399999997</c:v>
                </c:pt>
                <c:pt idx="20">
                  <c:v>5.1944154999999999</c:v>
                </c:pt>
                <c:pt idx="21">
                  <c:v>5.3193370000000009</c:v>
                </c:pt>
                <c:pt idx="22">
                  <c:v>5.6142866149999993</c:v>
                </c:pt>
                <c:pt idx="23">
                  <c:v>6.2311070675</c:v>
                </c:pt>
                <c:pt idx="24">
                  <c:v>6.9936656749999999</c:v>
                </c:pt>
                <c:pt idx="25">
                  <c:v>7.0693463424999994</c:v>
                </c:pt>
                <c:pt idx="26">
                  <c:v>7.2450802000000003</c:v>
                </c:pt>
                <c:pt idx="27">
                  <c:v>9.3994577499999998</c:v>
                </c:pt>
                <c:pt idx="28">
                  <c:v>9.521302265000001</c:v>
                </c:pt>
                <c:pt idx="29">
                  <c:v>10.09599502</c:v>
                </c:pt>
                <c:pt idx="30">
                  <c:v>11.27727179</c:v>
                </c:pt>
                <c:pt idx="31">
                  <c:v>11.851234682499999</c:v>
                </c:pt>
                <c:pt idx="32">
                  <c:v>12.03486681</c:v>
                </c:pt>
                <c:pt idx="33">
                  <c:v>12.07936454</c:v>
                </c:pt>
                <c:pt idx="34">
                  <c:v>12.534238440000001</c:v>
                </c:pt>
                <c:pt idx="35">
                  <c:v>12.58767776</c:v>
                </c:pt>
                <c:pt idx="36">
                  <c:v>12.6268022025</c:v>
                </c:pt>
                <c:pt idx="37">
                  <c:v>15.4814436825</c:v>
                </c:pt>
                <c:pt idx="38">
                  <c:v>21.498325427499996</c:v>
                </c:pt>
                <c:pt idx="39">
                  <c:v>26.322123897499999</c:v>
                </c:pt>
                <c:pt idx="40">
                  <c:v>31.874104254999999</c:v>
                </c:pt>
                <c:pt idx="41">
                  <c:v>33.219844302499993</c:v>
                </c:pt>
                <c:pt idx="42">
                  <c:v>33.827551360000001</c:v>
                </c:pt>
                <c:pt idx="43">
                  <c:v>39.402368150000001</c:v>
                </c:pt>
                <c:pt idx="44">
                  <c:v>42.048998820000001</c:v>
                </c:pt>
                <c:pt idx="45">
                  <c:v>45.594597899999997</c:v>
                </c:pt>
                <c:pt idx="46">
                  <c:v>54.042190927500002</c:v>
                </c:pt>
                <c:pt idx="47">
                  <c:v>62.476911874999999</c:v>
                </c:pt>
                <c:pt idx="48">
                  <c:v>64.815070157500003</c:v>
                </c:pt>
                <c:pt idx="49">
                  <c:v>66.75255924999999</c:v>
                </c:pt>
                <c:pt idx="50">
                  <c:v>77.372508257500016</c:v>
                </c:pt>
                <c:pt idx="51">
                  <c:v>77.428610750000004</c:v>
                </c:pt>
                <c:pt idx="52">
                  <c:v>83.515282750000011</c:v>
                </c:pt>
                <c:pt idx="53">
                  <c:v>101.32459743999999</c:v>
                </c:pt>
                <c:pt idx="54">
                  <c:v>102.89567675000001</c:v>
                </c:pt>
                <c:pt idx="55">
                  <c:v>124.8312688475</c:v>
                </c:pt>
                <c:pt idx="56">
                  <c:v>163.59132925000006</c:v>
                </c:pt>
                <c:pt idx="57">
                  <c:v>168.41609270499998</c:v>
                </c:pt>
                <c:pt idx="58">
                  <c:v>404.85677054999996</c:v>
                </c:pt>
                <c:pt idx="59">
                  <c:v>476.11719755999997</c:v>
                </c:pt>
                <c:pt idx="60">
                  <c:v>674.31983799999978</c:v>
                </c:pt>
                <c:pt idx="61">
                  <c:v>863.27194453750008</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2021</c:v>
                </c:pt>
              </c:strCache>
            </c:strRef>
          </c:tx>
          <c:spPr>
            <a:solidFill>
              <a:schemeClr val="accent2"/>
            </a:solidFill>
          </c:spPr>
          <c:invertIfNegative val="0"/>
          <c:cat>
            <c:strRef>
              <c:f>'7. Generacion empresa'!$M$4:$M$65</c:f>
              <c:strCache>
                <c:ptCount val="62"/>
                <c:pt idx="0">
                  <c:v>HYDRO PATAPO</c:v>
                </c:pt>
                <c:pt idx="1">
                  <c:v>SDF ENERGIA</c:v>
                </c:pt>
                <c:pt idx="2">
                  <c:v>PLANTA  ETEN</c:v>
                </c:pt>
                <c:pt idx="3">
                  <c:v>SHOUGESA</c:v>
                </c:pt>
                <c:pt idx="4">
                  <c:v>COLCA SOLAR</c:v>
                </c:pt>
                <c:pt idx="5">
                  <c:v>IYEPSA</c:v>
                </c:pt>
                <c:pt idx="6">
                  <c:v>ATRIA</c:v>
                </c:pt>
                <c:pt idx="7">
                  <c:v>CERRO VERDE</c:v>
                </c:pt>
                <c:pt idx="8">
                  <c:v>CENTRALES SANTA ROSA</c:v>
                </c:pt>
                <c:pt idx="9">
                  <c:v>MAJA ENERGIA</c:v>
                </c:pt>
                <c:pt idx="10">
                  <c:v>HIDROCAÑETE</c:v>
                </c:pt>
                <c:pt idx="11">
                  <c:v>EGECSAC</c:v>
                </c:pt>
                <c:pt idx="12">
                  <c:v>ELECTRICA YANAPAMPA</c:v>
                </c:pt>
                <c:pt idx="13">
                  <c:v>REPARTICION</c:v>
                </c:pt>
                <c:pt idx="14">
                  <c:v>SAN JACINTO</c:v>
                </c:pt>
                <c:pt idx="15">
                  <c:v>MAJES</c:v>
                </c:pt>
                <c:pt idx="16">
                  <c:v>GR PAINO</c:v>
                </c:pt>
                <c:pt idx="17">
                  <c:v>MOQUEGUA FV</c:v>
                </c:pt>
                <c:pt idx="18">
                  <c:v>GR TARUCA</c:v>
                </c:pt>
                <c:pt idx="19">
                  <c:v>RIO DOBLE</c:v>
                </c:pt>
                <c:pt idx="20">
                  <c:v>PANAMERICANA SOLAR</c:v>
                </c:pt>
                <c:pt idx="21">
                  <c:v>TACNA SOLAR</c:v>
                </c:pt>
                <c:pt idx="22">
                  <c:v>BIOENERGIA</c:v>
                </c:pt>
                <c:pt idx="23">
                  <c:v>AGUA AZUL</c:v>
                </c:pt>
                <c:pt idx="24">
                  <c:v>AIPSA</c:v>
                </c:pt>
                <c:pt idx="25">
                  <c:v>INVERSION DE ENERGÍA RENOVABLES</c:v>
                </c:pt>
                <c:pt idx="26">
                  <c:v>PETRAMAS</c:v>
                </c:pt>
                <c:pt idx="27">
                  <c:v>RIO BAÑOS</c:v>
                </c:pt>
                <c:pt idx="28">
                  <c:v>AGROAURORA</c:v>
                </c:pt>
                <c:pt idx="29">
                  <c:v>ANDEAN POWER</c:v>
                </c:pt>
                <c:pt idx="30">
                  <c:v>P.E. MARCONA</c:v>
                </c:pt>
                <c:pt idx="31">
                  <c:v>HIDROELECTRICA HUANCHOR</c:v>
                </c:pt>
                <c:pt idx="32">
                  <c:v>CELEPSA RENOVABLES</c:v>
                </c:pt>
                <c:pt idx="33">
                  <c:v>HUAURA POWER</c:v>
                </c:pt>
                <c:pt idx="34">
                  <c:v>GENERACIÓN ANDINA</c:v>
                </c:pt>
                <c:pt idx="35">
                  <c:v>SANTA ANA</c:v>
                </c:pt>
                <c:pt idx="36">
                  <c:v>SINERSA</c:v>
                </c:pt>
                <c:pt idx="37">
                  <c:v>EGESUR</c:v>
                </c:pt>
                <c:pt idx="38">
                  <c:v>LA VIRGEN</c:v>
                </c:pt>
                <c:pt idx="39">
                  <c:v>EMGE JUNÍN</c:v>
                </c:pt>
                <c:pt idx="40">
                  <c:v>EMGE HUANZA</c:v>
                </c:pt>
                <c:pt idx="41">
                  <c:v>GEPSA</c:v>
                </c:pt>
                <c:pt idx="42">
                  <c:v>P.E. TRES HERMANAS</c:v>
                </c:pt>
                <c:pt idx="43">
                  <c:v>ENERGÍA EÓLICA</c:v>
                </c:pt>
                <c:pt idx="44">
                  <c:v>TERMOSELVA</c:v>
                </c:pt>
                <c:pt idx="45">
                  <c:v>SAMAY I</c:v>
                </c:pt>
                <c:pt idx="46">
                  <c:v>INLAND</c:v>
                </c:pt>
                <c:pt idx="47">
                  <c:v>CELEPSA</c:v>
                </c:pt>
                <c:pt idx="48">
                  <c:v>SAN GABAN</c:v>
                </c:pt>
                <c:pt idx="49">
                  <c:v>ENEL GENERACION PIURA</c:v>
                </c:pt>
                <c:pt idx="50">
                  <c:v>EGASA</c:v>
                </c:pt>
                <c:pt idx="51">
                  <c:v>CHINANGO</c:v>
                </c:pt>
                <c:pt idx="52">
                  <c:v>ENEL GREEN POWER PERU</c:v>
                </c:pt>
                <c:pt idx="53">
                  <c:v>EMGE HUALLAGA</c:v>
                </c:pt>
                <c:pt idx="54">
                  <c:v>EGEMSA</c:v>
                </c:pt>
                <c:pt idx="55">
                  <c:v>TERMOCHILCA</c:v>
                </c:pt>
                <c:pt idx="56">
                  <c:v>STATKRAFT</c:v>
                </c:pt>
                <c:pt idx="57">
                  <c:v>ORAZUL ENERGY PERÚ</c:v>
                </c:pt>
                <c:pt idx="58">
                  <c:v>FENIX POWER</c:v>
                </c:pt>
                <c:pt idx="59">
                  <c:v>ELECTROPERU</c:v>
                </c:pt>
                <c:pt idx="60">
                  <c:v>ENEL GENERACION PERU</c:v>
                </c:pt>
                <c:pt idx="61">
                  <c:v>ENGIE</c:v>
                </c:pt>
              </c:strCache>
            </c:strRef>
          </c:cat>
          <c:val>
            <c:numRef>
              <c:f>'7. Generacion empresa'!$O$4:$O$65</c:f>
              <c:numCache>
                <c:formatCode>General</c:formatCode>
                <c:ptCount val="62"/>
                <c:pt idx="0">
                  <c:v>0.44842274999999998</c:v>
                </c:pt>
                <c:pt idx="1">
                  <c:v>18.861131887500001</c:v>
                </c:pt>
                <c:pt idx="2">
                  <c:v>1.7090524999999999E-2</c:v>
                </c:pt>
                <c:pt idx="3">
                  <c:v>0.52959690000000004</c:v>
                </c:pt>
                <c:pt idx="4">
                  <c:v>0.2375421425</c:v>
                </c:pt>
                <c:pt idx="5">
                  <c:v>2.56850975E-2</c:v>
                </c:pt>
                <c:pt idx="6">
                  <c:v>0.28534678000000002</c:v>
                </c:pt>
                <c:pt idx="7">
                  <c:v>0</c:v>
                </c:pt>
                <c:pt idx="8">
                  <c:v>1.5782827975</c:v>
                </c:pt>
                <c:pt idx="9">
                  <c:v>2.1960478749999996</c:v>
                </c:pt>
                <c:pt idx="10">
                  <c:v>2.5636999999999999</c:v>
                </c:pt>
                <c:pt idx="11">
                  <c:v>1.6373590149999999</c:v>
                </c:pt>
                <c:pt idx="12">
                  <c:v>2.5747787</c:v>
                </c:pt>
                <c:pt idx="13">
                  <c:v>3.8163535849999999</c:v>
                </c:pt>
                <c:pt idx="14">
                  <c:v>4.3576411225000005</c:v>
                </c:pt>
                <c:pt idx="15">
                  <c:v>4.0446451000000003</c:v>
                </c:pt>
                <c:pt idx="16">
                  <c:v>3.43875865</c:v>
                </c:pt>
                <c:pt idx="17">
                  <c:v>4.3039525049999998</c:v>
                </c:pt>
                <c:pt idx="18">
                  <c:v>3.9115265300000002</c:v>
                </c:pt>
                <c:pt idx="19">
                  <c:v>13.66837333</c:v>
                </c:pt>
                <c:pt idx="20">
                  <c:v>5.2292854174999999</c:v>
                </c:pt>
                <c:pt idx="21">
                  <c:v>4.6951015150000002</c:v>
                </c:pt>
                <c:pt idx="22">
                  <c:v>6.3379690125000003</c:v>
                </c:pt>
                <c:pt idx="23">
                  <c:v>14.45381546</c:v>
                </c:pt>
                <c:pt idx="24">
                  <c:v>7.9140445250000004</c:v>
                </c:pt>
                <c:pt idx="25">
                  <c:v>12.693727214999999</c:v>
                </c:pt>
                <c:pt idx="26">
                  <c:v>5.3222992750000007</c:v>
                </c:pt>
                <c:pt idx="27">
                  <c:v>12.304577705</c:v>
                </c:pt>
                <c:pt idx="28">
                  <c:v>4.6430189374999999</c:v>
                </c:pt>
                <c:pt idx="29">
                  <c:v>9.0792737849999998</c:v>
                </c:pt>
                <c:pt idx="30">
                  <c:v>10.640418127499998</c:v>
                </c:pt>
                <c:pt idx="31">
                  <c:v>13.10998283</c:v>
                </c:pt>
                <c:pt idx="32">
                  <c:v>14.627545285</c:v>
                </c:pt>
                <c:pt idx="33">
                  <c:v>13.4149835225</c:v>
                </c:pt>
                <c:pt idx="34">
                  <c:v>19.116591110000002</c:v>
                </c:pt>
                <c:pt idx="35">
                  <c:v>14.564628515000001</c:v>
                </c:pt>
                <c:pt idx="36">
                  <c:v>16.274510257499998</c:v>
                </c:pt>
                <c:pt idx="37">
                  <c:v>20.852845134999999</c:v>
                </c:pt>
                <c:pt idx="38">
                  <c:v>40.21735125</c:v>
                </c:pt>
                <c:pt idx="39">
                  <c:v>46.499323855000007</c:v>
                </c:pt>
                <c:pt idx="40">
                  <c:v>32.627229999999997</c:v>
                </c:pt>
                <c:pt idx="41">
                  <c:v>49.143729655000001</c:v>
                </c:pt>
                <c:pt idx="42">
                  <c:v>33.152793812500001</c:v>
                </c:pt>
                <c:pt idx="43">
                  <c:v>47.655647342500004</c:v>
                </c:pt>
                <c:pt idx="44">
                  <c:v>1.6097044149999999</c:v>
                </c:pt>
                <c:pt idx="45">
                  <c:v>0.38599749999999999</c:v>
                </c:pt>
                <c:pt idx="46">
                  <c:v>65.904089449999987</c:v>
                </c:pt>
                <c:pt idx="47">
                  <c:v>125.86830449999999</c:v>
                </c:pt>
                <c:pt idx="48">
                  <c:v>45.082415705000003</c:v>
                </c:pt>
                <c:pt idx="49">
                  <c:v>60.695053250000001</c:v>
                </c:pt>
                <c:pt idx="50">
                  <c:v>82.240458047499985</c:v>
                </c:pt>
                <c:pt idx="51">
                  <c:v>113.357798</c:v>
                </c:pt>
                <c:pt idx="52">
                  <c:v>86.695876249999998</c:v>
                </c:pt>
                <c:pt idx="53">
                  <c:v>262.49282283750006</c:v>
                </c:pt>
                <c:pt idx="54">
                  <c:v>119.98859774999998</c:v>
                </c:pt>
                <c:pt idx="55">
                  <c:v>30.0757875125</c:v>
                </c:pt>
                <c:pt idx="56">
                  <c:v>243.442861975</c:v>
                </c:pt>
                <c:pt idx="57">
                  <c:v>229.47994849999998</c:v>
                </c:pt>
                <c:pt idx="58">
                  <c:v>236.51407881749998</c:v>
                </c:pt>
                <c:pt idx="59">
                  <c:v>566.86458719999996</c:v>
                </c:pt>
                <c:pt idx="60">
                  <c:v>544.11249599999996</c:v>
                </c:pt>
                <c:pt idx="61">
                  <c:v>598.16508173500006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2631.9839399999992</c:v>
                </c:pt>
                <c:pt idx="1">
                  <c:v>4547.4343099999996</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4569.8693899999989</c:v>
                </c:pt>
                <c:pt idx="1">
                  <c:v>2340.8349700000008</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265.59640999999999</c:v>
                </c:pt>
                <c:pt idx="1">
                  <c:v>284.76387999999997</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2022</c:v>
                </c:pt>
              </c:strCache>
            </c:strRef>
          </c:tx>
          <c:spPr>
            <a:solidFill>
              <a:srgbClr val="0077A5"/>
            </a:solidFill>
          </c:spPr>
          <c:invertIfNegative val="0"/>
          <c:cat>
            <c:strRef>
              <c:f>'9. Pot. Empresa'!$M$7:$M$69</c:f>
              <c:strCache>
                <c:ptCount val="63"/>
                <c:pt idx="0">
                  <c:v>HYDRO PATAPO</c:v>
                </c:pt>
                <c:pt idx="1">
                  <c:v>COLCA SOLAR</c:v>
                </c:pt>
                <c:pt idx="2">
                  <c:v>REPARTICION</c:v>
                </c:pt>
                <c:pt idx="3">
                  <c:v>MAJES</c:v>
                </c:pt>
                <c:pt idx="4">
                  <c:v>SAN JACINTO</c:v>
                </c:pt>
                <c:pt idx="5">
                  <c:v>TACNA SOLAR</c:v>
                </c:pt>
                <c:pt idx="6">
                  <c:v>SHOUGESA</c:v>
                </c:pt>
                <c:pt idx="7">
                  <c:v>SDF ENERGIA</c:v>
                </c:pt>
                <c:pt idx="8">
                  <c:v>PLANTA  ETEN</c:v>
                </c:pt>
                <c:pt idx="9">
                  <c:v>PANAMERICANA SOLAR</c:v>
                </c:pt>
                <c:pt idx="10">
                  <c:v>MOQUEGUA FV</c:v>
                </c:pt>
                <c:pt idx="11">
                  <c:v>IYEPSA</c:v>
                </c:pt>
                <c:pt idx="12">
                  <c:v>CERRO VERDE</c:v>
                </c:pt>
                <c:pt idx="13">
                  <c:v>ATRIA</c:v>
                </c:pt>
                <c:pt idx="14">
                  <c:v>MAJA ENERGIA</c:v>
                </c:pt>
                <c:pt idx="15">
                  <c:v>CENTRALES SANTA ROSA</c:v>
                </c:pt>
                <c:pt idx="16">
                  <c:v>HIDROCAÑETE</c:v>
                </c:pt>
                <c:pt idx="17">
                  <c:v>ELECTRICA YANAPAMPA</c:v>
                </c:pt>
                <c:pt idx="18">
                  <c:v>GR TARUCA</c:v>
                </c:pt>
                <c:pt idx="19">
                  <c:v>EGECSAC</c:v>
                </c:pt>
                <c:pt idx="20">
                  <c:v>INVERSION DE ENERGÍA RENOVABLES</c:v>
                </c:pt>
                <c:pt idx="21">
                  <c:v>RIO DOBLE</c:v>
                </c:pt>
                <c:pt idx="22">
                  <c:v>AGUA AZUL</c:v>
                </c:pt>
                <c:pt idx="23">
                  <c:v>GR PAINO</c:v>
                </c:pt>
                <c:pt idx="24">
                  <c:v>BIOENERGIA</c:v>
                </c:pt>
                <c:pt idx="25">
                  <c:v>GENERACIÓN ANDINA</c:v>
                </c:pt>
                <c:pt idx="26">
                  <c:v>PETRAMAS</c:v>
                </c:pt>
                <c:pt idx="27">
                  <c:v>RIO BAÑOS</c:v>
                </c:pt>
                <c:pt idx="28">
                  <c:v>CELEPSA RENOVABLES</c:v>
                </c:pt>
                <c:pt idx="29">
                  <c:v>EMGE JUNÍN</c:v>
                </c:pt>
                <c:pt idx="30">
                  <c:v>HIDROELECTRICA HUANCHOR</c:v>
                </c:pt>
                <c:pt idx="31">
                  <c:v>LA VIRGEN</c:v>
                </c:pt>
                <c:pt idx="32">
                  <c:v>HUAURA POWER</c:v>
                </c:pt>
                <c:pt idx="33">
                  <c:v>SINERSA</c:v>
                </c:pt>
                <c:pt idx="34">
                  <c:v>SANTA ANA</c:v>
                </c:pt>
                <c:pt idx="35">
                  <c:v>AIPSA</c:v>
                </c:pt>
                <c:pt idx="36">
                  <c:v>ANDEAN POWER</c:v>
                </c:pt>
                <c:pt idx="37">
                  <c:v>AGROAURORA</c:v>
                </c:pt>
                <c:pt idx="38">
                  <c:v>P.E. MARCONA</c:v>
                </c:pt>
                <c:pt idx="39">
                  <c:v>GEPSA</c:v>
                </c:pt>
                <c:pt idx="40">
                  <c:v>EGESUR</c:v>
                </c:pt>
                <c:pt idx="41">
                  <c:v>EMGE HUANZA</c:v>
                </c:pt>
                <c:pt idx="42">
                  <c:v>CELEPSA</c:v>
                </c:pt>
                <c:pt idx="43">
                  <c:v>ENERGÍA EÓLICA</c:v>
                </c:pt>
                <c:pt idx="44">
                  <c:v>INLAND</c:v>
                </c:pt>
                <c:pt idx="45">
                  <c:v>P.E. TRES HERMANAS</c:v>
                </c:pt>
                <c:pt idx="46">
                  <c:v>CHINANGO</c:v>
                </c:pt>
                <c:pt idx="47">
                  <c:v>TERMOSELVA</c:v>
                </c:pt>
                <c:pt idx="48">
                  <c:v>SAN GABAN</c:v>
                </c:pt>
                <c:pt idx="49">
                  <c:v>ENEL GENERACION PIURA</c:v>
                </c:pt>
                <c:pt idx="50">
                  <c:v>EGEMSA</c:v>
                </c:pt>
                <c:pt idx="51">
                  <c:v>ENEL GREEN POWER PERU</c:v>
                </c:pt>
                <c:pt idx="52">
                  <c:v>EGASA</c:v>
                </c:pt>
                <c:pt idx="53">
                  <c:v>STATKRAFT</c:v>
                </c:pt>
                <c:pt idx="54">
                  <c:v>SAMAY I</c:v>
                </c:pt>
                <c:pt idx="55">
                  <c:v>EMGE HUALLAGA</c:v>
                </c:pt>
                <c:pt idx="56">
                  <c:v>TERMOCHILCA</c:v>
                </c:pt>
                <c:pt idx="57">
                  <c:v>ORAZUL ENERGY PERÚ</c:v>
                </c:pt>
                <c:pt idx="58">
                  <c:v>FENIX POWER</c:v>
                </c:pt>
                <c:pt idx="59">
                  <c:v>ELECTROPERU</c:v>
                </c:pt>
                <c:pt idx="60">
                  <c:v>ENEL GENERACION PERU</c:v>
                </c:pt>
                <c:pt idx="61">
                  <c:v>KALLPA</c:v>
                </c:pt>
                <c:pt idx="62">
                  <c:v>ENGIE</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0.57291000000000003</c:v>
                </c:pt>
                <c:pt idx="14">
                  <c:v>1.3240000000000001</c:v>
                </c:pt>
                <c:pt idx="15">
                  <c:v>1.49437</c:v>
                </c:pt>
                <c:pt idx="16">
                  <c:v>1.6</c:v>
                </c:pt>
                <c:pt idx="17">
                  <c:v>2.1389999999999998</c:v>
                </c:pt>
                <c:pt idx="18">
                  <c:v>2.1560199999999998</c:v>
                </c:pt>
                <c:pt idx="19">
                  <c:v>2.50197</c:v>
                </c:pt>
                <c:pt idx="20">
                  <c:v>2.9914100000000001</c:v>
                </c:pt>
                <c:pt idx="21">
                  <c:v>3.04053</c:v>
                </c:pt>
                <c:pt idx="22">
                  <c:v>3.11693</c:v>
                </c:pt>
                <c:pt idx="23">
                  <c:v>3.3434300000000001</c:v>
                </c:pt>
                <c:pt idx="24">
                  <c:v>7.38835</c:v>
                </c:pt>
                <c:pt idx="25">
                  <c:v>7.5319200000000004</c:v>
                </c:pt>
                <c:pt idx="26">
                  <c:v>9.1636000000000006</c:v>
                </c:pt>
                <c:pt idx="27">
                  <c:v>10.596</c:v>
                </c:pt>
                <c:pt idx="28">
                  <c:v>10.9998</c:v>
                </c:pt>
                <c:pt idx="29">
                  <c:v>12.906969999999999</c:v>
                </c:pt>
                <c:pt idx="30">
                  <c:v>13.07714</c:v>
                </c:pt>
                <c:pt idx="31">
                  <c:v>13.50037</c:v>
                </c:pt>
                <c:pt idx="32">
                  <c:v>13.591619999999999</c:v>
                </c:pt>
                <c:pt idx="33">
                  <c:v>13.668240000000001</c:v>
                </c:pt>
                <c:pt idx="34">
                  <c:v>14.122249999999999</c:v>
                </c:pt>
                <c:pt idx="35">
                  <c:v>15.864420000000001</c:v>
                </c:pt>
                <c:pt idx="36">
                  <c:v>17.317910000000001</c:v>
                </c:pt>
                <c:pt idx="37">
                  <c:v>17.54785</c:v>
                </c:pt>
                <c:pt idx="38">
                  <c:v>22.666609999999999</c:v>
                </c:pt>
                <c:pt idx="39">
                  <c:v>22.781739999999999</c:v>
                </c:pt>
                <c:pt idx="40">
                  <c:v>26.780419999999999</c:v>
                </c:pt>
                <c:pt idx="41">
                  <c:v>47.760480000000001</c:v>
                </c:pt>
                <c:pt idx="42">
                  <c:v>48.963499999999996</c:v>
                </c:pt>
                <c:pt idx="43">
                  <c:v>50.558299999999996</c:v>
                </c:pt>
                <c:pt idx="44">
                  <c:v>56.74933</c:v>
                </c:pt>
                <c:pt idx="45">
                  <c:v>69.947050000000004</c:v>
                </c:pt>
                <c:pt idx="46">
                  <c:v>80.192999999999998</c:v>
                </c:pt>
                <c:pt idx="47">
                  <c:v>86.590130000000002</c:v>
                </c:pt>
                <c:pt idx="48">
                  <c:v>88.902979999999999</c:v>
                </c:pt>
                <c:pt idx="49">
                  <c:v>90.43</c:v>
                </c:pt>
                <c:pt idx="50">
                  <c:v>109.188</c:v>
                </c:pt>
                <c:pt idx="51">
                  <c:v>116.925</c:v>
                </c:pt>
                <c:pt idx="52">
                  <c:v>152.43280000000004</c:v>
                </c:pt>
                <c:pt idx="53">
                  <c:v>169.40217999999996</c:v>
                </c:pt>
                <c:pt idx="54">
                  <c:v>175.04680999999999</c:v>
                </c:pt>
                <c:pt idx="55">
                  <c:v>185.32076000000001</c:v>
                </c:pt>
                <c:pt idx="56">
                  <c:v>192.90967000000001</c:v>
                </c:pt>
                <c:pt idx="57">
                  <c:v>245.06297999999998</c:v>
                </c:pt>
                <c:pt idx="58">
                  <c:v>564.15017</c:v>
                </c:pt>
                <c:pt idx="59">
                  <c:v>595.46447999999998</c:v>
                </c:pt>
                <c:pt idx="60">
                  <c:v>1100.3490000000004</c:v>
                </c:pt>
                <c:pt idx="61">
                  <c:v>1383.7867200000001</c:v>
                </c:pt>
                <c:pt idx="62">
                  <c:v>1583.53062</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2021</c:v>
                </c:pt>
              </c:strCache>
            </c:strRef>
          </c:tx>
          <c:spPr>
            <a:solidFill>
              <a:srgbClr val="FF6600"/>
            </a:solidFill>
          </c:spPr>
          <c:invertIfNegative val="0"/>
          <c:cat>
            <c:strRef>
              <c:f>'9. Pot. Empresa'!$M$7:$M$69</c:f>
              <c:strCache>
                <c:ptCount val="63"/>
                <c:pt idx="0">
                  <c:v>HYDRO PATAPO</c:v>
                </c:pt>
                <c:pt idx="1">
                  <c:v>COLCA SOLAR</c:v>
                </c:pt>
                <c:pt idx="2">
                  <c:v>REPARTICION</c:v>
                </c:pt>
                <c:pt idx="3">
                  <c:v>MAJES</c:v>
                </c:pt>
                <c:pt idx="4">
                  <c:v>SAN JACINTO</c:v>
                </c:pt>
                <c:pt idx="5">
                  <c:v>TACNA SOLAR</c:v>
                </c:pt>
                <c:pt idx="6">
                  <c:v>SHOUGESA</c:v>
                </c:pt>
                <c:pt idx="7">
                  <c:v>SDF ENERGIA</c:v>
                </c:pt>
                <c:pt idx="8">
                  <c:v>PLANTA  ETEN</c:v>
                </c:pt>
                <c:pt idx="9">
                  <c:v>PANAMERICANA SOLAR</c:v>
                </c:pt>
                <c:pt idx="10">
                  <c:v>MOQUEGUA FV</c:v>
                </c:pt>
                <c:pt idx="11">
                  <c:v>IYEPSA</c:v>
                </c:pt>
                <c:pt idx="12">
                  <c:v>CERRO VERDE</c:v>
                </c:pt>
                <c:pt idx="13">
                  <c:v>ATRIA</c:v>
                </c:pt>
                <c:pt idx="14">
                  <c:v>MAJA ENERGIA</c:v>
                </c:pt>
                <c:pt idx="15">
                  <c:v>CENTRALES SANTA ROSA</c:v>
                </c:pt>
                <c:pt idx="16">
                  <c:v>HIDROCAÑETE</c:v>
                </c:pt>
                <c:pt idx="17">
                  <c:v>ELECTRICA YANAPAMPA</c:v>
                </c:pt>
                <c:pt idx="18">
                  <c:v>GR TARUCA</c:v>
                </c:pt>
                <c:pt idx="19">
                  <c:v>EGECSAC</c:v>
                </c:pt>
                <c:pt idx="20">
                  <c:v>INVERSION DE ENERGÍA RENOVABLES</c:v>
                </c:pt>
                <c:pt idx="21">
                  <c:v>RIO DOBLE</c:v>
                </c:pt>
                <c:pt idx="22">
                  <c:v>AGUA AZUL</c:v>
                </c:pt>
                <c:pt idx="23">
                  <c:v>GR PAINO</c:v>
                </c:pt>
                <c:pt idx="24">
                  <c:v>BIOENERGIA</c:v>
                </c:pt>
                <c:pt idx="25">
                  <c:v>GENERACIÓN ANDINA</c:v>
                </c:pt>
                <c:pt idx="26">
                  <c:v>PETRAMAS</c:v>
                </c:pt>
                <c:pt idx="27">
                  <c:v>RIO BAÑOS</c:v>
                </c:pt>
                <c:pt idx="28">
                  <c:v>CELEPSA RENOVABLES</c:v>
                </c:pt>
                <c:pt idx="29">
                  <c:v>EMGE JUNÍN</c:v>
                </c:pt>
                <c:pt idx="30">
                  <c:v>HIDROELECTRICA HUANCHOR</c:v>
                </c:pt>
                <c:pt idx="31">
                  <c:v>LA VIRGEN</c:v>
                </c:pt>
                <c:pt idx="32">
                  <c:v>HUAURA POWER</c:v>
                </c:pt>
                <c:pt idx="33">
                  <c:v>SINERSA</c:v>
                </c:pt>
                <c:pt idx="34">
                  <c:v>SANTA ANA</c:v>
                </c:pt>
                <c:pt idx="35">
                  <c:v>AIPSA</c:v>
                </c:pt>
                <c:pt idx="36">
                  <c:v>ANDEAN POWER</c:v>
                </c:pt>
                <c:pt idx="37">
                  <c:v>AGROAURORA</c:v>
                </c:pt>
                <c:pt idx="38">
                  <c:v>P.E. MARCONA</c:v>
                </c:pt>
                <c:pt idx="39">
                  <c:v>GEPSA</c:v>
                </c:pt>
                <c:pt idx="40">
                  <c:v>EGESUR</c:v>
                </c:pt>
                <c:pt idx="41">
                  <c:v>EMGE HUANZA</c:v>
                </c:pt>
                <c:pt idx="42">
                  <c:v>CELEPSA</c:v>
                </c:pt>
                <c:pt idx="43">
                  <c:v>ENERGÍA EÓLICA</c:v>
                </c:pt>
                <c:pt idx="44">
                  <c:v>INLAND</c:v>
                </c:pt>
                <c:pt idx="45">
                  <c:v>P.E. TRES HERMANAS</c:v>
                </c:pt>
                <c:pt idx="46">
                  <c:v>CHINANGO</c:v>
                </c:pt>
                <c:pt idx="47">
                  <c:v>TERMOSELVA</c:v>
                </c:pt>
                <c:pt idx="48">
                  <c:v>SAN GABAN</c:v>
                </c:pt>
                <c:pt idx="49">
                  <c:v>ENEL GENERACION PIURA</c:v>
                </c:pt>
                <c:pt idx="50">
                  <c:v>EGEMSA</c:v>
                </c:pt>
                <c:pt idx="51">
                  <c:v>ENEL GREEN POWER PERU</c:v>
                </c:pt>
                <c:pt idx="52">
                  <c:v>EGASA</c:v>
                </c:pt>
                <c:pt idx="53">
                  <c:v>STATKRAFT</c:v>
                </c:pt>
                <c:pt idx="54">
                  <c:v>SAMAY I</c:v>
                </c:pt>
                <c:pt idx="55">
                  <c:v>EMGE HUALLAGA</c:v>
                </c:pt>
                <c:pt idx="56">
                  <c:v>TERMOCHILCA</c:v>
                </c:pt>
                <c:pt idx="57">
                  <c:v>ORAZUL ENERGY PERÚ</c:v>
                </c:pt>
                <c:pt idx="58">
                  <c:v>FENIX POWER</c:v>
                </c:pt>
                <c:pt idx="59">
                  <c:v>ELECTROPERU</c:v>
                </c:pt>
                <c:pt idx="60">
                  <c:v>ENEL GENERACION PERU</c:v>
                </c:pt>
                <c:pt idx="61">
                  <c:v>KALLPA</c:v>
                </c:pt>
                <c:pt idx="62">
                  <c:v>ENGIE</c:v>
                </c:pt>
              </c:strCache>
            </c:strRef>
          </c:cat>
          <c:val>
            <c:numRef>
              <c:f>'9. Pot. Empresa'!$O$7:$O$69</c:f>
              <c:numCache>
                <c:formatCode>0</c:formatCode>
                <c:ptCount val="63"/>
                <c:pt idx="0">
                  <c:v>0.77500000000000002</c:v>
                </c:pt>
                <c:pt idx="1">
                  <c:v>0</c:v>
                </c:pt>
                <c:pt idx="2">
                  <c:v>0</c:v>
                </c:pt>
                <c:pt idx="3">
                  <c:v>0</c:v>
                </c:pt>
                <c:pt idx="4">
                  <c:v>8.4873499999999993</c:v>
                </c:pt>
                <c:pt idx="5">
                  <c:v>0</c:v>
                </c:pt>
                <c:pt idx="6">
                  <c:v>0</c:v>
                </c:pt>
                <c:pt idx="7">
                  <c:v>26.591609999999999</c:v>
                </c:pt>
                <c:pt idx="8">
                  <c:v>0</c:v>
                </c:pt>
                <c:pt idx="9">
                  <c:v>0</c:v>
                </c:pt>
                <c:pt idx="10">
                  <c:v>0</c:v>
                </c:pt>
                <c:pt idx="11">
                  <c:v>0</c:v>
                </c:pt>
                <c:pt idx="12">
                  <c:v>0</c:v>
                </c:pt>
                <c:pt idx="13">
                  <c:v>0</c:v>
                </c:pt>
                <c:pt idx="14">
                  <c:v>3.4080000000000004</c:v>
                </c:pt>
                <c:pt idx="15">
                  <c:v>2.9917400000000001</c:v>
                </c:pt>
                <c:pt idx="16">
                  <c:v>3.2</c:v>
                </c:pt>
                <c:pt idx="17">
                  <c:v>3.391</c:v>
                </c:pt>
                <c:pt idx="18">
                  <c:v>9.1332599999999999</c:v>
                </c:pt>
                <c:pt idx="19">
                  <c:v>2.3924099999999999</c:v>
                </c:pt>
                <c:pt idx="20">
                  <c:v>20.059730000000002</c:v>
                </c:pt>
                <c:pt idx="21">
                  <c:v>18.505229999999997</c:v>
                </c:pt>
                <c:pt idx="22">
                  <c:v>19.947469999999999</c:v>
                </c:pt>
                <c:pt idx="23">
                  <c:v>14.09769</c:v>
                </c:pt>
                <c:pt idx="24">
                  <c:v>9.7611799999999995</c:v>
                </c:pt>
                <c:pt idx="25">
                  <c:v>27.368369999999999</c:v>
                </c:pt>
                <c:pt idx="26">
                  <c:v>6.8939000000000004</c:v>
                </c:pt>
                <c:pt idx="27">
                  <c:v>19.097290000000001</c:v>
                </c:pt>
                <c:pt idx="28">
                  <c:v>19.745669999999997</c:v>
                </c:pt>
                <c:pt idx="29">
                  <c:v>65.569630000000004</c:v>
                </c:pt>
                <c:pt idx="30">
                  <c:v>17.979219999999998</c:v>
                </c:pt>
                <c:pt idx="31">
                  <c:v>50</c:v>
                </c:pt>
                <c:pt idx="32">
                  <c:v>18.21219</c:v>
                </c:pt>
                <c:pt idx="33">
                  <c:v>24.530100000000001</c:v>
                </c:pt>
                <c:pt idx="34">
                  <c:v>20.0623</c:v>
                </c:pt>
                <c:pt idx="35">
                  <c:v>15.353859999999999</c:v>
                </c:pt>
                <c:pt idx="36">
                  <c:v>12.058070000000001</c:v>
                </c:pt>
                <c:pt idx="37">
                  <c:v>10.801080000000001</c:v>
                </c:pt>
                <c:pt idx="38">
                  <c:v>23.052240000000001</c:v>
                </c:pt>
                <c:pt idx="39">
                  <c:v>67.621760000000009</c:v>
                </c:pt>
                <c:pt idx="40">
                  <c:v>35.069090000000003</c:v>
                </c:pt>
                <c:pt idx="41">
                  <c:v>40.86</c:v>
                </c:pt>
                <c:pt idx="42">
                  <c:v>210.72300000000001</c:v>
                </c:pt>
                <c:pt idx="43">
                  <c:v>42.108710000000002</c:v>
                </c:pt>
                <c:pt idx="44">
                  <c:v>90.458650000000006</c:v>
                </c:pt>
                <c:pt idx="45">
                  <c:v>69.834980000000002</c:v>
                </c:pt>
                <c:pt idx="46">
                  <c:v>176.57</c:v>
                </c:pt>
                <c:pt idx="47">
                  <c:v>0</c:v>
                </c:pt>
                <c:pt idx="48">
                  <c:v>46.0807</c:v>
                </c:pt>
                <c:pt idx="49">
                  <c:v>90.474000000000004</c:v>
                </c:pt>
                <c:pt idx="50">
                  <c:v>165.25199999999998</c:v>
                </c:pt>
                <c:pt idx="51">
                  <c:v>126.53700000000001</c:v>
                </c:pt>
                <c:pt idx="52">
                  <c:v>170.90086000000002</c:v>
                </c:pt>
                <c:pt idx="53">
                  <c:v>414.53339999999997</c:v>
                </c:pt>
                <c:pt idx="54">
                  <c:v>0</c:v>
                </c:pt>
                <c:pt idx="55">
                  <c:v>466.14035000000001</c:v>
                </c:pt>
                <c:pt idx="56">
                  <c:v>194.47380999999999</c:v>
                </c:pt>
                <c:pt idx="57">
                  <c:v>343.30500000000001</c:v>
                </c:pt>
                <c:pt idx="58">
                  <c:v>271.44031000000001</c:v>
                </c:pt>
                <c:pt idx="59">
                  <c:v>801.22800000000007</c:v>
                </c:pt>
                <c:pt idx="60">
                  <c:v>634.50299999999993</c:v>
                </c:pt>
                <c:pt idx="61">
                  <c:v>1240.5700000000002</c:v>
                </c:pt>
                <c:pt idx="62">
                  <c:v>1000.8829499999999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formatCode="General">
                  <c:v>168.88000489999999</c:v>
                </c:pt>
                <c:pt idx="36" formatCode="General">
                  <c:v>163.31300355859301</c:v>
                </c:pt>
                <c:pt idx="37" formatCode="General">
                  <c:v>160.03999328613199</c:v>
                </c:pt>
                <c:pt idx="38" formatCode="General">
                  <c:v>154.0410004</c:v>
                </c:pt>
                <c:pt idx="39" formatCode="General">
                  <c:v>137.69400024414</c:v>
                </c:pt>
                <c:pt idx="40" formatCode="General">
                  <c:v>133.05799866484401</c:v>
                </c:pt>
                <c:pt idx="41" formatCode="General">
                  <c:v>135.26800539999999</c:v>
                </c:pt>
                <c:pt idx="42" formatCode="General">
                  <c:v>131.78599548339801</c:v>
                </c:pt>
                <c:pt idx="43" formatCode="General">
                  <c:v>122.9000015</c:v>
                </c:pt>
                <c:pt idx="44" formatCode="General">
                  <c:v>115.61799621582</c:v>
                </c:pt>
                <c:pt idx="45" formatCode="General">
                  <c:v>109.3000031</c:v>
                </c:pt>
                <c:pt idx="46" formatCode="General">
                  <c:v>102.5579987</c:v>
                </c:pt>
                <c:pt idx="47" formatCode="General">
                  <c:v>93.499000549316406</c:v>
                </c:pt>
                <c:pt idx="48" formatCode="General">
                  <c:v>86.319999690000003</c:v>
                </c:pt>
                <c:pt idx="49" formatCode="General">
                  <c:v>82.027000430000001</c:v>
                </c:pt>
                <c:pt idx="50" formatCode="General">
                  <c:v>79.66999817</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pt idx="31" formatCode="General">
                  <c:v>190.20399475097599</c:v>
                </c:pt>
                <c:pt idx="32" formatCode="General">
                  <c:v>187.18600459999999</c:v>
                </c:pt>
                <c:pt idx="33" formatCode="General">
                  <c:v>173.7779999</c:v>
                </c:pt>
                <c:pt idx="34" formatCode="General">
                  <c:v>169.37899780273401</c:v>
                </c:pt>
                <c:pt idx="35" formatCode="General">
                  <c:v>165.48199460000001</c:v>
                </c:pt>
                <c:pt idx="36" formatCode="General">
                  <c:v>142.98404230134</c:v>
                </c:pt>
                <c:pt idx="37" formatCode="General">
                  <c:v>132.51499938964801</c:v>
                </c:pt>
                <c:pt idx="38" formatCode="General">
                  <c:v>131.60099790000001</c:v>
                </c:pt>
                <c:pt idx="39" formatCode="General">
                  <c:v>127.05599975585901</c:v>
                </c:pt>
                <c:pt idx="40" formatCode="General">
                  <c:v>113.457096562483</c:v>
                </c:pt>
                <c:pt idx="41" formatCode="General">
                  <c:v>110.13999939999999</c:v>
                </c:pt>
                <c:pt idx="42" formatCode="General">
                  <c:v>91.259002685546804</c:v>
                </c:pt>
                <c:pt idx="43" formatCode="General">
                  <c:v>69.921997070000003</c:v>
                </c:pt>
                <c:pt idx="44" formatCode="General">
                  <c:v>66.931999206542898</c:v>
                </c:pt>
                <c:pt idx="45" formatCode="General">
                  <c:v>50.784000399999996</c:v>
                </c:pt>
                <c:pt idx="46" formatCode="General">
                  <c:v>43.990001679999999</c:v>
                </c:pt>
                <c:pt idx="47" formatCode="General">
                  <c:v>28.9869995117187</c:v>
                </c:pt>
                <c:pt idx="48" formatCode="General">
                  <c:v>14.64000034</c:v>
                </c:pt>
                <c:pt idx="49" formatCode="General">
                  <c:v>29.344999309999999</c:v>
                </c:pt>
                <c:pt idx="50" formatCode="General">
                  <c:v>24.719999309999999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pt idx="31" formatCode="General">
                  <c:v>292.89500425755955</c:v>
                </c:pt>
                <c:pt idx="32" formatCode="General">
                  <c:v>302.95999780999995</c:v>
                </c:pt>
                <c:pt idx="33" formatCode="General">
                  <c:v>277.92099988699999</c:v>
                </c:pt>
                <c:pt idx="34" formatCode="General">
                  <c:v>270.68900412321057</c:v>
                </c:pt>
                <c:pt idx="35" formatCode="General">
                  <c:v>263.03699629800002</c:v>
                </c:pt>
                <c:pt idx="36" formatCode="General">
                  <c:v>267.3754964899627</c:v>
                </c:pt>
                <c:pt idx="37" formatCode="General">
                  <c:v>247.34099905192824</c:v>
                </c:pt>
                <c:pt idx="38" formatCode="General">
                  <c:v>239.01999990799999</c:v>
                </c:pt>
                <c:pt idx="39" formatCode="General">
                  <c:v>230.88899938762165</c:v>
                </c:pt>
                <c:pt idx="40" formatCode="General">
                  <c:v>221.89513753580701</c:v>
                </c:pt>
                <c:pt idx="41" formatCode="General">
                  <c:v>214.51600204000002</c:v>
                </c:pt>
                <c:pt idx="42" formatCode="General">
                  <c:v>206.5210008025168</c:v>
                </c:pt>
                <c:pt idx="43" formatCode="General">
                  <c:v>205.3030003903163</c:v>
                </c:pt>
                <c:pt idx="44" formatCode="General">
                  <c:v>197.31799500565413</c:v>
                </c:pt>
                <c:pt idx="45" formatCode="General">
                  <c:v>182.13499730299998</c:v>
                </c:pt>
                <c:pt idx="46" formatCode="General">
                  <c:v>175.02100271200001</c:v>
                </c:pt>
                <c:pt idx="47" formatCode="General">
                  <c:v>167.88399881124482</c:v>
                </c:pt>
                <c:pt idx="48" formatCode="General">
                  <c:v>163.290001034</c:v>
                </c:pt>
                <c:pt idx="49" formatCode="General">
                  <c:v>164.16899752900002</c:v>
                </c:pt>
                <c:pt idx="50" formatCode="General">
                  <c:v>159.756001709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'12.Caudales'!$J$4:$K$212</c:f>
              <c:multiLvlStrCache>
                <c:ptCount val="209"/>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8">
                    <c:v>52</c:v>
                  </c:pt>
                </c:lvl>
                <c:lvl>
                  <c:pt idx="0">
                    <c:v>2019</c:v>
                  </c:pt>
                  <c:pt idx="53">
                    <c:v>2020</c:v>
                  </c:pt>
                  <c:pt idx="105">
                    <c:v>2021</c:v>
                  </c:pt>
                  <c:pt idx="157">
                    <c:v>2022</c:v>
                  </c:pt>
                </c:lvl>
              </c:multiLvlStrCache>
            </c:multiLvlStrRef>
          </c:cat>
          <c:val>
            <c:numRef>
              <c:f>'12.Caudales'!$N$4:$N$212</c:f>
              <c:numCache>
                <c:formatCode>0.0</c:formatCode>
                <c:ptCount val="209"/>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pt idx="188">
                  <c:v>24.089857101440373</c:v>
                </c:pt>
                <c:pt idx="189">
                  <c:v>22.760285514285709</c:v>
                </c:pt>
                <c:pt idx="190">
                  <c:v>25.360285895714288</c:v>
                </c:pt>
                <c:pt idx="191">
                  <c:v>25.920999526977486</c:v>
                </c:pt>
                <c:pt idx="192">
                  <c:v>27.733714512857141</c:v>
                </c:pt>
                <c:pt idx="193">
                  <c:v>24.191236087402601</c:v>
                </c:pt>
                <c:pt idx="194">
                  <c:v>37.008142471313427</c:v>
                </c:pt>
                <c:pt idx="195">
                  <c:v>43.941286359999992</c:v>
                </c:pt>
                <c:pt idx="196">
                  <c:v>35.542857851300859</c:v>
                </c:pt>
                <c:pt idx="197">
                  <c:v>42.2230343138324</c:v>
                </c:pt>
                <c:pt idx="198">
                  <c:v>38.873856951428571</c:v>
                </c:pt>
                <c:pt idx="199">
                  <c:v>37.477428436279276</c:v>
                </c:pt>
                <c:pt idx="200">
                  <c:v>41.068570818571423</c:v>
                </c:pt>
                <c:pt idx="201">
                  <c:v>45.284285954066661</c:v>
                </c:pt>
                <c:pt idx="202">
                  <c:v>40.058000837142856</c:v>
                </c:pt>
                <c:pt idx="203">
                  <c:v>46.268857138497467</c:v>
                </c:pt>
                <c:pt idx="204">
                  <c:v>45.240856715611031</c:v>
                </c:pt>
                <c:pt idx="205">
                  <c:v>43.306000301428575</c:v>
                </c:pt>
                <c:pt idx="206">
                  <c:v>46.609286172857139</c:v>
                </c:pt>
                <c:pt idx="207">
                  <c:v>70.499713898571443</c:v>
                </c:pt>
                <c:pt idx="208">
                  <c:v>65.301143102857139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'12.Caudales'!$J$4:$K$212</c:f>
              <c:multiLvlStrCache>
                <c:ptCount val="209"/>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8">
                    <c:v>52</c:v>
                  </c:pt>
                </c:lvl>
                <c:lvl>
                  <c:pt idx="0">
                    <c:v>2019</c:v>
                  </c:pt>
                  <c:pt idx="53">
                    <c:v>2020</c:v>
                  </c:pt>
                  <c:pt idx="105">
                    <c:v>2021</c:v>
                  </c:pt>
                  <c:pt idx="157">
                    <c:v>2022</c:v>
                  </c:pt>
                </c:lvl>
              </c:multiLvlStrCache>
            </c:multiLvlStrRef>
          </c:cat>
          <c:val>
            <c:numRef>
              <c:f>'12.Caudales'!$O$4:$O$212</c:f>
              <c:numCache>
                <c:formatCode>0.0</c:formatCode>
                <c:ptCount val="209"/>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pt idx="188">
                  <c:v>19.260286058698341</c:v>
                </c:pt>
                <c:pt idx="189">
                  <c:v>11.767142841428575</c:v>
                </c:pt>
                <c:pt idx="190">
                  <c:v>9.6848572311428569</c:v>
                </c:pt>
                <c:pt idx="191">
                  <c:v>10.140166600545237</c:v>
                </c:pt>
                <c:pt idx="192">
                  <c:v>7.178428649999999</c:v>
                </c:pt>
                <c:pt idx="193">
                  <c:v>7.178428649999999</c:v>
                </c:pt>
                <c:pt idx="194">
                  <c:v>21.733428410121345</c:v>
                </c:pt>
                <c:pt idx="195">
                  <c:v>13.527142932857144</c:v>
                </c:pt>
                <c:pt idx="196">
                  <c:v>14.786999974931945</c:v>
                </c:pt>
                <c:pt idx="197">
                  <c:v>20.704649510407599</c:v>
                </c:pt>
                <c:pt idx="198">
                  <c:v>25.138142720000001</c:v>
                </c:pt>
                <c:pt idx="199">
                  <c:v>25.216714314051995</c:v>
                </c:pt>
                <c:pt idx="200">
                  <c:v>14.095285688571428</c:v>
                </c:pt>
                <c:pt idx="201">
                  <c:v>11.297285897391143</c:v>
                </c:pt>
                <c:pt idx="202">
                  <c:v>9.971571377428571</c:v>
                </c:pt>
                <c:pt idx="203">
                  <c:v>9.063428674425392</c:v>
                </c:pt>
                <c:pt idx="204">
                  <c:v>7.7819999286106594</c:v>
                </c:pt>
                <c:pt idx="205">
                  <c:v>6.0248571805714279</c:v>
                </c:pt>
                <c:pt idx="206">
                  <c:v>10.802999973571429</c:v>
                </c:pt>
                <c:pt idx="207">
                  <c:v>13.546999929285715</c:v>
                </c:pt>
                <c:pt idx="208">
                  <c:v>13.057714190571428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'12.Caudales'!$J$4:$K$212</c:f>
              <c:multiLvlStrCache>
                <c:ptCount val="209"/>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8">
                    <c:v>52</c:v>
                  </c:pt>
                </c:lvl>
                <c:lvl>
                  <c:pt idx="0">
                    <c:v>2019</c:v>
                  </c:pt>
                  <c:pt idx="53">
                    <c:v>2020</c:v>
                  </c:pt>
                  <c:pt idx="105">
                    <c:v>2021</c:v>
                  </c:pt>
                  <c:pt idx="157">
                    <c:v>2022</c:v>
                  </c:pt>
                </c:lvl>
              </c:multiLvlStrCache>
            </c:multiLvlStrRef>
          </c:cat>
          <c:val>
            <c:numRef>
              <c:f>'12.Caudales'!$M$4:$M$212</c:f>
              <c:numCache>
                <c:formatCode>0.0</c:formatCode>
                <c:ptCount val="209"/>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pt idx="188">
                  <c:v>11.720571517944299</c:v>
                </c:pt>
                <c:pt idx="189">
                  <c:v>12.527428762857143</c:v>
                </c:pt>
                <c:pt idx="190">
                  <c:v>16.307285444285718</c:v>
                </c:pt>
                <c:pt idx="191">
                  <c:v>16.3159999847412</c:v>
                </c:pt>
                <c:pt idx="192">
                  <c:v>16.338571412285699</c:v>
                </c:pt>
                <c:pt idx="193">
                  <c:v>10.549342727592901</c:v>
                </c:pt>
                <c:pt idx="194">
                  <c:v>16.446428843906887</c:v>
                </c:pt>
                <c:pt idx="195">
                  <c:v>16.413428580000001</c:v>
                </c:pt>
                <c:pt idx="196">
                  <c:v>16.787428447178375</c:v>
                </c:pt>
                <c:pt idx="197">
                  <c:v>15.8430898672582</c:v>
                </c:pt>
                <c:pt idx="198">
                  <c:v>5.7759999548571432</c:v>
                </c:pt>
                <c:pt idx="199">
                  <c:v>11.382285799298913</c:v>
                </c:pt>
                <c:pt idx="200">
                  <c:v>5.2291429382857144</c:v>
                </c:pt>
                <c:pt idx="201">
                  <c:v>10.919857297624844</c:v>
                </c:pt>
                <c:pt idx="202">
                  <c:v>11.464714461428573</c:v>
                </c:pt>
                <c:pt idx="203">
                  <c:v>11.333428791591084</c:v>
                </c:pt>
                <c:pt idx="204">
                  <c:v>11.195143154689243</c:v>
                </c:pt>
                <c:pt idx="205">
                  <c:v>11.129571504285716</c:v>
                </c:pt>
                <c:pt idx="206">
                  <c:v>12.79414286142857</c:v>
                </c:pt>
                <c:pt idx="207">
                  <c:v>21.320999690000001</c:v>
                </c:pt>
                <c:pt idx="208">
                  <c:v>21.088856832857143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2942.2881527525005</c:v>
                </c:pt>
                <c:pt idx="1">
                  <c:v>1491.1456843575002</c:v>
                </c:pt>
                <c:pt idx="2">
                  <c:v>5.8992881600000002</c:v>
                </c:pt>
                <c:pt idx="3">
                  <c:v>1.4685850899999999</c:v>
                </c:pt>
                <c:pt idx="4">
                  <c:v>28.574972872500002</c:v>
                </c:pt>
                <c:pt idx="5">
                  <c:v>144.32565196250002</c:v>
                </c:pt>
                <c:pt idx="6">
                  <c:v>73.559578087499986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2519.9402269400002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10.000489315000001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172.20920180750005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33.218603997500004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136.49075921249997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72.756407109999998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'13.Caudales'!$N$4:$O$212</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'13.Caudales'!$Q$4:$Q$212</c:f>
              <c:numCache>
                <c:formatCode>0.0</c:formatCode>
                <c:ptCount val="209"/>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pt idx="188">
                  <c:v>6.7767143249511674</c:v>
                </c:pt>
                <c:pt idx="189">
                  <c:v>6.6272856167142846</c:v>
                </c:pt>
                <c:pt idx="190">
                  <c:v>6.5701428822857153</c:v>
                </c:pt>
                <c:pt idx="191">
                  <c:v>6.5428572382245695</c:v>
                </c:pt>
                <c:pt idx="192">
                  <c:v>6.3227143287142855</c:v>
                </c:pt>
                <c:pt idx="193">
                  <c:v>6.2865810394126704</c:v>
                </c:pt>
                <c:pt idx="194">
                  <c:v>5.793857097625728</c:v>
                </c:pt>
                <c:pt idx="195">
                  <c:v>5.9811427934285719</c:v>
                </c:pt>
                <c:pt idx="196">
                  <c:v>5.635571479797358</c:v>
                </c:pt>
                <c:pt idx="197">
                  <c:v>5.5000561646503403</c:v>
                </c:pt>
                <c:pt idx="198">
                  <c:v>4.9938571794285718</c:v>
                </c:pt>
                <c:pt idx="199">
                  <c:v>5.6268571444920088</c:v>
                </c:pt>
                <c:pt idx="200">
                  <c:v>5.2291429382857144</c:v>
                </c:pt>
                <c:pt idx="201">
                  <c:v>5.4345714705330943</c:v>
                </c:pt>
                <c:pt idx="202">
                  <c:v>5.3250000135714286</c:v>
                </c:pt>
                <c:pt idx="203">
                  <c:v>5.2195714201245949</c:v>
                </c:pt>
                <c:pt idx="204">
                  <c:v>5.7077142170497295</c:v>
                </c:pt>
                <c:pt idx="205">
                  <c:v>6.1595714432857145</c:v>
                </c:pt>
                <c:pt idx="206">
                  <c:v>8.2302858491428559</c:v>
                </c:pt>
                <c:pt idx="207">
                  <c:v>8.6974285665714284</c:v>
                </c:pt>
                <c:pt idx="208">
                  <c:v>12.067857061428571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'13.Caudales'!$N$4:$O$212</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'13.Caudales'!$R$4:$R$212</c:f>
              <c:numCache>
                <c:formatCode>0.0</c:formatCode>
                <c:ptCount val="209"/>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pt idx="188">
                  <c:v>3.2958571570260142</c:v>
                </c:pt>
                <c:pt idx="189">
                  <c:v>3.2975714547142858</c:v>
                </c:pt>
                <c:pt idx="190">
                  <c:v>3.5422857148571425</c:v>
                </c:pt>
                <c:pt idx="191">
                  <c:v>3.660142830439971</c:v>
                </c:pt>
                <c:pt idx="192">
                  <c:v>4.3679998937142859</c:v>
                </c:pt>
                <c:pt idx="193">
                  <c:v>3.77252543796107</c:v>
                </c:pt>
                <c:pt idx="194">
                  <c:v>4.5530000073569106</c:v>
                </c:pt>
                <c:pt idx="195">
                  <c:v>3.9475713797142857</c:v>
                </c:pt>
                <c:pt idx="196">
                  <c:v>4.196571486336838</c:v>
                </c:pt>
                <c:pt idx="197">
                  <c:v>4.2840944572134498</c:v>
                </c:pt>
                <c:pt idx="198">
                  <c:v>4</c:v>
                </c:pt>
                <c:pt idx="199">
                  <c:v>4.612428597041534</c:v>
                </c:pt>
                <c:pt idx="200">
                  <c:v>4.4097143239999994</c:v>
                </c:pt>
                <c:pt idx="201">
                  <c:v>3.90100002288818</c:v>
                </c:pt>
                <c:pt idx="202">
                  <c:v>3.9275713648571431</c:v>
                </c:pt>
                <c:pt idx="203">
                  <c:v>4.3361428805759958</c:v>
                </c:pt>
                <c:pt idx="204">
                  <c:v>4.0250000272478319</c:v>
                </c:pt>
                <c:pt idx="205">
                  <c:v>3.979571376428571</c:v>
                </c:pt>
                <c:pt idx="206">
                  <c:v>4.227428538571429</c:v>
                </c:pt>
                <c:pt idx="207">
                  <c:v>4.2828571114285712</c:v>
                </c:pt>
                <c:pt idx="208">
                  <c:v>5.9124286172857135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'13.Caudales'!$N$4:$O$1819</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'13.Caudales'!$S$4:$S$212</c:f>
              <c:numCache>
                <c:formatCode>0.0</c:formatCode>
                <c:ptCount val="209"/>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pt idx="188" formatCode="0.00">
                  <c:v>71.012714930943048</c:v>
                </c:pt>
                <c:pt idx="189" formatCode="0.00">
                  <c:v>68.504143305714294</c:v>
                </c:pt>
                <c:pt idx="190" formatCode="0.00">
                  <c:v>67.757142747142865</c:v>
                </c:pt>
                <c:pt idx="191" formatCode="0.00">
                  <c:v>64.803571428571402</c:v>
                </c:pt>
                <c:pt idx="192" formatCode="0.00">
                  <c:v>61.738000054285713</c:v>
                </c:pt>
                <c:pt idx="193" formatCode="0.00">
                  <c:v>59.887714115714203</c:v>
                </c:pt>
                <c:pt idx="194" formatCode="0.00">
                  <c:v>64.924144199916256</c:v>
                </c:pt>
                <c:pt idx="195" formatCode="0.00">
                  <c:v>70.514285495714276</c:v>
                </c:pt>
                <c:pt idx="196" formatCode="0.00">
                  <c:v>63.012999943324473</c:v>
                </c:pt>
                <c:pt idx="197" formatCode="0.00">
                  <c:v>66.388028771146395</c:v>
                </c:pt>
                <c:pt idx="198" formatCode="0.00">
                  <c:v>62.769999368571426</c:v>
                </c:pt>
                <c:pt idx="199" formatCode="0.00">
                  <c:v>52.281571524483752</c:v>
                </c:pt>
                <c:pt idx="200" formatCode="0.00">
                  <c:v>53.939428057142855</c:v>
                </c:pt>
                <c:pt idx="201" formatCode="0.00">
                  <c:v>62.510428837367428</c:v>
                </c:pt>
                <c:pt idx="202" formatCode="0.00">
                  <c:v>53.200286319999996</c:v>
                </c:pt>
                <c:pt idx="203" formatCode="0.00">
                  <c:v>58.334714617047958</c:v>
                </c:pt>
                <c:pt idx="204" formatCode="0.00">
                  <c:v>50.089571816580602</c:v>
                </c:pt>
                <c:pt idx="205" formatCode="0.00">
                  <c:v>60.034714289999997</c:v>
                </c:pt>
                <c:pt idx="206" formatCode="0.00">
                  <c:v>60.558143069999993</c:v>
                </c:pt>
                <c:pt idx="207" formatCode="0.00">
                  <c:v>76.682998657142861</c:v>
                </c:pt>
                <c:pt idx="208" formatCode="0.00">
                  <c:v>82.013715471428569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'13.Caudales'!$N$4:$O$1819</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'13.Caudales'!$T$4:$T$212</c:f>
              <c:numCache>
                <c:formatCode>0.0</c:formatCode>
                <c:ptCount val="209"/>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pt idx="188" formatCode="0.00">
                  <c:v>46.172571454729322</c:v>
                </c:pt>
                <c:pt idx="189" formatCode="0.00">
                  <c:v>27.946428571428573</c:v>
                </c:pt>
                <c:pt idx="190" formatCode="0.00">
                  <c:v>25.892714362857141</c:v>
                </c:pt>
                <c:pt idx="191" formatCode="0.00">
                  <c:v>24.232000078473732</c:v>
                </c:pt>
                <c:pt idx="192" formatCode="0.00">
                  <c:v>22.238142831428572</c:v>
                </c:pt>
                <c:pt idx="193" formatCode="0.00">
                  <c:v>22.866306149296399</c:v>
                </c:pt>
                <c:pt idx="194" formatCode="0.00">
                  <c:v>29.702428545270628</c:v>
                </c:pt>
                <c:pt idx="195" formatCode="0.00">
                  <c:v>38.059571402857145</c:v>
                </c:pt>
                <c:pt idx="196" formatCode="0.00">
                  <c:v>36.791714259556329</c:v>
                </c:pt>
                <c:pt idx="197" formatCode="0.00">
                  <c:v>43.221755070626699</c:v>
                </c:pt>
                <c:pt idx="198" formatCode="0.00">
                  <c:v>38</c:v>
                </c:pt>
                <c:pt idx="199" formatCode="0.00">
                  <c:v>34.410571507045155</c:v>
                </c:pt>
                <c:pt idx="200" formatCode="0.00">
                  <c:v>27.107142857142858</c:v>
                </c:pt>
                <c:pt idx="201" formatCode="0.00">
                  <c:v>29.329142979213128</c:v>
                </c:pt>
                <c:pt idx="202" formatCode="0.00">
                  <c:v>26.72028568857143</c:v>
                </c:pt>
                <c:pt idx="203" formatCode="0.00">
                  <c:v>27.404714311872173</c:v>
                </c:pt>
                <c:pt idx="204" formatCode="0.00">
                  <c:v>25.464285714285698</c:v>
                </c:pt>
                <c:pt idx="205" formatCode="0.00">
                  <c:v>26.208285740000001</c:v>
                </c:pt>
                <c:pt idx="206" formatCode="0.00">
                  <c:v>47.559571402857145</c:v>
                </c:pt>
                <c:pt idx="207" formatCode="0.00">
                  <c:v>47.559571402857145</c:v>
                </c:pt>
                <c:pt idx="208" formatCode="0.00">
                  <c:v>71.637142725714284</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'13.Caudales'!$U$4:$U$212</c:f>
              <c:numCache>
                <c:formatCode>0.0</c:formatCode>
                <c:ptCount val="209"/>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pt idx="188">
                  <c:v>10.471999985831093</c:v>
                </c:pt>
                <c:pt idx="189">
                  <c:v>7.9560000554285706</c:v>
                </c:pt>
                <c:pt idx="190">
                  <c:v>7.6575713838571433</c:v>
                </c:pt>
                <c:pt idx="191">
                  <c:v>6.8082856450762028</c:v>
                </c:pt>
                <c:pt idx="192">
                  <c:v>6.3390000000000004</c:v>
                </c:pt>
                <c:pt idx="193">
                  <c:v>5.7651427948238201</c:v>
                </c:pt>
                <c:pt idx="194">
                  <c:v>6.6742858205522735</c:v>
                </c:pt>
                <c:pt idx="195">
                  <c:v>7.1607142177142862</c:v>
                </c:pt>
                <c:pt idx="196">
                  <c:v>7.419142927442274</c:v>
                </c:pt>
                <c:pt idx="197">
                  <c:v>6.8784286265785504</c:v>
                </c:pt>
                <c:pt idx="198">
                  <c:v>9.4662852974285716</c:v>
                </c:pt>
                <c:pt idx="199">
                  <c:v>5.7607142584664448</c:v>
                </c:pt>
                <c:pt idx="200">
                  <c:v>5.9262857437142857</c:v>
                </c:pt>
                <c:pt idx="201">
                  <c:v>5.2147143227713402</c:v>
                </c:pt>
                <c:pt idx="202">
                  <c:v>6.1838571684285712</c:v>
                </c:pt>
                <c:pt idx="203">
                  <c:v>5.6749998501368912</c:v>
                </c:pt>
                <c:pt idx="204">
                  <c:v>5.2590000288827037</c:v>
                </c:pt>
                <c:pt idx="205">
                  <c:v>4.6138571330000007</c:v>
                </c:pt>
                <c:pt idx="206">
                  <c:v>9.325571467571427</c:v>
                </c:pt>
                <c:pt idx="207">
                  <c:v>9.325571467571427</c:v>
                </c:pt>
                <c:pt idx="208">
                  <c:v>27.029714380142856</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'13.Caudales'!$N$4:$O$212</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'13.Caudales'!$V$4:$V$212</c:f>
              <c:numCache>
                <c:formatCode>0.0</c:formatCode>
                <c:ptCount val="209"/>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pt idx="188">
                  <c:v>14.178215708051356</c:v>
                </c:pt>
                <c:pt idx="189">
                  <c:v>14.038035665714288</c:v>
                </c:pt>
                <c:pt idx="190">
                  <c:v>13.967680111428573</c:v>
                </c:pt>
                <c:pt idx="191">
                  <c:v>14.05898720877507</c:v>
                </c:pt>
                <c:pt idx="192">
                  <c:v>14.080715725714285</c:v>
                </c:pt>
                <c:pt idx="193">
                  <c:v>14.0125123574527</c:v>
                </c:pt>
                <c:pt idx="194">
                  <c:v>13.981904302324526</c:v>
                </c:pt>
                <c:pt idx="195">
                  <c:v>14.00559575142857</c:v>
                </c:pt>
                <c:pt idx="196">
                  <c:v>14.040832792009573</c:v>
                </c:pt>
                <c:pt idx="197">
                  <c:v>14.068372771605899</c:v>
                </c:pt>
                <c:pt idx="198">
                  <c:v>14.016308650000001</c:v>
                </c:pt>
                <c:pt idx="199">
                  <c:v>14.078072684151758</c:v>
                </c:pt>
                <c:pt idx="200">
                  <c:v>13.987262724285713</c:v>
                </c:pt>
                <c:pt idx="201">
                  <c:v>13.874702862330802</c:v>
                </c:pt>
                <c:pt idx="202">
                  <c:v>14.021962847142857</c:v>
                </c:pt>
                <c:pt idx="203">
                  <c:v>12.869702747889887</c:v>
                </c:pt>
                <c:pt idx="204">
                  <c:v>12.914761407034687</c:v>
                </c:pt>
                <c:pt idx="205">
                  <c:v>13.072690148571429</c:v>
                </c:pt>
                <c:pt idx="206">
                  <c:v>12.378569737142858</c:v>
                </c:pt>
                <c:pt idx="207">
                  <c:v>13.595178467142858</c:v>
                </c:pt>
                <c:pt idx="208">
                  <c:v>13.134585518571429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'13.Caudales'!$N$4:$O$212</c:f>
              <c:multiLvlStrCache>
                <c:ptCount val="20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0">
                    <c:v>44</c:v>
                  </c:pt>
                  <c:pt idx="208">
                    <c:v>52</c:v>
                  </c:pt>
                </c:lvl>
                <c:lvl>
                  <c:pt idx="0">
                    <c:v>2019</c:v>
                  </c:pt>
                  <c:pt idx="53">
                    <c:v>2020</c:v>
                  </c:pt>
                  <c:pt idx="105">
                    <c:v>2021</c:v>
                  </c:pt>
                  <c:pt idx="157">
                    <c:v>2022</c:v>
                  </c:pt>
                </c:lvl>
              </c:multiLvlStrCache>
            </c:multiLvlStrRef>
          </c:cat>
          <c:val>
            <c:numRef>
              <c:f>'13.Caudales'!$W$4:$W$212</c:f>
              <c:numCache>
                <c:formatCode>0.0</c:formatCode>
                <c:ptCount val="209"/>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pt idx="188">
                  <c:v>1.7564285823277028</c:v>
                </c:pt>
                <c:pt idx="189">
                  <c:v>1.7424285411428571</c:v>
                </c:pt>
                <c:pt idx="190">
                  <c:v>1.731428572</c:v>
                </c:pt>
                <c:pt idx="191">
                  <c:v>1.7037142855780412</c:v>
                </c:pt>
                <c:pt idx="192">
                  <c:v>1.4800000019999999</c:v>
                </c:pt>
                <c:pt idx="193">
                  <c:v>1.63901983647542</c:v>
                </c:pt>
                <c:pt idx="194">
                  <c:v>1.5090000288827028</c:v>
                </c:pt>
                <c:pt idx="195">
                  <c:v>1.4841428652857143</c:v>
                </c:pt>
                <c:pt idx="196">
                  <c:v>1.3278571452413228</c:v>
                </c:pt>
                <c:pt idx="197">
                  <c:v>1.3502551701649099</c:v>
                </c:pt>
                <c:pt idx="198">
                  <c:v>1.3397142717142856</c:v>
                </c:pt>
                <c:pt idx="199">
                  <c:v>1.3554285253797185</c:v>
                </c:pt>
                <c:pt idx="200">
                  <c:v>1.3972857167142858</c:v>
                </c:pt>
                <c:pt idx="201">
                  <c:v>1.3508571045739299</c:v>
                </c:pt>
                <c:pt idx="202">
                  <c:v>1.3508571042857143</c:v>
                </c:pt>
                <c:pt idx="203">
                  <c:v>1.3509999513626101</c:v>
                </c:pt>
                <c:pt idx="204">
                  <c:v>1.3509999513626101</c:v>
                </c:pt>
                <c:pt idx="205">
                  <c:v>1.3818571054285713</c:v>
                </c:pt>
                <c:pt idx="206">
                  <c:v>2.3402857100000003</c:v>
                </c:pt>
                <c:pt idx="207">
                  <c:v>2.1075714314285716</c:v>
                </c:pt>
                <c:pt idx="208">
                  <c:v>1.4207143104285713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'13.Caudales'!$Y$4:$Y$212</c:f>
              <c:numCache>
                <c:formatCode>0.0</c:formatCode>
                <c:ptCount val="209"/>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pt idx="188">
                  <c:v>6.8281428813934264</c:v>
                </c:pt>
                <c:pt idx="189">
                  <c:v>5.7674285684285715</c:v>
                </c:pt>
                <c:pt idx="190">
                  <c:v>2.1432857171428572</c:v>
                </c:pt>
                <c:pt idx="191">
                  <c:v>7.1627143110547582</c:v>
                </c:pt>
                <c:pt idx="192">
                  <c:v>5.1081428868571424</c:v>
                </c:pt>
                <c:pt idx="193">
                  <c:v>5.8057857581702397</c:v>
                </c:pt>
                <c:pt idx="194">
                  <c:v>6.7047142982482857</c:v>
                </c:pt>
                <c:pt idx="195">
                  <c:v>3.8321428128571426</c:v>
                </c:pt>
                <c:pt idx="196">
                  <c:v>6.02885715450559</c:v>
                </c:pt>
                <c:pt idx="197">
                  <c:v>6.1968265237028799</c:v>
                </c:pt>
                <c:pt idx="198">
                  <c:v>9.5699999659999992</c:v>
                </c:pt>
                <c:pt idx="199">
                  <c:v>9.7359999247959532</c:v>
                </c:pt>
                <c:pt idx="200">
                  <c:v>9.787285668857141</c:v>
                </c:pt>
                <c:pt idx="201">
                  <c:v>8.3278572218758669</c:v>
                </c:pt>
                <c:pt idx="202">
                  <c:v>8.9714284620000004</c:v>
                </c:pt>
                <c:pt idx="203">
                  <c:v>7.719999926430833</c:v>
                </c:pt>
                <c:pt idx="204">
                  <c:v>9.8602855546133554</c:v>
                </c:pt>
                <c:pt idx="205">
                  <c:v>10.514714377142857</c:v>
                </c:pt>
                <c:pt idx="206">
                  <c:v>13.792428560000001</c:v>
                </c:pt>
                <c:pt idx="207">
                  <c:v>17.965714182857145</c:v>
                </c:pt>
                <c:pt idx="208">
                  <c:v>13.465142795714286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'13.Caudales'!$X$4:$X$212</c:f>
              <c:numCache>
                <c:formatCode>0.0</c:formatCode>
                <c:ptCount val="209"/>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pt idx="188">
                  <c:v>36.164285932268385</c:v>
                </c:pt>
                <c:pt idx="189">
                  <c:v>35.879999975714291</c:v>
                </c:pt>
                <c:pt idx="190">
                  <c:v>38.545714242857137</c:v>
                </c:pt>
                <c:pt idx="191">
                  <c:v>40.62499999999995</c:v>
                </c:pt>
                <c:pt idx="192">
                  <c:v>39.675715311428569</c:v>
                </c:pt>
                <c:pt idx="193">
                  <c:v>42.048215323571398</c:v>
                </c:pt>
                <c:pt idx="194">
                  <c:v>43.403571537562748</c:v>
                </c:pt>
                <c:pt idx="195">
                  <c:v>39.662857054285716</c:v>
                </c:pt>
                <c:pt idx="196">
                  <c:v>38.878571646554072</c:v>
                </c:pt>
                <c:pt idx="197">
                  <c:v>39.9741191131004</c:v>
                </c:pt>
                <c:pt idx="198">
                  <c:v>40.656428200000001</c:v>
                </c:pt>
                <c:pt idx="199">
                  <c:v>41.783572060721227</c:v>
                </c:pt>
                <c:pt idx="200">
                  <c:v>40.991428375714285</c:v>
                </c:pt>
                <c:pt idx="201">
                  <c:v>40.139285496302975</c:v>
                </c:pt>
                <c:pt idx="202">
                  <c:v>39.383571627142864</c:v>
                </c:pt>
                <c:pt idx="203">
                  <c:v>41.750000544956698</c:v>
                </c:pt>
                <c:pt idx="204">
                  <c:v>40.275714329310787</c:v>
                </c:pt>
                <c:pt idx="205">
                  <c:v>41.965714589999997</c:v>
                </c:pt>
                <c:pt idx="206">
                  <c:v>44.681428635714283</c:v>
                </c:pt>
                <c:pt idx="207">
                  <c:v>58.199286324285715</c:v>
                </c:pt>
                <c:pt idx="208">
                  <c:v>49.959429059999998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96.852659608983174</c:v>
                </c:pt>
                <c:pt idx="1">
                  <c:v>95.033385428101923</c:v>
                </c:pt>
                <c:pt idx="2">
                  <c:v>92.999882365908093</c:v>
                </c:pt>
                <c:pt idx="3">
                  <c:v>92.092265070124483</c:v>
                </c:pt>
                <c:pt idx="4">
                  <c:v>93.482551256826184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86.93351083044827</c:v>
                </c:pt>
                <c:pt idx="1">
                  <c:v>86.295149352410604</c:v>
                </c:pt>
                <c:pt idx="2">
                  <c:v>86.580315322756746</c:v>
                </c:pt>
                <c:pt idx="3">
                  <c:v>84.924638389313415</c:v>
                </c:pt>
                <c:pt idx="4">
                  <c:v>87.644535663668862</c:v>
                </c:pt>
                <c:pt idx="5">
                  <c:v>85.976734590686874</c:v>
                </c:pt>
                <c:pt idx="6">
                  <c:v>86.296516222801728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95.210401346373516</c:v>
                </c:pt>
                <c:pt idx="1">
                  <c:v>92.195337831974797</c:v>
                </c:pt>
                <c:pt idx="2">
                  <c:v>92.238921513820785</c:v>
                </c:pt>
                <c:pt idx="3">
                  <c:v>94.133255697763602</c:v>
                </c:pt>
                <c:pt idx="4">
                  <c:v>90.883276601292195</c:v>
                </c:pt>
                <c:pt idx="5">
                  <c:v>89.683551680107513</c:v>
                </c:pt>
                <c:pt idx="6">
                  <c:v>87.377962189136184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813967075988797"/>
        </c:manualLayout>
      </c:layout>
      <c:barChart>
        <c:barDir val="col"/>
        <c:grouping val="clustered"/>
        <c:varyColors val="0"/>
        <c:ser>
          <c:idx val="0"/>
          <c:order val="0"/>
          <c:tx>
            <c:strRef>
              <c:f>'16. Congestiones'!$D$6</c:f>
              <c:strCache>
                <c:ptCount val="1"/>
                <c:pt idx="0">
                  <c:v>DICIEMBE
 2022</c:v>
                </c:pt>
              </c:strCache>
            </c:strRef>
          </c:tx>
          <c:spPr>
            <a:solidFill>
              <a:schemeClr val="accent1"/>
            </a:solidFill>
            <a:ln>
              <a:noFill/>
            </a:ln>
            <a:effectLst/>
          </c:spPr>
          <c:invertIfNegative val="0"/>
          <c:cat>
            <c:strRef>
              <c:f>'16. Congestiones'!$C$7:$C$15</c:f>
              <c:strCache>
                <c:ptCount val="9"/>
                <c:pt idx="0">
                  <c:v>PACHACHACA - CALLAHUANCA (REP)</c:v>
                </c:pt>
                <c:pt idx="1">
                  <c:v>CHIMBOTE 1</c:v>
                </c:pt>
                <c:pt idx="2">
                  <c:v>TINGO MARÍA - AUCAYACU</c:v>
                </c:pt>
                <c:pt idx="3">
                  <c:v>INDEPENDENCIA</c:v>
                </c:pt>
                <c:pt idx="4">
                  <c:v>MARCONA - SAN NICOLÁS</c:v>
                </c:pt>
                <c:pt idx="5">
                  <c:v>MARCONA</c:v>
                </c:pt>
                <c:pt idx="6">
                  <c:v>HUACHO - PARAMONGA NUEVA</c:v>
                </c:pt>
                <c:pt idx="7">
                  <c:v>CHILCA - ASIA</c:v>
                </c:pt>
                <c:pt idx="8">
                  <c:v>ENLACE CENTRO - SUR</c:v>
                </c:pt>
              </c:strCache>
            </c:strRef>
          </c:cat>
          <c:val>
            <c:numRef>
              <c:f>'16. Congestiones'!$D$7:$D$15</c:f>
              <c:numCache>
                <c:formatCode>#,##0.00</c:formatCode>
                <c:ptCount val="9"/>
                <c:pt idx="6">
                  <c:v>10.816666666666666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DICIEMBE
 2021</c:v>
                </c:pt>
              </c:strCache>
            </c:strRef>
          </c:tx>
          <c:spPr>
            <a:solidFill>
              <a:schemeClr val="accent2"/>
            </a:solidFill>
            <a:ln>
              <a:noFill/>
            </a:ln>
            <a:effectLst/>
          </c:spPr>
          <c:invertIfNegative val="0"/>
          <c:cat>
            <c:strRef>
              <c:f>'16. Congestiones'!$C$7:$C$15</c:f>
              <c:strCache>
                <c:ptCount val="9"/>
                <c:pt idx="0">
                  <c:v>PACHACHACA - CALLAHUANCA (REP)</c:v>
                </c:pt>
                <c:pt idx="1">
                  <c:v>CHIMBOTE 1</c:v>
                </c:pt>
                <c:pt idx="2">
                  <c:v>TINGO MARÍA - AUCAYACU</c:v>
                </c:pt>
                <c:pt idx="3">
                  <c:v>INDEPENDENCIA</c:v>
                </c:pt>
                <c:pt idx="4">
                  <c:v>MARCONA - SAN NICOLÁS</c:v>
                </c:pt>
                <c:pt idx="5">
                  <c:v>MARCONA</c:v>
                </c:pt>
                <c:pt idx="6">
                  <c:v>HUACHO - PARAMONGA NUEVA</c:v>
                </c:pt>
                <c:pt idx="7">
                  <c:v>CHILCA - ASIA</c:v>
                </c:pt>
                <c:pt idx="8">
                  <c:v>ENLACE CENTRO - SUR</c:v>
                </c:pt>
              </c:strCache>
            </c:strRef>
          </c:cat>
          <c:val>
            <c:numRef>
              <c:f>'16. Congestiones'!$E$7:$E$15</c:f>
              <c:numCache>
                <c:formatCode>#,##0.00</c:formatCode>
                <c:ptCount val="9"/>
                <c:pt idx="0">
                  <c:v>19.716666666666669</c:v>
                </c:pt>
                <c:pt idx="1">
                  <c:v>5.1999999999999993</c:v>
                </c:pt>
                <c:pt idx="2">
                  <c:v>8.1333333333333329</c:v>
                </c:pt>
                <c:pt idx="3">
                  <c:v>135.63333333333335</c:v>
                </c:pt>
                <c:pt idx="7">
                  <c:v>1.1666666666666665</c:v>
                </c:pt>
                <c:pt idx="8">
                  <c:v>2.9333333333333336</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DICIEMBE
 2020</c:v>
                </c:pt>
              </c:strCache>
            </c:strRef>
          </c:tx>
          <c:spPr>
            <a:solidFill>
              <a:schemeClr val="accent6"/>
            </a:solidFill>
            <a:ln>
              <a:noFill/>
            </a:ln>
            <a:effectLst/>
          </c:spPr>
          <c:invertIfNegative val="0"/>
          <c:val>
            <c:numRef>
              <c:f>'16. Congestiones'!$F$7:$F$15</c:f>
              <c:numCache>
                <c:formatCode>#,##0.00</c:formatCode>
                <c:ptCount val="9"/>
                <c:pt idx="3">
                  <c:v>121.31666666666668</c:v>
                </c:pt>
                <c:pt idx="4">
                  <c:v>28.216666666666669</c:v>
                </c:pt>
                <c:pt idx="5">
                  <c:v>9.6666666666666661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993250538400247E-4"/>
                  <c:y val="3.910864562192739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3.0406017014331845E-2"/>
                  <c:y val="-8.1651281390333452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9317685549656403"/>
                  <c:y val="0.5947542931497633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19</c:v>
                </c:pt>
                <c:pt idx="1">
                  <c:v>7</c:v>
                </c:pt>
                <c:pt idx="2">
                  <c:v>1</c:v>
                </c:pt>
                <c:pt idx="3">
                  <c:v>2</c:v>
                </c:pt>
                <c:pt idx="4">
                  <c:v>13</c:v>
                </c:pt>
                <c:pt idx="5">
                  <c:v>4</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Eventos'!$J$7:$J$12</c:f>
              <c:numCache>
                <c:formatCode>#,##0.00</c:formatCode>
                <c:ptCount val="6"/>
                <c:pt idx="0">
                  <c:v>225.01000000000002</c:v>
                </c:pt>
                <c:pt idx="1">
                  <c:v>2.27</c:v>
                </c:pt>
                <c:pt idx="2">
                  <c:v>75.08</c:v>
                </c:pt>
                <c:pt idx="3">
                  <c:v>1.4</c:v>
                </c:pt>
                <c:pt idx="4">
                  <c:v>11.5</c:v>
                </c:pt>
                <c:pt idx="5">
                  <c:v>14.850000000000001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Eventos'!$B$7:$B$12</c:f>
              <c:numCache>
                <c:formatCode>General</c:formatCode>
                <c:ptCount val="6"/>
                <c:pt idx="0">
                  <c:v>18</c:v>
                </c:pt>
                <c:pt idx="3">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Eventos'!$C$7:$C$12</c:f>
              <c:numCache>
                <c:formatCode>General</c:formatCode>
                <c:ptCount val="6"/>
                <c:pt idx="0">
                  <c:v>6</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Eventos'!$D$7:$D$12</c:f>
              <c:numCache>
                <c:formatCode>General</c:formatCode>
                <c:ptCount val="6"/>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Eventos'!$E$7:$E$12</c:f>
              <c:numCache>
                <c:formatCode>General</c:formatCode>
                <c:ptCount val="6"/>
                <c:pt idx="4">
                  <c:v>2</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Eventos'!$F$7:$F$12</c:f>
              <c:numCache>
                <c:formatCode>General</c:formatCode>
                <c:ptCount val="6"/>
                <c:pt idx="0">
                  <c:v>13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Eventos'!$G$7:$G$12</c:f>
              <c:numCache>
                <c:formatCode>General</c:formatCode>
                <c:ptCount val="6"/>
                <c:pt idx="0">
                  <c:v>1</c:v>
                </c:pt>
                <c:pt idx="2">
                  <c:v>1</c:v>
                </c:pt>
                <c:pt idx="3">
                  <c:v>1</c:v>
                </c:pt>
                <c:pt idx="5">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BARRA</c:v>
                </c:pt>
                <c:pt idx="2">
                  <c:v>TRANSFORMADOR 2D</c:v>
                </c:pt>
                <c:pt idx="3">
                  <c:v>TRANSFORMADOR 3D</c:v>
                </c:pt>
                <c:pt idx="4">
                  <c:v>CENTRAL TERMOELÉCTRICA</c:v>
                </c:pt>
                <c:pt idx="5">
                  <c:v>SUBESTACION</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32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generación'!$B$20:$C$20</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generación'!$D$19:$E$19</c:f>
              <c:strCache>
                <c:ptCount val="2"/>
                <c:pt idx="0">
                  <c:v>DICIEMBE 2022</c:v>
                </c:pt>
                <c:pt idx="1">
                  <c:v>DICIEMBE 2021</c:v>
                </c:pt>
              </c:strCache>
            </c:strRef>
          </c:cat>
          <c:val>
            <c:numRef>
              <c:f>'2. Oferta de generación'!$D$20:$E$20</c:f>
              <c:numCache>
                <c:formatCode>#,##0.0</c:formatCode>
                <c:ptCount val="2"/>
                <c:pt idx="0">
                  <c:v>5260.9382475000002</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generación'!$B$21:$C$21</c:f>
              <c:strCache>
                <c:ptCount val="2"/>
                <c:pt idx="0">
                  <c:v>TERMOELÉCTRICA</c:v>
                </c:pt>
              </c:strCache>
            </c:strRef>
          </c:tx>
          <c:spPr>
            <a:solidFill>
              <a:schemeClr val="accent2"/>
            </a:solidFill>
          </c:spPr>
          <c:invertIfNegative val="0"/>
          <c:cat>
            <c:strRef>
              <c:f>'2. Oferta de generación'!$D$19:$E$19</c:f>
              <c:strCache>
                <c:ptCount val="2"/>
                <c:pt idx="0">
                  <c:v>DICIEMBE 2022</c:v>
                </c:pt>
                <c:pt idx="1">
                  <c:v>DICIEMBE 2021</c:v>
                </c:pt>
              </c:strCache>
            </c:strRef>
          </c:cat>
          <c:val>
            <c:numRef>
              <c:f>'2. Oferta de generación'!$D$21:$E$21</c:f>
              <c:numCache>
                <c:formatCode>#,##0.0</c:formatCode>
                <c:ptCount val="2"/>
                <c:pt idx="0">
                  <c:v>7464.3849300000002</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generación'!$B$22:$C$22</c:f>
              <c:strCache>
                <c:ptCount val="2"/>
                <c:pt idx="0">
                  <c:v>EÓLICA</c:v>
                </c:pt>
              </c:strCache>
            </c:strRef>
          </c:tx>
          <c:spPr>
            <a:solidFill>
              <a:srgbClr val="6DA6D9"/>
            </a:solidFill>
          </c:spPr>
          <c:invertIfNegative val="0"/>
          <c:cat>
            <c:strRef>
              <c:f>'2. Oferta de generación'!$D$19:$E$19</c:f>
              <c:strCache>
                <c:ptCount val="2"/>
                <c:pt idx="0">
                  <c:v>DICIEMBE 2022</c:v>
                </c:pt>
                <c:pt idx="1">
                  <c:v>DICIEMBE 2021</c:v>
                </c:pt>
              </c:strCache>
            </c:strRef>
          </c:cat>
          <c:val>
            <c:numRef>
              <c:f>'2. Oferta de generación'!$D$22:$E$22</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generación'!$B$23:$C$23</c:f>
              <c:strCache>
                <c:ptCount val="2"/>
                <c:pt idx="0">
                  <c:v>SOLAR</c:v>
                </c:pt>
              </c:strCache>
            </c:strRef>
          </c:tx>
          <c:invertIfNegative val="0"/>
          <c:cat>
            <c:strRef>
              <c:f>'2. Oferta de generación'!$D$19:$E$19</c:f>
              <c:strCache>
                <c:ptCount val="2"/>
                <c:pt idx="0">
                  <c:v>DICIEMBE 2022</c:v>
                </c:pt>
                <c:pt idx="1">
                  <c:v>DICIEMBE 2021</c:v>
                </c:pt>
              </c:strCache>
            </c:strRef>
          </c:cat>
          <c:val>
            <c:numRef>
              <c:f>'2. Oferta de generación'!$D$23:$E$23</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29317.562410899998</c:v>
                </c:pt>
                <c:pt idx="1">
                  <c:v>17288.021226845005</c:v>
                </c:pt>
                <c:pt idx="2">
                  <c:v>1803.1959296025</c:v>
                </c:pt>
                <c:pt idx="3">
                  <c:v>777.86027249749998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30664.412630418999</c:v>
                </c:pt>
                <c:pt idx="1">
                  <c:v>20723.380587247499</c:v>
                </c:pt>
                <c:pt idx="2">
                  <c:v>1800.6359014000002</c:v>
                </c:pt>
                <c:pt idx="3">
                  <c:v>801.91851950750004</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28486.350165722495</c:v>
                </c:pt>
                <c:pt idx="1">
                  <c:v>24846.5571019175</c:v>
                </c:pt>
                <c:pt idx="2">
                  <c:v>1930.1016319949999</c:v>
                </c:pt>
                <c:pt idx="3">
                  <c:v>821.18880002250012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28486.350165722495</c:v>
                </c:pt>
                <c:pt idx="1">
                  <c:v>23118.795134097501</c:v>
                </c:pt>
                <c:pt idx="2">
                  <c:v>683.84089675000007</c:v>
                </c:pt>
                <c:pt idx="3">
                  <c:v>306.47811698249996</c:v>
                </c:pt>
                <c:pt idx="4">
                  <c:v>0</c:v>
                </c:pt>
                <c:pt idx="5">
                  <c:v>89.693382032500011</c:v>
                </c:pt>
                <c:pt idx="6">
                  <c:v>10.011497729999999</c:v>
                </c:pt>
                <c:pt idx="7">
                  <c:v>0</c:v>
                </c:pt>
                <c:pt idx="8">
                  <c:v>283.72731350999999</c:v>
                </c:pt>
                <c:pt idx="9">
                  <c:v>275.32209693999999</c:v>
                </c:pt>
                <c:pt idx="10">
                  <c:v>78.688663875000003</c:v>
                </c:pt>
                <c:pt idx="11">
                  <c:v>821.18880002250012</c:v>
                </c:pt>
                <c:pt idx="12">
                  <c:v>1930.1016319949999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30664.412630418999</c:v>
                </c:pt>
                <c:pt idx="1">
                  <c:v>19366.858032284999</c:v>
                </c:pt>
                <c:pt idx="2">
                  <c:v>724.35646725999993</c:v>
                </c:pt>
                <c:pt idx="3">
                  <c:v>218.93550600749995</c:v>
                </c:pt>
                <c:pt idx="4">
                  <c:v>0</c:v>
                </c:pt>
                <c:pt idx="5">
                  <c:v>28.600194885000001</c:v>
                </c:pt>
                <c:pt idx="6">
                  <c:v>7.6434154775000005</c:v>
                </c:pt>
                <c:pt idx="7">
                  <c:v>0</c:v>
                </c:pt>
                <c:pt idx="8">
                  <c:v>21.294846657500003</c:v>
                </c:pt>
                <c:pt idx="9">
                  <c:v>276.82038679249996</c:v>
                </c:pt>
                <c:pt idx="10">
                  <c:v>78.8717378825</c:v>
                </c:pt>
                <c:pt idx="11">
                  <c:v>801.91851950750004</c:v>
                </c:pt>
                <c:pt idx="12">
                  <c:v>1800.6359014000002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29317.562410899998</c:v>
                </c:pt>
                <c:pt idx="1">
                  <c:v>16221.763358342501</c:v>
                </c:pt>
                <c:pt idx="2">
                  <c:v>622.39824454250004</c:v>
                </c:pt>
                <c:pt idx="3">
                  <c:v>73.956694942500008</c:v>
                </c:pt>
                <c:pt idx="4">
                  <c:v>0</c:v>
                </c:pt>
                <c:pt idx="5">
                  <c:v>13.023314237500001</c:v>
                </c:pt>
                <c:pt idx="6">
                  <c:v>8.6585097225000016</c:v>
                </c:pt>
                <c:pt idx="7">
                  <c:v>0</c:v>
                </c:pt>
                <c:pt idx="8">
                  <c:v>43.784422135</c:v>
                </c:pt>
                <c:pt idx="9">
                  <c:v>244.06263210500001</c:v>
                </c:pt>
                <c:pt idx="10">
                  <c:v>60.374050817499999</c:v>
                </c:pt>
                <c:pt idx="11">
                  <c:v>777.86027249749998</c:v>
                </c:pt>
                <c:pt idx="12">
                  <c:v>1803.1959296025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2085.0540282825</c:v>
                </c:pt>
                <c:pt idx="1">
                  <c:v>1803.1959296025</c:v>
                </c:pt>
                <c:pt idx="2">
                  <c:v>777.86027249749998</c:v>
                </c:pt>
                <c:pt idx="3">
                  <c:v>244.06263210500001</c:v>
                </c:pt>
                <c:pt idx="4">
                  <c:v>60.374050817499999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2319.2021281764951</c:v>
                </c:pt>
                <c:pt idx="1">
                  <c:v>1800.6359014000002</c:v>
                </c:pt>
                <c:pt idx="2">
                  <c:v>801.91851950750004</c:v>
                </c:pt>
                <c:pt idx="3">
                  <c:v>276.82038679249996</c:v>
                </c:pt>
                <c:pt idx="4">
                  <c:v>78.8717378825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2009.0525463025001</c:v>
                </c:pt>
                <c:pt idx="1">
                  <c:v>1930.1016319949999</c:v>
                </c:pt>
                <c:pt idx="2">
                  <c:v>821.18880002250012</c:v>
                </c:pt>
                <c:pt idx="3">
                  <c:v>275.32209693999999</c:v>
                </c:pt>
                <c:pt idx="4">
                  <c:v>78.688663875000003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8698210656363828E-2"/>
                  <c:y val="-0.1576314741211901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711461815748E-2"/>
                  <c:y val="0.14209132480771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8,095%</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4606.9798841900001</c:v>
                </c:pt>
                <c:pt idx="1">
                  <c:v>163.33989009999999</c:v>
                </c:pt>
                <c:pt idx="2">
                  <c:v>136.49075921249997</c:v>
                </c:pt>
                <c:pt idx="3">
                  <c:v>72.756407109999998</c:v>
                </c:pt>
                <c:pt idx="4">
                  <c:v>25.9735237975</c:v>
                </c:pt>
                <c:pt idx="5">
                  <c:v>7.2450802000000012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YARUCAYA</c:v>
                </c:pt>
                <c:pt idx="2">
                  <c:v>C.H. CHANCAY</c:v>
                </c:pt>
                <c:pt idx="3">
                  <c:v>C.H. ÁNGEL II</c:v>
                </c:pt>
                <c:pt idx="4">
                  <c:v>C.H. ÁNGEL III</c:v>
                </c:pt>
                <c:pt idx="5">
                  <c:v>C.H. CARHUAC</c:v>
                </c:pt>
                <c:pt idx="6">
                  <c:v>C.H. RUCUY</c:v>
                </c:pt>
                <c:pt idx="7">
                  <c:v>C.H. 8 DE AGOSTO</c:v>
                </c:pt>
                <c:pt idx="8">
                  <c:v>C.H. ÁNGEL I</c:v>
                </c:pt>
                <c:pt idx="9">
                  <c:v>C.H. RUNATULLO III</c:v>
                </c:pt>
                <c:pt idx="10">
                  <c:v>C.H. MANTA I</c:v>
                </c:pt>
                <c:pt idx="11">
                  <c:v>C.H. RUNATULLO II</c:v>
                </c:pt>
                <c:pt idx="12">
                  <c:v>C.H. CARHUAQUERO IV</c:v>
                </c:pt>
                <c:pt idx="13">
                  <c:v>C.H. POTRERO</c:v>
                </c:pt>
                <c:pt idx="14">
                  <c:v>C.H. LAS PIZARRAS</c:v>
                </c:pt>
                <c:pt idx="15">
                  <c:v>C.H. LA JOYA</c:v>
                </c:pt>
                <c:pt idx="16">
                  <c:v>C.H. SANTA CRUZ II</c:v>
                </c:pt>
                <c:pt idx="17">
                  <c:v>C.H. EL CARMEN</c:v>
                </c:pt>
                <c:pt idx="18">
                  <c:v>C.H. SANTA CRUZ I</c:v>
                </c:pt>
                <c:pt idx="19">
                  <c:v>C.H. HUASAHUASI II</c:v>
                </c:pt>
                <c:pt idx="20">
                  <c:v>C.H. HUASAHUASI I</c:v>
                </c:pt>
                <c:pt idx="21">
                  <c:v>C.H. YANAPAMPA</c:v>
                </c:pt>
                <c:pt idx="22">
                  <c:v>C.H. CAÑA BRAVA</c:v>
                </c:pt>
                <c:pt idx="23">
                  <c:v>C.H. CANCHAYLLO</c:v>
                </c:pt>
                <c:pt idx="24">
                  <c:v>C.H. IMPERIAL</c:v>
                </c:pt>
                <c:pt idx="25">
                  <c:v>C.H. RONCADOR</c:v>
                </c:pt>
                <c:pt idx="26">
                  <c:v>C.H. POECHOS II</c:v>
                </c:pt>
                <c:pt idx="27">
                  <c:v>C.H. PURMACANA</c:v>
                </c:pt>
                <c:pt idx="28">
                  <c:v>C.H. HER 1</c:v>
                </c:pt>
              </c:strCache>
            </c:strRef>
          </c:cat>
          <c:val>
            <c:numRef>
              <c:f>'6. FP RER'!$P$6:$P$34</c:f>
              <c:numCache>
                <c:formatCode>0.00</c:formatCode>
                <c:ptCount val="29"/>
                <c:pt idx="0">
                  <c:v>12.58767776</c:v>
                </c:pt>
                <c:pt idx="1">
                  <c:v>12.07936454</c:v>
                </c:pt>
                <c:pt idx="2">
                  <c:v>11.4255292075</c:v>
                </c:pt>
                <c:pt idx="3">
                  <c:v>10.146411990000001</c:v>
                </c:pt>
                <c:pt idx="4">
                  <c:v>10.1257498025</c:v>
                </c:pt>
                <c:pt idx="5">
                  <c:v>10.09599502</c:v>
                </c:pt>
                <c:pt idx="6">
                  <c:v>9.3994577499999998</c:v>
                </c:pt>
                <c:pt idx="7">
                  <c:v>9.3903316674999999</c:v>
                </c:pt>
                <c:pt idx="8">
                  <c:v>8.9113478374999993</c:v>
                </c:pt>
                <c:pt idx="9">
                  <c:v>8.8328842124999998</c:v>
                </c:pt>
                <c:pt idx="10">
                  <c:v>7.0693463424999994</c:v>
                </c:pt>
                <c:pt idx="11">
                  <c:v>6.7589539299999997</c:v>
                </c:pt>
                <c:pt idx="12">
                  <c:v>6.4229840075000002</c:v>
                </c:pt>
                <c:pt idx="13">
                  <c:v>6.2311070675</c:v>
                </c:pt>
                <c:pt idx="14">
                  <c:v>4.6178374399999997</c:v>
                </c:pt>
                <c:pt idx="15">
                  <c:v>4.0363346724999998</c:v>
                </c:pt>
                <c:pt idx="16">
                  <c:v>3.3261959874999998</c:v>
                </c:pt>
                <c:pt idx="17">
                  <c:v>3.1439067725000003</c:v>
                </c:pt>
                <c:pt idx="18">
                  <c:v>2.8671766725000003</c:v>
                </c:pt>
                <c:pt idx="19">
                  <c:v>2.3670747700000003</c:v>
                </c:pt>
                <c:pt idx="20">
                  <c:v>2.1698383250000002</c:v>
                </c:pt>
                <c:pt idx="21">
                  <c:v>2.119232625</c:v>
                </c:pt>
                <c:pt idx="22">
                  <c:v>2.0438209824999998</c:v>
                </c:pt>
                <c:pt idx="23">
                  <c:v>2.0403903475000003</c:v>
                </c:pt>
                <c:pt idx="24">
                  <c:v>1.9330000000000001</c:v>
                </c:pt>
                <c:pt idx="25">
                  <c:v>1.42313775</c:v>
                </c:pt>
                <c:pt idx="26">
                  <c:v>1.2012729950000001</c:v>
                </c:pt>
                <c:pt idx="27">
                  <c:v>0.324080125</c:v>
                </c:pt>
                <c:pt idx="28">
                  <c:v>0.24944949999999999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YARUCAYA</c:v>
                </c:pt>
                <c:pt idx="2">
                  <c:v>C.H. CHANCAY</c:v>
                </c:pt>
                <c:pt idx="3">
                  <c:v>C.H. ÁNGEL II</c:v>
                </c:pt>
                <c:pt idx="4">
                  <c:v>C.H. ÁNGEL III</c:v>
                </c:pt>
                <c:pt idx="5">
                  <c:v>C.H. CARHUAC</c:v>
                </c:pt>
                <c:pt idx="6">
                  <c:v>C.H. RUCUY</c:v>
                </c:pt>
                <c:pt idx="7">
                  <c:v>C.H. 8 DE AGOSTO</c:v>
                </c:pt>
                <c:pt idx="8">
                  <c:v>C.H. ÁNGEL I</c:v>
                </c:pt>
                <c:pt idx="9">
                  <c:v>C.H. RUNATULLO III</c:v>
                </c:pt>
                <c:pt idx="10">
                  <c:v>C.H. MANTA I</c:v>
                </c:pt>
                <c:pt idx="11">
                  <c:v>C.H. RUNATULLO II</c:v>
                </c:pt>
                <c:pt idx="12">
                  <c:v>C.H. CARHUAQUERO IV</c:v>
                </c:pt>
                <c:pt idx="13">
                  <c:v>C.H. POTRERO</c:v>
                </c:pt>
                <c:pt idx="14">
                  <c:v>C.H. LAS PIZARRAS</c:v>
                </c:pt>
                <c:pt idx="15">
                  <c:v>C.H. LA JOYA</c:v>
                </c:pt>
                <c:pt idx="16">
                  <c:v>C.H. SANTA CRUZ II</c:v>
                </c:pt>
                <c:pt idx="17">
                  <c:v>C.H. EL CARMEN</c:v>
                </c:pt>
                <c:pt idx="18">
                  <c:v>C.H. SANTA CRUZ I</c:v>
                </c:pt>
                <c:pt idx="19">
                  <c:v>C.H. HUASAHUASI II</c:v>
                </c:pt>
                <c:pt idx="20">
                  <c:v>C.H. HUASAHUASI I</c:v>
                </c:pt>
                <c:pt idx="21">
                  <c:v>C.H. YANAPAMPA</c:v>
                </c:pt>
                <c:pt idx="22">
                  <c:v>C.H. CAÑA BRAVA</c:v>
                </c:pt>
                <c:pt idx="23">
                  <c:v>C.H. CANCHAYLLO</c:v>
                </c:pt>
                <c:pt idx="24">
                  <c:v>C.H. IMPERIAL</c:v>
                </c:pt>
                <c:pt idx="25">
                  <c:v>C.H. RONCADOR</c:v>
                </c:pt>
                <c:pt idx="26">
                  <c:v>C.H. POECHOS II</c:v>
                </c:pt>
                <c:pt idx="27">
                  <c:v>C.H. PURMACANA</c:v>
                </c:pt>
                <c:pt idx="28">
                  <c:v>C.H. HER 1</c:v>
                </c:pt>
              </c:strCache>
            </c:strRef>
          </c:cat>
          <c:val>
            <c:numRef>
              <c:f>'6. FP RER'!$Q$6:$Q$34</c:f>
              <c:numCache>
                <c:formatCode>0.00</c:formatCode>
                <c:ptCount val="29"/>
                <c:pt idx="0">
                  <c:v>0.81099231715224374</c:v>
                </c:pt>
                <c:pt idx="1">
                  <c:v>0.89462778415702671</c:v>
                </c:pt>
                <c:pt idx="2">
                  <c:v>0.75664633898808387</c:v>
                </c:pt>
                <c:pt idx="3">
                  <c:v>0.6823202346401992</c:v>
                </c:pt>
                <c:pt idx="4">
                  <c:v>0.67764579307177308</c:v>
                </c:pt>
                <c:pt idx="5">
                  <c:v>0.66630196251737051</c:v>
                </c:pt>
                <c:pt idx="6">
                  <c:v>0.623269845658874</c:v>
                </c:pt>
                <c:pt idx="7">
                  <c:v>0.61328539997988452</c:v>
                </c:pt>
                <c:pt idx="8">
                  <c:v>0.59736091820143211</c:v>
                </c:pt>
                <c:pt idx="9">
                  <c:v>0.59461866170473665</c:v>
                </c:pt>
                <c:pt idx="10">
                  <c:v>0.45762389132271503</c:v>
                </c:pt>
                <c:pt idx="11">
                  <c:v>0.45498149433123797</c:v>
                </c:pt>
                <c:pt idx="12">
                  <c:v>0.86477441859494464</c:v>
                </c:pt>
                <c:pt idx="13">
                  <c:v>0.4145700380125783</c:v>
                </c:pt>
                <c:pt idx="14">
                  <c:v>0.32327772872669452</c:v>
                </c:pt>
                <c:pt idx="15">
                  <c:v>0.59749544998163306</c:v>
                </c:pt>
                <c:pt idx="16">
                  <c:v>0.68758743949338985</c:v>
                </c:pt>
                <c:pt idx="17">
                  <c:v>0.49250363005050507</c:v>
                </c:pt>
                <c:pt idx="18">
                  <c:v>0.58073117641554373</c:v>
                </c:pt>
                <c:pt idx="19">
                  <c:v>0.31929413319461059</c:v>
                </c:pt>
                <c:pt idx="20">
                  <c:v>0.29608622959991271</c:v>
                </c:pt>
                <c:pt idx="21">
                  <c:v>0.7273437705283029</c:v>
                </c:pt>
                <c:pt idx="22">
                  <c:v>0.48449227743168155</c:v>
                </c:pt>
                <c:pt idx="23">
                  <c:v>0.52851419242421427</c:v>
                </c:pt>
                <c:pt idx="24">
                  <c:v>0.65394368979861373</c:v>
                </c:pt>
                <c:pt idx="25">
                  <c:v>0.57776019223789554</c:v>
                </c:pt>
                <c:pt idx="26">
                  <c:v>0.16878676987156574</c:v>
                </c:pt>
                <c:pt idx="27">
                  <c:v>0.24623604627485307</c:v>
                </c:pt>
                <c:pt idx="28">
                  <c:v>0.49404707043542101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43.255226</c:v>
                </c:pt>
                <c:pt idx="1">
                  <c:v>33.827551360000001</c:v>
                </c:pt>
                <c:pt idx="2">
                  <c:v>27.486544249999998</c:v>
                </c:pt>
                <c:pt idx="3">
                  <c:v>11.915823899999999</c:v>
                </c:pt>
                <c:pt idx="4">
                  <c:v>11.27727179</c:v>
                </c:pt>
                <c:pt idx="5">
                  <c:v>4.5734130974999996</c:v>
                </c:pt>
                <c:pt idx="6">
                  <c:v>4.0421193750000004</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RER'!$Q$35:$Q$41</c:f>
              <c:numCache>
                <c:formatCode>0.00</c:formatCode>
                <c:ptCount val="7"/>
                <c:pt idx="0">
                  <c:v>0.43944629345166974</c:v>
                </c:pt>
                <c:pt idx="1">
                  <c:v>0.46800966469100541</c:v>
                </c:pt>
                <c:pt idx="2">
                  <c:v>0.44430883831526125</c:v>
                </c:pt>
                <c:pt idx="3">
                  <c:v>0.51898549380135051</c:v>
                </c:pt>
                <c:pt idx="4">
                  <c:v>0.47367573042674732</c:v>
                </c:pt>
                <c:pt idx="5">
                  <c:v>0.33462496542838077</c:v>
                </c:pt>
                <c:pt idx="6">
                  <c:v>0.29575155956415616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2898</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enero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INFSGI-MES-12-2022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100219</xdr:colOff>
      <xdr:row>19</xdr:row>
      <xdr:rowOff>58393</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319419" y="2576306"/>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diciembre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89535</xdr:colOff>
      <xdr:row>32</xdr:row>
      <xdr:rowOff>99060</xdr:rowOff>
    </xdr:from>
    <xdr:to>
      <xdr:col>8</xdr:col>
      <xdr:colOff>385841</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(93,48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(95,03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(92,09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(96,85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(89,68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(90,88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(94,13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(86,58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(87,38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(86,93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(87,64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(95,21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(85,98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(84,92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(86,3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(92,24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18</xdr:row>
      <xdr:rowOff>19878</xdr:rowOff>
    </xdr:from>
    <xdr:to>
      <xdr:col>7</xdr:col>
      <xdr:colOff>557419</xdr:colOff>
      <xdr:row>49</xdr:row>
      <xdr:rowOff>86139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17</xdr:row>
      <xdr:rowOff>55231</xdr:rowOff>
    </xdr:from>
    <xdr:to>
      <xdr:col>3</xdr:col>
      <xdr:colOff>319147</xdr:colOff>
      <xdr:row>34</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38</xdr:row>
      <xdr:rowOff>5953</xdr:rowOff>
    </xdr:from>
    <xdr:to>
      <xdr:col>8</xdr:col>
      <xdr:colOff>109537</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17</xdr:row>
      <xdr:rowOff>38663</xdr:rowOff>
    </xdr:from>
    <xdr:to>
      <xdr:col>9</xdr:col>
      <xdr:colOff>582009</xdr:colOff>
      <xdr:row>34</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28</xdr:row>
      <xdr:rowOff>78442</xdr:rowOff>
    </xdr:from>
    <xdr:to>
      <xdr:col>9</xdr:col>
      <xdr:colOff>581525</xdr:colOff>
      <xdr:row>56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365760</xdr:colOff>
      <xdr:row>61</xdr:row>
      <xdr:rowOff>129277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11</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topLeftCell="A5" zoomScale="115" zoomScaleNormal="100" zoomScaleSheetLayoutView="115" workbookViewId="0">
      <selection activeCell="K58" sqref="K58"/>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Layout" zoomScaleNormal="100" zoomScaleSheetLayoutView="100" workbookViewId="0">
      <selection activeCell="K58" sqref="K58"/>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59" t="s">
        <v>240</v>
      </c>
      <c r="B2" s="859"/>
      <c r="C2" s="859"/>
      <c r="D2" s="859"/>
      <c r="E2" s="859"/>
      <c r="F2" s="859"/>
      <c r="G2" s="859"/>
      <c r="H2" s="859"/>
      <c r="I2" s="859"/>
      <c r="J2" s="859"/>
      <c r="K2" s="859"/>
    </row>
    <row r="3" spans="1:12" ht="11.25" customHeight="1">
      <c r="A3" s="17"/>
      <c r="B3" s="17"/>
      <c r="C3" s="17"/>
      <c r="D3" s="17"/>
      <c r="E3" s="17"/>
      <c r="F3" s="17"/>
      <c r="G3" s="17"/>
      <c r="H3" s="17"/>
      <c r="I3" s="17"/>
      <c r="J3" s="17"/>
      <c r="K3" s="17"/>
      <c r="L3" s="36"/>
    </row>
    <row r="4" spans="1:12" ht="11.25" customHeight="1">
      <c r="A4" s="860" t="s">
        <v>372</v>
      </c>
      <c r="B4" s="860"/>
      <c r="C4" s="860"/>
      <c r="D4" s="860"/>
      <c r="E4" s="860"/>
      <c r="F4" s="860"/>
      <c r="G4" s="860"/>
      <c r="H4" s="860"/>
      <c r="I4" s="860"/>
      <c r="J4" s="860"/>
      <c r="K4" s="860"/>
      <c r="L4" s="36"/>
    </row>
    <row r="5" spans="1:12" ht="11.25" customHeight="1">
      <c r="A5" s="17"/>
      <c r="B5" s="67"/>
      <c r="C5" s="68"/>
      <c r="D5" s="69"/>
      <c r="E5" s="69"/>
      <c r="F5" s="69"/>
      <c r="G5" s="69"/>
      <c r="H5" s="70"/>
      <c r="I5" s="66"/>
      <c r="J5" s="66"/>
      <c r="K5" s="71"/>
      <c r="L5" s="8"/>
    </row>
    <row r="6" spans="1:12" ht="12.75" customHeight="1">
      <c r="A6" s="866" t="s">
        <v>208</v>
      </c>
      <c r="B6" s="861" t="s">
        <v>243</v>
      </c>
      <c r="C6" s="862"/>
      <c r="D6" s="862"/>
      <c r="E6" s="862" t="s">
        <v>33</v>
      </c>
      <c r="F6" s="862"/>
      <c r="G6" s="863" t="s">
        <v>242</v>
      </c>
      <c r="H6" s="863"/>
      <c r="I6" s="863"/>
      <c r="J6" s="863"/>
      <c r="K6" s="863"/>
      <c r="L6" s="15"/>
    </row>
    <row r="7" spans="1:12" ht="12.75" customHeight="1">
      <c r="A7" s="866"/>
      <c r="B7" s="440">
        <v>44858.833333333336</v>
      </c>
      <c r="C7" s="440">
        <v>44891.822916666664</v>
      </c>
      <c r="D7" s="440">
        <v>44901.8125</v>
      </c>
      <c r="E7" s="440">
        <v>44543.822916666664</v>
      </c>
      <c r="F7" s="864" t="s">
        <v>119</v>
      </c>
      <c r="G7" s="578">
        <v>2022</v>
      </c>
      <c r="H7" s="578">
        <v>2021</v>
      </c>
      <c r="I7" s="864" t="s">
        <v>535</v>
      </c>
      <c r="J7" s="578">
        <v>2020</v>
      </c>
      <c r="K7" s="864" t="s">
        <v>459</v>
      </c>
      <c r="L7" s="13"/>
    </row>
    <row r="8" spans="1:12" ht="12.75" customHeight="1">
      <c r="A8" s="866"/>
      <c r="B8" s="441">
        <v>44858.833333333336</v>
      </c>
      <c r="C8" s="441">
        <v>44891.822916666664</v>
      </c>
      <c r="D8" s="441">
        <v>44901.8125</v>
      </c>
      <c r="E8" s="441">
        <v>44543.822916666664</v>
      </c>
      <c r="F8" s="865"/>
      <c r="G8" s="442">
        <v>44901.8125</v>
      </c>
      <c r="H8" s="442">
        <v>44543.822916666664</v>
      </c>
      <c r="I8" s="865"/>
      <c r="J8" s="442">
        <v>43886.8125</v>
      </c>
      <c r="K8" s="865"/>
      <c r="L8" s="14"/>
    </row>
    <row r="9" spans="1:12" ht="12.75" customHeight="1">
      <c r="A9" s="866"/>
      <c r="B9" s="443">
        <v>44858.833333333336</v>
      </c>
      <c r="C9" s="443">
        <v>44891.822916666664</v>
      </c>
      <c r="D9" s="443">
        <v>44901.8125</v>
      </c>
      <c r="E9" s="443">
        <v>44543.822916666664</v>
      </c>
      <c r="F9" s="865"/>
      <c r="G9" s="444">
        <v>44901.8125</v>
      </c>
      <c r="H9" s="444">
        <v>44543.822916666664</v>
      </c>
      <c r="I9" s="865"/>
      <c r="J9" s="444">
        <v>43886.8125</v>
      </c>
      <c r="K9" s="865"/>
      <c r="L9" s="14"/>
    </row>
    <row r="10" spans="1:12" ht="12.75" customHeight="1">
      <c r="A10" s="445" t="s">
        <v>35</v>
      </c>
      <c r="B10" s="446">
        <v>3245.5016300000007</v>
      </c>
      <c r="C10" s="447">
        <v>2928.3185599999997</v>
      </c>
      <c r="D10" s="448">
        <v>2631.9839399999992</v>
      </c>
      <c r="E10" s="446">
        <v>4547.4343099999996</v>
      </c>
      <c r="F10" s="449">
        <f>+IF(E10=0,"",D10/E10-1)</f>
        <v>-0.42121562169415938</v>
      </c>
      <c r="G10" s="446">
        <v>2631.9839399999992</v>
      </c>
      <c r="H10" s="447">
        <v>4547.4343099999996</v>
      </c>
      <c r="I10" s="449">
        <f>+IF(H10=0,"",G10/H10-1)</f>
        <v>-0.42121562169415938</v>
      </c>
      <c r="J10" s="446">
        <v>4604.1638600000006</v>
      </c>
      <c r="K10" s="449">
        <f t="shared" ref="K10:K18" si="0">+IF(J10=0,"",H10/J10-1)</f>
        <v>-1.2321357737255068E-2</v>
      </c>
      <c r="L10" s="14"/>
    </row>
    <row r="11" spans="1:12" ht="12.75" customHeight="1">
      <c r="A11" s="450" t="s">
        <v>36</v>
      </c>
      <c r="B11" s="451">
        <v>3814.6084900000014</v>
      </c>
      <c r="C11" s="452">
        <v>4239.5437800000009</v>
      </c>
      <c r="D11" s="453">
        <v>4569.8693899999989</v>
      </c>
      <c r="E11" s="451">
        <v>2340.8349700000008</v>
      </c>
      <c r="F11" s="454">
        <f>+IF(E11=0,"",D11/E11-1)</f>
        <v>0.95223902947758732</v>
      </c>
      <c r="G11" s="451">
        <v>4569.8693899999989</v>
      </c>
      <c r="H11" s="452">
        <v>2340.8349700000008</v>
      </c>
      <c r="I11" s="454">
        <f>+IF(H11=0,"",G11/H11-1)</f>
        <v>0.95223902947758732</v>
      </c>
      <c r="J11" s="451">
        <v>2265.9101700000001</v>
      </c>
      <c r="K11" s="454">
        <f>+IF(J11=0,"",H11/J11-1)</f>
        <v>3.3066094583970473E-2</v>
      </c>
      <c r="L11" s="14"/>
    </row>
    <row r="12" spans="1:12" ht="12.75" customHeight="1">
      <c r="A12" s="455" t="s">
        <v>37</v>
      </c>
      <c r="B12" s="456">
        <v>249.24832000000004</v>
      </c>
      <c r="C12" s="457">
        <v>258.71242999999998</v>
      </c>
      <c r="D12" s="458">
        <v>265.59640999999999</v>
      </c>
      <c r="E12" s="456">
        <v>284.76387999999997</v>
      </c>
      <c r="F12" s="459">
        <f>+IF(E12=0,"",D12/E12-1)</f>
        <v>-6.7310046484827968E-2</v>
      </c>
      <c r="G12" s="456">
        <v>265.59640999999999</v>
      </c>
      <c r="H12" s="457">
        <v>284.76387999999997</v>
      </c>
      <c r="I12" s="459">
        <f>+IF(H12=0,"",G12/H12-1)</f>
        <v>-6.7310046484827968E-2</v>
      </c>
      <c r="J12" s="456">
        <v>255.22534999999999</v>
      </c>
      <c r="K12" s="459">
        <f>+IF(J12=0,"",H12/J12-1)</f>
        <v>0.11573509449590325</v>
      </c>
      <c r="L12" s="13"/>
    </row>
    <row r="13" spans="1:12" ht="12.75" customHeight="1">
      <c r="A13" s="460" t="s">
        <v>29</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7309.3584400000018</v>
      </c>
      <c r="C14" s="437">
        <f t="shared" ref="C14:J14" si="1">+SUM(C10:C13)</f>
        <v>7426.5747700000002</v>
      </c>
      <c r="D14" s="438">
        <f t="shared" si="1"/>
        <v>7467.4497399999982</v>
      </c>
      <c r="E14" s="436">
        <f t="shared" si="1"/>
        <v>7173.0331600000009</v>
      </c>
      <c r="F14" s="492">
        <f>+IF(E14=0,"",D14/E14-1)</f>
        <v>4.1044921086074826E-2</v>
      </c>
      <c r="G14" s="489">
        <f t="shared" si="1"/>
        <v>7467.4497399999982</v>
      </c>
      <c r="H14" s="437">
        <f t="shared" si="1"/>
        <v>7173.0331600000009</v>
      </c>
      <c r="I14" s="492">
        <f>+IF(H14=0,"",G14/H14-1)</f>
        <v>4.1044921086074826E-2</v>
      </c>
      <c r="J14" s="437">
        <f t="shared" si="1"/>
        <v>7125.2993800000004</v>
      </c>
      <c r="K14" s="492">
        <f>+IF(J14=0,"",H14/J14-1)</f>
        <v>6.6991964062568243E-3</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241</v>
      </c>
      <c r="B20" s="486">
        <f>+B14-B18</f>
        <v>7309.3584400000018</v>
      </c>
      <c r="C20" s="487">
        <f t="shared" ref="C20" si="3">+C14-C18</f>
        <v>7426.5747700000002</v>
      </c>
      <c r="D20" s="488">
        <f>+D14-D18</f>
        <v>7467.4497399999982</v>
      </c>
      <c r="E20" s="486">
        <f>+E14-E18</f>
        <v>7173.0331600000009</v>
      </c>
      <c r="F20" s="439">
        <f>+IF(E20=0,"",D20/E20-1)</f>
        <v>4.1044921086074826E-2</v>
      </c>
      <c r="G20" s="486">
        <f>+G14-G18</f>
        <v>7467.4497399999982</v>
      </c>
      <c r="H20" s="486">
        <f>+H14-H18</f>
        <v>7173.0331600000009</v>
      </c>
      <c r="I20" s="439">
        <f>+IF(H20=0,"",G20/H20-1)</f>
        <v>4.1044921086074826E-2</v>
      </c>
      <c r="J20" s="486">
        <f>+J14-J18</f>
        <v>7125.2993800000004</v>
      </c>
      <c r="K20" s="439">
        <f>+IF(J20=0,"",H20/J20-1)</f>
        <v>6.6991964062568243E-3</v>
      </c>
      <c r="L20" s="15"/>
    </row>
    <row r="21" spans="1:12" ht="11.25" customHeight="1">
      <c r="A21" s="260" t="s">
        <v>394</v>
      </c>
      <c r="B21" s="138"/>
      <c r="C21" s="138"/>
      <c r="D21" s="138"/>
      <c r="E21" s="138"/>
      <c r="F21" s="138"/>
      <c r="G21" s="138"/>
      <c r="H21" s="138"/>
      <c r="I21" s="138"/>
      <c r="J21" s="138"/>
      <c r="K21" s="138"/>
      <c r="L21" s="16"/>
    </row>
    <row r="22" spans="1:12" ht="17.25" customHeight="1">
      <c r="A22" s="857"/>
      <c r="B22" s="857"/>
      <c r="C22" s="857"/>
      <c r="D22" s="857"/>
      <c r="E22" s="857"/>
      <c r="F22" s="857"/>
      <c r="G22" s="857"/>
      <c r="H22" s="857"/>
      <c r="I22" s="857"/>
      <c r="J22" s="857"/>
      <c r="K22" s="857"/>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58" t="str">
        <f>"Gráfico N° 11: Comparación de la máxima potencia coincidente (MW) anual por tipo de generación en el SEIN."</f>
        <v>Gráfico N° 11: Comparación de la máxima potencia coincidente (MW) anual por tipo de generación en el SEIN.</v>
      </c>
      <c r="B58" s="858"/>
      <c r="C58" s="858"/>
      <c r="D58" s="858"/>
      <c r="E58" s="858"/>
      <c r="F58" s="858"/>
      <c r="G58" s="858"/>
      <c r="H58" s="858"/>
      <c r="I58" s="858"/>
      <c r="J58" s="858"/>
      <c r="K58" s="858"/>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4365" right="0.33950000000000002" top="0.9619166666666666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K58" sqref="K58"/>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50" customWidth="1"/>
    <col min="14" max="15" width="9.28515625" style="277"/>
    <col min="16" max="18" width="9.28515625" style="668"/>
  </cols>
  <sheetData>
    <row r="1" spans="1:16" ht="25.5" customHeight="1">
      <c r="A1" s="869" t="s">
        <v>245</v>
      </c>
      <c r="B1" s="869"/>
      <c r="C1" s="869"/>
      <c r="D1" s="869"/>
      <c r="E1" s="869"/>
      <c r="F1" s="869"/>
      <c r="G1" s="869"/>
      <c r="H1" s="869"/>
      <c r="I1" s="869"/>
      <c r="J1" s="869"/>
      <c r="K1" s="869"/>
    </row>
    <row r="2" spans="1:16" ht="7.5" customHeight="1">
      <c r="A2" s="74"/>
      <c r="B2" s="73"/>
      <c r="C2" s="73"/>
      <c r="D2" s="73"/>
      <c r="E2" s="73"/>
      <c r="F2" s="73"/>
      <c r="G2" s="73"/>
      <c r="H2" s="73"/>
      <c r="I2" s="73"/>
      <c r="J2" s="73"/>
      <c r="K2" s="73"/>
      <c r="L2" s="298"/>
      <c r="M2" s="654"/>
    </row>
    <row r="3" spans="1:16" ht="11.25" customHeight="1">
      <c r="A3" s="870" t="s">
        <v>120</v>
      </c>
      <c r="B3" s="872" t="str">
        <f>+'1. Resumen'!Q4</f>
        <v>diciembe</v>
      </c>
      <c r="C3" s="873"/>
      <c r="D3" s="874"/>
      <c r="E3" s="138"/>
      <c r="F3" s="138"/>
      <c r="G3" s="138"/>
      <c r="H3" s="875" t="s">
        <v>553</v>
      </c>
      <c r="I3" s="875"/>
      <c r="J3" s="875"/>
      <c r="K3" s="138"/>
      <c r="L3" s="701"/>
      <c r="M3" s="654"/>
    </row>
    <row r="4" spans="1:16" ht="11.25" customHeight="1">
      <c r="A4" s="870"/>
      <c r="B4" s="369">
        <v>2022</v>
      </c>
      <c r="C4" s="370">
        <v>2021</v>
      </c>
      <c r="D4" s="874" t="s">
        <v>34</v>
      </c>
      <c r="E4" s="138"/>
      <c r="F4" s="138"/>
      <c r="G4" s="138"/>
      <c r="H4" s="138"/>
      <c r="I4" s="138"/>
      <c r="J4" s="138"/>
      <c r="K4" s="138"/>
      <c r="L4" s="515"/>
      <c r="M4" s="655"/>
    </row>
    <row r="5" spans="1:16" ht="11.25" customHeight="1">
      <c r="A5" s="870"/>
      <c r="B5" s="371">
        <f>+'8. Max Potencia'!D8</f>
        <v>44901.8125</v>
      </c>
      <c r="C5" s="371">
        <f>+'8. Max Potencia'!E8</f>
        <v>44543.822916666664</v>
      </c>
      <c r="D5" s="874"/>
      <c r="E5" s="138"/>
      <c r="F5" s="138"/>
      <c r="G5" s="138"/>
      <c r="H5" s="138"/>
      <c r="I5" s="138"/>
      <c r="J5" s="138"/>
      <c r="K5" s="138"/>
      <c r="L5" s="515"/>
      <c r="M5" s="656"/>
    </row>
    <row r="6" spans="1:16" ht="11.25" customHeight="1" thickBot="1">
      <c r="A6" s="871"/>
      <c r="B6" s="372">
        <f>+'8. Max Potencia'!D9</f>
        <v>44901.8125</v>
      </c>
      <c r="C6" s="372">
        <f>+'8. Max Potencia'!E9</f>
        <v>44543.822916666664</v>
      </c>
      <c r="D6" s="876"/>
      <c r="E6" s="138"/>
      <c r="F6" s="138"/>
      <c r="G6" s="138"/>
      <c r="H6" s="138"/>
      <c r="I6" s="138"/>
      <c r="J6" s="138"/>
      <c r="K6" s="138"/>
      <c r="M6" s="655" t="s">
        <v>244</v>
      </c>
      <c r="N6" s="550">
        <v>2022</v>
      </c>
      <c r="O6" s="550">
        <v>2021</v>
      </c>
    </row>
    <row r="7" spans="1:16" ht="9.75" customHeight="1">
      <c r="A7" s="601" t="s">
        <v>86</v>
      </c>
      <c r="B7" s="749">
        <v>1583.53062</v>
      </c>
      <c r="C7" s="749">
        <v>1000.8829499999999</v>
      </c>
      <c r="D7" s="602">
        <f>IF(C7=0,"",B7/C7-1)</f>
        <v>0.58213367507159552</v>
      </c>
      <c r="E7" s="138"/>
      <c r="F7" s="138"/>
      <c r="G7" s="138"/>
      <c r="H7" s="138"/>
      <c r="I7" s="138"/>
      <c r="J7" s="138"/>
      <c r="K7" s="138"/>
      <c r="L7" s="697"/>
      <c r="M7" s="657" t="s">
        <v>401</v>
      </c>
      <c r="N7" s="658"/>
      <c r="O7" s="658">
        <v>0.77500000000000002</v>
      </c>
      <c r="P7" s="727"/>
    </row>
    <row r="8" spans="1:16" ht="9.75" customHeight="1">
      <c r="A8" s="603" t="s">
        <v>399</v>
      </c>
      <c r="B8" s="750">
        <v>1383.7867200000001</v>
      </c>
      <c r="C8" s="750">
        <v>1240.5700000000002</v>
      </c>
      <c r="D8" s="604">
        <f t="shared" ref="D8:D68" si="0">IF(C8=0,"",B8/C8-1)</f>
        <v>0.11544428770645743</v>
      </c>
      <c r="E8" s="138"/>
      <c r="F8" s="138"/>
      <c r="G8" s="138"/>
      <c r="H8" s="138"/>
      <c r="I8" s="138"/>
      <c r="J8" s="138"/>
      <c r="K8" s="138"/>
      <c r="L8" s="698"/>
      <c r="M8" s="657" t="s">
        <v>531</v>
      </c>
      <c r="N8" s="656">
        <v>0</v>
      </c>
      <c r="O8" s="656">
        <v>0</v>
      </c>
      <c r="P8" s="727"/>
    </row>
    <row r="9" spans="1:16" ht="9.75" customHeight="1">
      <c r="A9" s="605" t="s">
        <v>87</v>
      </c>
      <c r="B9" s="751">
        <v>1100.3490000000004</v>
      </c>
      <c r="C9" s="751">
        <v>634.50299999999993</v>
      </c>
      <c r="D9" s="606">
        <f t="shared" si="0"/>
        <v>0.73419038207857246</v>
      </c>
      <c r="E9" s="322"/>
      <c r="F9" s="138"/>
      <c r="G9" s="138"/>
      <c r="H9" s="138"/>
      <c r="I9" s="138"/>
      <c r="J9" s="138"/>
      <c r="K9" s="138"/>
      <c r="M9" s="657" t="s">
        <v>453</v>
      </c>
      <c r="N9" s="658">
        <v>0</v>
      </c>
      <c r="O9" s="658">
        <v>0</v>
      </c>
      <c r="P9" s="727"/>
    </row>
    <row r="10" spans="1:16" ht="9.75" customHeight="1">
      <c r="A10" s="603" t="s">
        <v>88</v>
      </c>
      <c r="B10" s="750">
        <v>595.46447999999998</v>
      </c>
      <c r="C10" s="750">
        <v>801.22800000000007</v>
      </c>
      <c r="D10" s="604">
        <f t="shared" si="0"/>
        <v>-0.25681019634860502</v>
      </c>
      <c r="E10" s="138"/>
      <c r="F10" s="138"/>
      <c r="G10" s="138"/>
      <c r="H10" s="138"/>
      <c r="I10" s="138"/>
      <c r="J10" s="138"/>
      <c r="K10" s="138"/>
      <c r="M10" s="657" t="s">
        <v>452</v>
      </c>
      <c r="N10" s="656">
        <v>0</v>
      </c>
      <c r="O10" s="656">
        <v>0</v>
      </c>
      <c r="P10" s="727"/>
    </row>
    <row r="11" spans="1:16" ht="9.75" customHeight="1">
      <c r="A11" s="605" t="s">
        <v>233</v>
      </c>
      <c r="B11" s="751">
        <v>564.15017</v>
      </c>
      <c r="C11" s="751">
        <v>271.44031000000001</v>
      </c>
      <c r="D11" s="606">
        <f t="shared" si="0"/>
        <v>1.0783581112178955</v>
      </c>
      <c r="E11" s="138"/>
      <c r="F11" s="138"/>
      <c r="G11" s="138"/>
      <c r="H11" s="138"/>
      <c r="I11" s="138"/>
      <c r="J11" s="138"/>
      <c r="K11" s="138"/>
      <c r="M11" s="657" t="s">
        <v>416</v>
      </c>
      <c r="N11" s="656">
        <v>0</v>
      </c>
      <c r="O11" s="656">
        <v>8.4873499999999993</v>
      </c>
      <c r="P11" s="727"/>
    </row>
    <row r="12" spans="1:16" ht="9.75" customHeight="1">
      <c r="A12" s="603" t="s">
        <v>235</v>
      </c>
      <c r="B12" s="750">
        <v>245.06297999999998</v>
      </c>
      <c r="C12" s="750">
        <v>343.30500000000001</v>
      </c>
      <c r="D12" s="604">
        <f t="shared" si="0"/>
        <v>-0.2861654214182725</v>
      </c>
      <c r="E12" s="138"/>
      <c r="F12" s="138"/>
      <c r="G12" s="138"/>
      <c r="H12" s="138"/>
      <c r="I12" s="138"/>
      <c r="J12" s="138"/>
      <c r="K12" s="138"/>
      <c r="L12" s="697"/>
      <c r="M12" s="657" t="s">
        <v>108</v>
      </c>
      <c r="N12" s="656">
        <v>0</v>
      </c>
      <c r="O12" s="656">
        <v>0</v>
      </c>
      <c r="P12" s="727"/>
    </row>
    <row r="13" spans="1:16" ht="9.75" customHeight="1">
      <c r="A13" s="605" t="s">
        <v>99</v>
      </c>
      <c r="B13" s="751">
        <v>192.90967000000001</v>
      </c>
      <c r="C13" s="751">
        <v>194.47380999999999</v>
      </c>
      <c r="D13" s="606">
        <f t="shared" si="0"/>
        <v>-8.0429339045703374E-3</v>
      </c>
      <c r="E13" s="138"/>
      <c r="F13" s="138"/>
      <c r="G13" s="138"/>
      <c r="H13" s="138"/>
      <c r="I13" s="138"/>
      <c r="J13" s="138"/>
      <c r="K13" s="138"/>
      <c r="L13" s="698"/>
      <c r="M13" s="657" t="s">
        <v>116</v>
      </c>
      <c r="N13" s="656">
        <v>0</v>
      </c>
      <c r="O13" s="656">
        <v>0</v>
      </c>
      <c r="P13" s="727"/>
    </row>
    <row r="14" spans="1:16" ht="9.75" customHeight="1">
      <c r="A14" s="603" t="s">
        <v>231</v>
      </c>
      <c r="B14" s="750">
        <v>185.32076000000001</v>
      </c>
      <c r="C14" s="750">
        <v>466.14035000000001</v>
      </c>
      <c r="D14" s="604">
        <f t="shared" si="0"/>
        <v>-0.60243570418222747</v>
      </c>
      <c r="E14" s="138"/>
      <c r="F14" s="138"/>
      <c r="G14" s="138"/>
      <c r="H14" s="138"/>
      <c r="I14" s="138"/>
      <c r="J14" s="138"/>
      <c r="K14" s="138"/>
      <c r="L14" s="698"/>
      <c r="M14" s="657" t="s">
        <v>101</v>
      </c>
      <c r="N14" s="658">
        <v>0</v>
      </c>
      <c r="O14" s="658">
        <v>26.591609999999999</v>
      </c>
      <c r="P14" s="727"/>
    </row>
    <row r="15" spans="1:16" ht="9.75" customHeight="1">
      <c r="A15" s="605" t="s">
        <v>238</v>
      </c>
      <c r="B15" s="751">
        <v>175.04680999999999</v>
      </c>
      <c r="C15" s="751">
        <v>0</v>
      </c>
      <c r="D15" s="606" t="str">
        <f t="shared" si="0"/>
        <v/>
      </c>
      <c r="E15" s="138"/>
      <c r="F15" s="138"/>
      <c r="G15" s="138"/>
      <c r="H15" s="138"/>
      <c r="I15" s="138"/>
      <c r="J15" s="138"/>
      <c r="K15" s="138"/>
      <c r="L15" s="698"/>
      <c r="M15" s="657" t="s">
        <v>237</v>
      </c>
      <c r="N15" s="656">
        <v>0</v>
      </c>
      <c r="O15" s="656">
        <v>0</v>
      </c>
      <c r="P15" s="727"/>
    </row>
    <row r="16" spans="1:16" ht="9.75" customHeight="1">
      <c r="A16" s="603" t="s">
        <v>89</v>
      </c>
      <c r="B16" s="750">
        <v>169.40217999999996</v>
      </c>
      <c r="C16" s="750">
        <v>414.53339999999997</v>
      </c>
      <c r="D16" s="604">
        <f t="shared" si="0"/>
        <v>-0.59134250702114721</v>
      </c>
      <c r="E16" s="138"/>
      <c r="F16" s="138"/>
      <c r="G16" s="138"/>
      <c r="H16" s="138"/>
      <c r="I16" s="138"/>
      <c r="J16" s="138"/>
      <c r="K16" s="138"/>
      <c r="L16" s="698"/>
      <c r="M16" s="657" t="s">
        <v>106</v>
      </c>
      <c r="N16" s="656">
        <v>0</v>
      </c>
      <c r="O16" s="656">
        <v>0</v>
      </c>
      <c r="P16" s="727"/>
    </row>
    <row r="17" spans="1:16" ht="9.75" customHeight="1">
      <c r="A17" s="605" t="s">
        <v>90</v>
      </c>
      <c r="B17" s="751">
        <v>152.43280000000004</v>
      </c>
      <c r="C17" s="751">
        <v>170.90086000000002</v>
      </c>
      <c r="D17" s="606">
        <f t="shared" si="0"/>
        <v>-0.1080630021405391</v>
      </c>
      <c r="E17" s="138"/>
      <c r="F17" s="138"/>
      <c r="G17" s="138"/>
      <c r="H17" s="138"/>
      <c r="I17" s="138"/>
      <c r="J17" s="138"/>
      <c r="K17" s="138"/>
      <c r="L17" s="698"/>
      <c r="M17" s="657" t="s">
        <v>109</v>
      </c>
      <c r="N17" s="656">
        <v>0</v>
      </c>
      <c r="O17" s="656">
        <v>0</v>
      </c>
      <c r="P17" s="727"/>
    </row>
    <row r="18" spans="1:16" ht="9.75" customHeight="1">
      <c r="A18" s="603" t="s">
        <v>97</v>
      </c>
      <c r="B18" s="750">
        <v>116.925</v>
      </c>
      <c r="C18" s="750">
        <v>126.53700000000001</v>
      </c>
      <c r="D18" s="604">
        <f t="shared" si="0"/>
        <v>-7.5961971597240385E-2</v>
      </c>
      <c r="E18" s="138"/>
      <c r="F18" s="138"/>
      <c r="G18" s="138"/>
      <c r="H18" s="138"/>
      <c r="I18" s="138"/>
      <c r="J18" s="138"/>
      <c r="K18" s="138"/>
      <c r="L18" s="698"/>
      <c r="M18" s="657" t="s">
        <v>115</v>
      </c>
      <c r="N18" s="658">
        <v>0</v>
      </c>
      <c r="O18" s="658">
        <v>0</v>
      </c>
      <c r="P18" s="727"/>
    </row>
    <row r="19" spans="1:16" ht="9.75" customHeight="1">
      <c r="A19" s="605" t="s">
        <v>91</v>
      </c>
      <c r="B19" s="751">
        <v>109.188</v>
      </c>
      <c r="C19" s="751">
        <v>165.25199999999998</v>
      </c>
      <c r="D19" s="606">
        <f t="shared" si="0"/>
        <v>-0.33926367003122493</v>
      </c>
      <c r="E19" s="138"/>
      <c r="F19" s="138"/>
      <c r="G19" s="138"/>
      <c r="H19" s="138"/>
      <c r="I19" s="138"/>
      <c r="J19" s="138"/>
      <c r="K19" s="138"/>
      <c r="L19" s="698"/>
      <c r="M19" s="657" t="s">
        <v>230</v>
      </c>
      <c r="N19" s="658">
        <v>0</v>
      </c>
      <c r="O19" s="658">
        <v>0</v>
      </c>
      <c r="P19" s="727"/>
    </row>
    <row r="20" spans="1:16" ht="9.75" customHeight="1">
      <c r="A20" s="603" t="s">
        <v>95</v>
      </c>
      <c r="B20" s="750">
        <v>90.43</v>
      </c>
      <c r="C20" s="750">
        <v>90.474000000000004</v>
      </c>
      <c r="D20" s="604">
        <f t="shared" si="0"/>
        <v>-4.863275637199127E-4</v>
      </c>
      <c r="E20" s="138"/>
      <c r="F20" s="138"/>
      <c r="G20" s="138"/>
      <c r="H20" s="138"/>
      <c r="I20" s="138"/>
      <c r="J20" s="138"/>
      <c r="K20" s="138"/>
      <c r="L20" s="699"/>
      <c r="M20" s="657" t="s">
        <v>456</v>
      </c>
      <c r="N20" s="656">
        <v>0.57291000000000003</v>
      </c>
      <c r="O20" s="656">
        <v>0</v>
      </c>
      <c r="P20" s="727"/>
    </row>
    <row r="21" spans="1:16" ht="9.75" customHeight="1">
      <c r="A21" s="605" t="s">
        <v>94</v>
      </c>
      <c r="B21" s="751">
        <v>88.902979999999999</v>
      </c>
      <c r="C21" s="751">
        <v>46.0807</v>
      </c>
      <c r="D21" s="606">
        <f t="shared" si="0"/>
        <v>0.92928883458801614</v>
      </c>
      <c r="E21" s="138"/>
      <c r="F21" s="138"/>
      <c r="G21" s="138"/>
      <c r="H21" s="138"/>
      <c r="I21" s="138"/>
      <c r="J21" s="138"/>
      <c r="K21" s="138"/>
      <c r="L21" s="698"/>
      <c r="M21" s="657" t="s">
        <v>114</v>
      </c>
      <c r="N21" s="656">
        <v>1.3240000000000001</v>
      </c>
      <c r="O21" s="656">
        <v>3.4080000000000004</v>
      </c>
      <c r="P21" s="727"/>
    </row>
    <row r="22" spans="1:16" ht="9.75" customHeight="1">
      <c r="A22" s="603" t="s">
        <v>104</v>
      </c>
      <c r="B22" s="750">
        <v>86.590130000000002</v>
      </c>
      <c r="C22" s="750">
        <v>0</v>
      </c>
      <c r="D22" s="604" t="str">
        <f t="shared" si="0"/>
        <v/>
      </c>
      <c r="E22" s="138"/>
      <c r="F22" s="138"/>
      <c r="G22" s="138"/>
      <c r="H22" s="138"/>
      <c r="I22" s="138"/>
      <c r="J22" s="138"/>
      <c r="K22" s="138"/>
      <c r="L22" s="698"/>
      <c r="M22" s="657" t="s">
        <v>530</v>
      </c>
      <c r="N22" s="658">
        <v>1.49437</v>
      </c>
      <c r="O22" s="658">
        <v>2.9917400000000001</v>
      </c>
      <c r="P22" s="727"/>
    </row>
    <row r="23" spans="1:16" ht="9.75" customHeight="1">
      <c r="A23" s="605" t="s">
        <v>92</v>
      </c>
      <c r="B23" s="751">
        <v>80.192999999999998</v>
      </c>
      <c r="C23" s="751">
        <v>176.57</v>
      </c>
      <c r="D23" s="606">
        <f t="shared" si="0"/>
        <v>-0.5458288497479753</v>
      </c>
      <c r="E23" s="138"/>
      <c r="F23" s="138"/>
      <c r="G23" s="138"/>
      <c r="H23" s="138"/>
      <c r="I23" s="138"/>
      <c r="J23" s="138"/>
      <c r="K23" s="138"/>
      <c r="L23" s="698"/>
      <c r="M23" s="657" t="s">
        <v>113</v>
      </c>
      <c r="N23" s="656">
        <v>1.6</v>
      </c>
      <c r="O23" s="656">
        <v>3.2</v>
      </c>
      <c r="P23" s="727"/>
    </row>
    <row r="24" spans="1:16" ht="9.75" customHeight="1">
      <c r="A24" s="603" t="s">
        <v>98</v>
      </c>
      <c r="B24" s="750">
        <v>69.947050000000004</v>
      </c>
      <c r="C24" s="750">
        <v>69.834980000000002</v>
      </c>
      <c r="D24" s="604">
        <f t="shared" si="0"/>
        <v>1.6047831616763375E-3</v>
      </c>
      <c r="E24" s="138"/>
      <c r="F24" s="138"/>
      <c r="G24" s="138"/>
      <c r="H24" s="138"/>
      <c r="I24" s="138"/>
      <c r="J24" s="138"/>
      <c r="K24" s="138"/>
      <c r="L24" s="699"/>
      <c r="M24" s="657" t="s">
        <v>112</v>
      </c>
      <c r="N24" s="656">
        <v>2.1389999999999998</v>
      </c>
      <c r="O24" s="656">
        <v>3.391</v>
      </c>
      <c r="P24" s="727"/>
    </row>
    <row r="25" spans="1:16" ht="9.75" customHeight="1">
      <c r="A25" s="605" t="s">
        <v>415</v>
      </c>
      <c r="B25" s="751">
        <v>56.74933</v>
      </c>
      <c r="C25" s="751">
        <v>90.458650000000006</v>
      </c>
      <c r="D25" s="606">
        <f t="shared" si="0"/>
        <v>-0.37264893959836898</v>
      </c>
      <c r="E25" s="138"/>
      <c r="F25" s="138"/>
      <c r="G25" s="138"/>
      <c r="H25" s="138"/>
      <c r="I25" s="138"/>
      <c r="J25" s="138"/>
      <c r="K25" s="138"/>
      <c r="L25" s="698"/>
      <c r="M25" s="657" t="s">
        <v>455</v>
      </c>
      <c r="N25" s="656">
        <v>2.1560199999999998</v>
      </c>
      <c r="O25" s="656">
        <v>9.1332599999999999</v>
      </c>
      <c r="P25" s="727"/>
    </row>
    <row r="26" spans="1:16" ht="9.75" customHeight="1">
      <c r="A26" s="603" t="s">
        <v>96</v>
      </c>
      <c r="B26" s="750">
        <v>50.558299999999996</v>
      </c>
      <c r="C26" s="750">
        <v>42.108710000000002</v>
      </c>
      <c r="D26" s="604">
        <f t="shared" si="0"/>
        <v>0.2006613358613929</v>
      </c>
      <c r="E26" s="138"/>
      <c r="F26" s="138"/>
      <c r="G26" s="138"/>
      <c r="H26" s="138"/>
      <c r="I26" s="138"/>
      <c r="J26" s="138"/>
      <c r="K26" s="138"/>
      <c r="L26" s="698"/>
      <c r="M26" s="657" t="s">
        <v>111</v>
      </c>
      <c r="N26" s="656">
        <v>2.50197</v>
      </c>
      <c r="O26" s="656">
        <v>2.3924099999999999</v>
      </c>
      <c r="P26" s="727"/>
    </row>
    <row r="27" spans="1:16" ht="9.75" customHeight="1">
      <c r="A27" s="605" t="s">
        <v>93</v>
      </c>
      <c r="B27" s="751">
        <v>48.963499999999996</v>
      </c>
      <c r="C27" s="751">
        <v>210.72300000000001</v>
      </c>
      <c r="D27" s="606">
        <f t="shared" si="0"/>
        <v>-0.76764045690313831</v>
      </c>
      <c r="E27" s="138"/>
      <c r="F27" s="138"/>
      <c r="G27" s="138"/>
      <c r="H27" s="138"/>
      <c r="I27" s="138"/>
      <c r="J27" s="138"/>
      <c r="K27" s="138"/>
      <c r="L27" s="698"/>
      <c r="M27" s="657" t="s">
        <v>446</v>
      </c>
      <c r="N27" s="656">
        <v>2.9914100000000001</v>
      </c>
      <c r="O27" s="656">
        <v>20.059730000000002</v>
      </c>
      <c r="P27" s="727"/>
    </row>
    <row r="28" spans="1:16" ht="9.75" customHeight="1">
      <c r="A28" s="603" t="s">
        <v>232</v>
      </c>
      <c r="B28" s="750">
        <v>47.760480000000001</v>
      </c>
      <c r="C28" s="750">
        <v>40.86</v>
      </c>
      <c r="D28" s="604">
        <f t="shared" si="0"/>
        <v>0.16888105726872249</v>
      </c>
      <c r="E28" s="138"/>
      <c r="F28" s="138"/>
      <c r="G28" s="138"/>
      <c r="H28" s="138"/>
      <c r="I28" s="138"/>
      <c r="J28" s="138"/>
      <c r="K28" s="138"/>
      <c r="L28" s="698"/>
      <c r="M28" s="657" t="s">
        <v>103</v>
      </c>
      <c r="N28" s="656">
        <v>3.04053</v>
      </c>
      <c r="O28" s="656">
        <v>18.505229999999997</v>
      </c>
      <c r="P28" s="727"/>
    </row>
    <row r="29" spans="1:16" ht="9.75" customHeight="1">
      <c r="A29" s="607" t="s">
        <v>100</v>
      </c>
      <c r="B29" s="752">
        <v>26.780419999999999</v>
      </c>
      <c r="C29" s="752">
        <v>35.069090000000003</v>
      </c>
      <c r="D29" s="608">
        <f t="shared" si="0"/>
        <v>-0.23635258285858007</v>
      </c>
      <c r="E29" s="138"/>
      <c r="F29" s="138"/>
      <c r="G29" s="138"/>
      <c r="H29" s="138"/>
      <c r="I29" s="138"/>
      <c r="J29" s="138"/>
      <c r="K29" s="138"/>
      <c r="L29" s="698"/>
      <c r="M29" s="657" t="s">
        <v>117</v>
      </c>
      <c r="N29" s="656">
        <v>3.11693</v>
      </c>
      <c r="O29" s="656">
        <v>19.947469999999999</v>
      </c>
      <c r="P29" s="727"/>
    </row>
    <row r="30" spans="1:16" ht="9.75" customHeight="1">
      <c r="A30" s="609" t="s">
        <v>107</v>
      </c>
      <c r="B30" s="753">
        <v>22.781739999999999</v>
      </c>
      <c r="C30" s="753">
        <v>67.621760000000009</v>
      </c>
      <c r="D30" s="610">
        <f t="shared" si="0"/>
        <v>-0.66310045760417946</v>
      </c>
      <c r="E30" s="138"/>
      <c r="F30" s="138"/>
      <c r="G30" s="138"/>
      <c r="H30" s="138"/>
      <c r="I30" s="138"/>
      <c r="J30" s="138"/>
      <c r="K30" s="138"/>
      <c r="L30" s="698"/>
      <c r="M30" s="657" t="s">
        <v>454</v>
      </c>
      <c r="N30" s="656">
        <v>3.3434300000000001</v>
      </c>
      <c r="O30" s="656">
        <v>14.09769</v>
      </c>
      <c r="P30" s="727"/>
    </row>
    <row r="31" spans="1:16" ht="9.75" customHeight="1">
      <c r="A31" s="611" t="s">
        <v>236</v>
      </c>
      <c r="B31" s="754">
        <v>22.666609999999999</v>
      </c>
      <c r="C31" s="754">
        <v>23.052240000000001</v>
      </c>
      <c r="D31" s="612">
        <f t="shared" si="0"/>
        <v>-1.6728526164919488E-2</v>
      </c>
      <c r="E31" s="138"/>
      <c r="F31" s="138"/>
      <c r="G31" s="138"/>
      <c r="H31" s="138"/>
      <c r="I31" s="138"/>
      <c r="J31" s="138"/>
      <c r="K31" s="138"/>
      <c r="L31" s="698"/>
      <c r="M31" s="657" t="s">
        <v>437</v>
      </c>
      <c r="N31" s="656">
        <v>7.38835</v>
      </c>
      <c r="O31" s="656">
        <v>9.7611799999999995</v>
      </c>
      <c r="P31" s="727"/>
    </row>
    <row r="32" spans="1:16" ht="9.75" customHeight="1">
      <c r="A32" s="609" t="s">
        <v>118</v>
      </c>
      <c r="B32" s="753">
        <v>17.54785</v>
      </c>
      <c r="C32" s="753">
        <v>10.801080000000001</v>
      </c>
      <c r="D32" s="610">
        <f t="shared" si="0"/>
        <v>0.62463846207971785</v>
      </c>
      <c r="E32" s="138"/>
      <c r="F32" s="138"/>
      <c r="G32" s="138"/>
      <c r="H32" s="138"/>
      <c r="I32" s="138"/>
      <c r="J32" s="138"/>
      <c r="K32" s="138"/>
      <c r="L32" s="698"/>
      <c r="M32" s="657" t="s">
        <v>438</v>
      </c>
      <c r="N32" s="656">
        <v>7.5319200000000004</v>
      </c>
      <c r="O32" s="656">
        <v>27.368369999999999</v>
      </c>
      <c r="P32" s="727"/>
    </row>
    <row r="33" spans="1:16" ht="13.5" customHeight="1">
      <c r="A33" s="613" t="s">
        <v>407</v>
      </c>
      <c r="B33" s="754">
        <v>17.317910000000001</v>
      </c>
      <c r="C33" s="754">
        <v>12.058070000000001</v>
      </c>
      <c r="D33" s="612">
        <f t="shared" si="0"/>
        <v>0.43620911140837637</v>
      </c>
      <c r="E33" s="138"/>
      <c r="F33" s="138"/>
      <c r="G33" s="138"/>
      <c r="H33" s="138"/>
      <c r="I33" s="138"/>
      <c r="J33" s="138"/>
      <c r="K33" s="138"/>
      <c r="L33" s="698"/>
      <c r="M33" s="657" t="s">
        <v>400</v>
      </c>
      <c r="N33" s="656">
        <v>9.1636000000000006</v>
      </c>
      <c r="O33" s="656">
        <v>6.8939000000000004</v>
      </c>
      <c r="P33" s="727"/>
    </row>
    <row r="34" spans="1:16" ht="13.5" customHeight="1">
      <c r="A34" s="609" t="s">
        <v>105</v>
      </c>
      <c r="B34" s="753">
        <v>15.864420000000001</v>
      </c>
      <c r="C34" s="753">
        <v>15.353859999999999</v>
      </c>
      <c r="D34" s="610">
        <f t="shared" si="0"/>
        <v>3.3252875824060002E-2</v>
      </c>
      <c r="E34" s="138"/>
      <c r="F34" s="138"/>
      <c r="G34" s="138"/>
      <c r="H34" s="138"/>
      <c r="I34" s="138"/>
      <c r="J34" s="138"/>
      <c r="K34" s="138"/>
      <c r="L34" s="698"/>
      <c r="M34" s="657" t="s">
        <v>429</v>
      </c>
      <c r="N34" s="656">
        <v>10.596</v>
      </c>
      <c r="O34" s="656">
        <v>19.097290000000001</v>
      </c>
      <c r="P34" s="727"/>
    </row>
    <row r="35" spans="1:16" ht="13.5" customHeight="1">
      <c r="A35" s="613" t="s">
        <v>391</v>
      </c>
      <c r="B35" s="754">
        <v>14.122249999999999</v>
      </c>
      <c r="C35" s="754">
        <v>20.0623</v>
      </c>
      <c r="D35" s="612">
        <f t="shared" si="0"/>
        <v>-0.29608021014539709</v>
      </c>
      <c r="E35" s="138"/>
      <c r="F35" s="138"/>
      <c r="G35" s="138"/>
      <c r="H35" s="138"/>
      <c r="I35" s="138"/>
      <c r="J35" s="138"/>
      <c r="K35" s="138"/>
      <c r="L35" s="698"/>
      <c r="M35" s="657" t="s">
        <v>458</v>
      </c>
      <c r="N35" s="656">
        <v>10.9998</v>
      </c>
      <c r="O35" s="656">
        <v>19.745669999999997</v>
      </c>
      <c r="P35" s="727"/>
    </row>
    <row r="36" spans="1:16" ht="10.199999999999999" customHeight="1">
      <c r="A36" s="614" t="s">
        <v>110</v>
      </c>
      <c r="B36" s="753">
        <v>13.668240000000001</v>
      </c>
      <c r="C36" s="753">
        <v>24.530100000000001</v>
      </c>
      <c r="D36" s="610">
        <f t="shared" si="0"/>
        <v>-0.44279721648097647</v>
      </c>
      <c r="E36" s="138"/>
      <c r="F36" s="138"/>
      <c r="G36" s="138"/>
      <c r="H36" s="138"/>
      <c r="I36" s="138"/>
      <c r="J36" s="138"/>
      <c r="K36" s="138"/>
      <c r="L36" s="698"/>
      <c r="M36" s="657" t="s">
        <v>457</v>
      </c>
      <c r="N36" s="658">
        <v>12.906969999999999</v>
      </c>
      <c r="O36" s="658">
        <v>65.569630000000004</v>
      </c>
      <c r="P36" s="727"/>
    </row>
    <row r="37" spans="1:16" ht="13.5" customHeight="1">
      <c r="A37" s="613" t="s">
        <v>234</v>
      </c>
      <c r="B37" s="754">
        <v>13.591619999999999</v>
      </c>
      <c r="C37" s="754">
        <v>18.21219</v>
      </c>
      <c r="D37" s="612">
        <f t="shared" si="0"/>
        <v>-0.25370754423273645</v>
      </c>
      <c r="E37" s="138"/>
      <c r="F37" s="138"/>
      <c r="G37" s="138"/>
      <c r="H37" s="138"/>
      <c r="I37" s="138"/>
      <c r="J37" s="138"/>
      <c r="K37" s="138"/>
      <c r="L37" s="698"/>
      <c r="M37" s="657" t="s">
        <v>102</v>
      </c>
      <c r="N37" s="656">
        <v>13.07714</v>
      </c>
      <c r="O37" s="656">
        <v>17.979219999999998</v>
      </c>
      <c r="P37" s="727"/>
    </row>
    <row r="38" spans="1:16" ht="11.25" customHeight="1">
      <c r="A38" s="609" t="s">
        <v>464</v>
      </c>
      <c r="B38" s="753">
        <v>13.50037</v>
      </c>
      <c r="C38" s="753">
        <v>50</v>
      </c>
      <c r="D38" s="610">
        <f t="shared" si="0"/>
        <v>-0.72999259999999999</v>
      </c>
      <c r="E38" s="138"/>
      <c r="F38" s="138"/>
      <c r="G38" s="138"/>
      <c r="H38" s="138"/>
      <c r="I38" s="138"/>
      <c r="J38" s="138"/>
      <c r="K38" s="138"/>
      <c r="L38" s="700"/>
      <c r="M38" s="657" t="s">
        <v>464</v>
      </c>
      <c r="N38" s="656">
        <v>13.50037</v>
      </c>
      <c r="O38" s="656">
        <v>50</v>
      </c>
      <c r="P38" s="727"/>
    </row>
    <row r="39" spans="1:16" ht="11.25" customHeight="1">
      <c r="A39" s="613" t="s">
        <v>102</v>
      </c>
      <c r="B39" s="754">
        <v>13.07714</v>
      </c>
      <c r="C39" s="754">
        <v>17.979219999999998</v>
      </c>
      <c r="D39" s="612">
        <f t="shared" si="0"/>
        <v>-0.27265253998783034</v>
      </c>
      <c r="E39" s="138"/>
      <c r="F39" s="138"/>
      <c r="G39" s="138"/>
      <c r="H39" s="138"/>
      <c r="I39" s="138"/>
      <c r="J39" s="138"/>
      <c r="K39" s="138"/>
      <c r="L39" s="700"/>
      <c r="M39" s="657" t="s">
        <v>234</v>
      </c>
      <c r="N39" s="656">
        <v>13.591619999999999</v>
      </c>
      <c r="O39" s="656">
        <v>18.21219</v>
      </c>
      <c r="P39" s="727"/>
    </row>
    <row r="40" spans="1:16" ht="11.4" customHeight="1">
      <c r="A40" s="614" t="s">
        <v>457</v>
      </c>
      <c r="B40" s="753">
        <v>12.906969999999999</v>
      </c>
      <c r="C40" s="753">
        <v>65.569630000000004</v>
      </c>
      <c r="D40" s="610">
        <f t="shared" si="0"/>
        <v>-0.80315627829530234</v>
      </c>
      <c r="E40" s="138"/>
      <c r="F40" s="138"/>
      <c r="G40" s="138"/>
      <c r="H40" s="138"/>
      <c r="I40" s="138"/>
      <c r="J40" s="138"/>
      <c r="K40" s="138"/>
      <c r="L40" s="699"/>
      <c r="M40" s="657" t="s">
        <v>110</v>
      </c>
      <c r="N40" s="656">
        <v>13.668240000000001</v>
      </c>
      <c r="O40" s="656">
        <v>24.530100000000001</v>
      </c>
      <c r="P40" s="727"/>
    </row>
    <row r="41" spans="1:16" ht="11.25" customHeight="1">
      <c r="A41" s="613" t="s">
        <v>458</v>
      </c>
      <c r="B41" s="754">
        <v>10.9998</v>
      </c>
      <c r="C41" s="754">
        <v>19.745669999999997</v>
      </c>
      <c r="D41" s="612">
        <f t="shared" si="0"/>
        <v>-0.44292596807300022</v>
      </c>
      <c r="E41" s="138"/>
      <c r="F41" s="138"/>
      <c r="G41" s="138"/>
      <c r="H41" s="138"/>
      <c r="I41" s="138"/>
      <c r="J41" s="138"/>
      <c r="K41" s="138"/>
      <c r="L41" s="699"/>
      <c r="M41" s="657" t="s">
        <v>391</v>
      </c>
      <c r="N41" s="656">
        <v>14.122249999999999</v>
      </c>
      <c r="O41" s="656">
        <v>20.0623</v>
      </c>
      <c r="P41" s="727"/>
    </row>
    <row r="42" spans="1:16" ht="11.25" customHeight="1">
      <c r="A42" s="615" t="s">
        <v>429</v>
      </c>
      <c r="B42" s="753">
        <v>10.596</v>
      </c>
      <c r="C42" s="753">
        <v>19.097290000000001</v>
      </c>
      <c r="D42" s="610">
        <f t="shared" si="0"/>
        <v>-0.44515687827958839</v>
      </c>
      <c r="E42" s="138"/>
      <c r="F42" s="138"/>
      <c r="G42" s="138"/>
      <c r="H42" s="138"/>
      <c r="I42" s="138"/>
      <c r="J42" s="138"/>
      <c r="K42" s="138"/>
      <c r="L42" s="699"/>
      <c r="M42" s="657" t="s">
        <v>105</v>
      </c>
      <c r="N42" s="656">
        <v>15.864420000000001</v>
      </c>
      <c r="O42" s="656">
        <v>15.353859999999999</v>
      </c>
      <c r="P42" s="727"/>
    </row>
    <row r="43" spans="1:16" ht="9.75" customHeight="1">
      <c r="A43" s="611" t="s">
        <v>400</v>
      </c>
      <c r="B43" s="754">
        <v>9.1636000000000006</v>
      </c>
      <c r="C43" s="754">
        <v>6.8939000000000004</v>
      </c>
      <c r="D43" s="612">
        <f t="shared" si="0"/>
        <v>0.32923309012315238</v>
      </c>
      <c r="E43" s="138"/>
      <c r="F43" s="138"/>
      <c r="G43" s="138"/>
      <c r="H43" s="138"/>
      <c r="I43" s="138"/>
      <c r="J43" s="138"/>
      <c r="K43" s="138"/>
      <c r="L43" s="700"/>
      <c r="M43" s="657" t="s">
        <v>407</v>
      </c>
      <c r="N43" s="656">
        <v>17.317910000000001</v>
      </c>
      <c r="O43" s="656">
        <v>12.058070000000001</v>
      </c>
      <c r="P43" s="727"/>
    </row>
    <row r="44" spans="1:16" ht="9.75" customHeight="1">
      <c r="A44" s="609" t="s">
        <v>438</v>
      </c>
      <c r="B44" s="753">
        <v>7.5319200000000004</v>
      </c>
      <c r="C44" s="753">
        <v>27.368369999999999</v>
      </c>
      <c r="D44" s="610">
        <f t="shared" si="0"/>
        <v>-0.72479471740553048</v>
      </c>
      <c r="E44" s="138"/>
      <c r="F44" s="138"/>
      <c r="G44" s="138"/>
      <c r="H44" s="138"/>
      <c r="I44" s="138"/>
      <c r="J44" s="138"/>
      <c r="K44" s="138"/>
      <c r="L44" s="700"/>
      <c r="M44" s="657" t="s">
        <v>118</v>
      </c>
      <c r="N44" s="656">
        <v>17.54785</v>
      </c>
      <c r="O44" s="656">
        <v>10.801080000000001</v>
      </c>
      <c r="P44" s="727"/>
    </row>
    <row r="45" spans="1:16" ht="9.75" customHeight="1">
      <c r="A45" s="611" t="s">
        <v>437</v>
      </c>
      <c r="B45" s="754">
        <v>7.38835</v>
      </c>
      <c r="C45" s="754">
        <v>9.7611799999999995</v>
      </c>
      <c r="D45" s="612">
        <f t="shared" si="0"/>
        <v>-0.24308843807818314</v>
      </c>
      <c r="E45" s="138"/>
      <c r="F45" s="138"/>
      <c r="G45" s="138"/>
      <c r="H45" s="138"/>
      <c r="I45" s="138"/>
      <c r="J45" s="138"/>
      <c r="K45" s="138"/>
      <c r="L45" s="700"/>
      <c r="M45" s="657" t="s">
        <v>236</v>
      </c>
      <c r="N45" s="656">
        <v>22.666609999999999</v>
      </c>
      <c r="O45" s="656">
        <v>23.052240000000001</v>
      </c>
      <c r="P45" s="727"/>
    </row>
    <row r="46" spans="1:16" ht="9.75" customHeight="1">
      <c r="A46" s="609" t="s">
        <v>454</v>
      </c>
      <c r="B46" s="753">
        <v>3.3434300000000001</v>
      </c>
      <c r="C46" s="753">
        <v>14.09769</v>
      </c>
      <c r="D46" s="610">
        <f t="shared" si="0"/>
        <v>-0.76283845083839974</v>
      </c>
      <c r="E46" s="138"/>
      <c r="F46" s="138"/>
      <c r="G46" s="138"/>
      <c r="H46" s="138"/>
      <c r="I46" s="138"/>
      <c r="J46" s="138"/>
      <c r="K46" s="138"/>
      <c r="M46" s="657" t="s">
        <v>107</v>
      </c>
      <c r="N46" s="656">
        <v>22.781739999999999</v>
      </c>
      <c r="O46" s="656">
        <v>67.621760000000009</v>
      </c>
      <c r="P46" s="727"/>
    </row>
    <row r="47" spans="1:16" ht="9.75" customHeight="1">
      <c r="A47" s="611" t="s">
        <v>117</v>
      </c>
      <c r="B47" s="754">
        <v>3.11693</v>
      </c>
      <c r="C47" s="754">
        <v>19.947469999999999</v>
      </c>
      <c r="D47" s="612">
        <f t="shared" si="0"/>
        <v>-0.84374309122911328</v>
      </c>
      <c r="E47" s="138"/>
      <c r="F47" s="138"/>
      <c r="G47" s="138"/>
      <c r="H47" s="138"/>
      <c r="I47" s="138"/>
      <c r="J47" s="138"/>
      <c r="K47" s="138"/>
      <c r="M47" s="657" t="s">
        <v>100</v>
      </c>
      <c r="N47" s="656">
        <v>26.780419999999999</v>
      </c>
      <c r="O47" s="656">
        <v>35.069090000000003</v>
      </c>
      <c r="P47" s="727"/>
    </row>
    <row r="48" spans="1:16" ht="9.6" customHeight="1">
      <c r="A48" s="614" t="s">
        <v>103</v>
      </c>
      <c r="B48" s="753">
        <v>3.04053</v>
      </c>
      <c r="C48" s="753">
        <v>18.505229999999997</v>
      </c>
      <c r="D48" s="610"/>
      <c r="E48" s="138"/>
      <c r="F48" s="138"/>
      <c r="G48" s="138"/>
      <c r="H48" s="138"/>
      <c r="I48" s="138"/>
      <c r="J48" s="138"/>
      <c r="K48" s="138"/>
      <c r="M48" s="657" t="s">
        <v>232</v>
      </c>
      <c r="N48" s="656">
        <v>47.760480000000001</v>
      </c>
      <c r="O48" s="656">
        <v>40.86</v>
      </c>
      <c r="P48" s="727"/>
    </row>
    <row r="49" spans="1:16" ht="9.75" customHeight="1">
      <c r="A49" s="611" t="s">
        <v>446</v>
      </c>
      <c r="B49" s="754">
        <v>2.9914100000000001</v>
      </c>
      <c r="C49" s="754">
        <v>20.059730000000002</v>
      </c>
      <c r="D49" s="612">
        <f t="shared" si="0"/>
        <v>-0.85087486222396813</v>
      </c>
      <c r="E49" s="138"/>
      <c r="F49" s="138"/>
      <c r="G49" s="138"/>
      <c r="H49" s="138"/>
      <c r="I49" s="138"/>
      <c r="J49" s="138"/>
      <c r="K49" s="138"/>
      <c r="M49" s="657" t="s">
        <v>93</v>
      </c>
      <c r="N49" s="656">
        <v>48.963499999999996</v>
      </c>
      <c r="O49" s="656">
        <v>210.72300000000001</v>
      </c>
      <c r="P49" s="727"/>
    </row>
    <row r="50" spans="1:16" ht="10.95" customHeight="1">
      <c r="A50" s="614" t="s">
        <v>111</v>
      </c>
      <c r="B50" s="753">
        <v>2.50197</v>
      </c>
      <c r="C50" s="753">
        <v>2.3924099999999999</v>
      </c>
      <c r="D50" s="610">
        <f t="shared" si="0"/>
        <v>4.5794826137660394E-2</v>
      </c>
      <c r="E50" s="138"/>
      <c r="F50" s="138"/>
      <c r="G50" s="138"/>
      <c r="H50" s="138"/>
      <c r="I50" s="138"/>
      <c r="J50" s="138"/>
      <c r="K50" s="138"/>
      <c r="M50" s="657" t="s">
        <v>96</v>
      </c>
      <c r="N50" s="656">
        <v>50.558299999999996</v>
      </c>
      <c r="O50" s="656">
        <v>42.108710000000002</v>
      </c>
      <c r="P50" s="727"/>
    </row>
    <row r="51" spans="1:16" ht="11.25" customHeight="1">
      <c r="A51" s="613" t="s">
        <v>455</v>
      </c>
      <c r="B51" s="754">
        <v>2.1560199999999998</v>
      </c>
      <c r="C51" s="754">
        <v>9.1332599999999999</v>
      </c>
      <c r="D51" s="612">
        <f t="shared" si="0"/>
        <v>-0.76393752066622433</v>
      </c>
      <c r="E51" s="138"/>
      <c r="F51" s="138"/>
      <c r="G51" s="138"/>
      <c r="H51" s="138"/>
      <c r="I51" s="138"/>
      <c r="J51" s="138"/>
      <c r="K51" s="138"/>
      <c r="M51" s="657" t="s">
        <v>415</v>
      </c>
      <c r="N51" s="656">
        <v>56.74933</v>
      </c>
      <c r="O51" s="656">
        <v>90.458650000000006</v>
      </c>
      <c r="P51" s="727"/>
    </row>
    <row r="52" spans="1:16" ht="12" customHeight="1">
      <c r="A52" s="614" t="s">
        <v>112</v>
      </c>
      <c r="B52" s="753">
        <v>2.1389999999999998</v>
      </c>
      <c r="C52" s="753">
        <v>3.391</v>
      </c>
      <c r="D52" s="610">
        <f t="shared" si="0"/>
        <v>-0.36921262164553237</v>
      </c>
      <c r="E52" s="138"/>
      <c r="F52" s="138"/>
      <c r="G52" s="138"/>
      <c r="H52" s="138"/>
      <c r="I52" s="138"/>
      <c r="J52" s="138"/>
      <c r="K52" s="138"/>
      <c r="M52" s="657" t="s">
        <v>98</v>
      </c>
      <c r="N52" s="656">
        <v>69.947050000000004</v>
      </c>
      <c r="O52" s="656">
        <v>69.834980000000002</v>
      </c>
      <c r="P52" s="727"/>
    </row>
    <row r="53" spans="1:16" ht="9.75" customHeight="1">
      <c r="A53" s="613" t="s">
        <v>113</v>
      </c>
      <c r="B53" s="754">
        <v>1.6</v>
      </c>
      <c r="C53" s="754">
        <v>3.2</v>
      </c>
      <c r="D53" s="612">
        <f t="shared" si="0"/>
        <v>-0.5</v>
      </c>
      <c r="E53" s="138"/>
      <c r="F53" s="138"/>
      <c r="G53" s="138"/>
      <c r="H53" s="138"/>
      <c r="I53" s="138"/>
      <c r="J53" s="138"/>
      <c r="K53" s="138"/>
      <c r="M53" s="657" t="s">
        <v>92</v>
      </c>
      <c r="N53" s="656">
        <v>80.192999999999998</v>
      </c>
      <c r="O53" s="656">
        <v>176.57</v>
      </c>
      <c r="P53" s="727"/>
    </row>
    <row r="54" spans="1:16" ht="9.75" customHeight="1">
      <c r="A54" s="609" t="s">
        <v>530</v>
      </c>
      <c r="B54" s="753">
        <v>1.49437</v>
      </c>
      <c r="C54" s="753">
        <v>2.9917400000000001</v>
      </c>
      <c r="D54" s="610">
        <f t="shared" si="0"/>
        <v>-0.50050138046755399</v>
      </c>
      <c r="E54" s="138"/>
      <c r="F54" s="138"/>
      <c r="G54" s="138"/>
      <c r="H54" s="138"/>
      <c r="I54" s="138"/>
      <c r="J54" s="138"/>
      <c r="K54" s="138"/>
      <c r="M54" s="657" t="s">
        <v>104</v>
      </c>
      <c r="N54" s="656">
        <v>86.590130000000002</v>
      </c>
      <c r="O54" s="656">
        <v>0</v>
      </c>
      <c r="P54" s="727"/>
    </row>
    <row r="55" spans="1:16" ht="9.75" customHeight="1">
      <c r="A55" s="611" t="s">
        <v>114</v>
      </c>
      <c r="B55" s="754">
        <v>1.3240000000000001</v>
      </c>
      <c r="C55" s="754">
        <v>3.4080000000000004</v>
      </c>
      <c r="D55" s="612">
        <f t="shared" si="0"/>
        <v>-0.61150234741784038</v>
      </c>
      <c r="E55" s="138"/>
      <c r="F55" s="138"/>
      <c r="G55" s="138"/>
      <c r="H55" s="138"/>
      <c r="I55" s="138"/>
      <c r="J55" s="138"/>
      <c r="K55" s="138"/>
      <c r="M55" s="657" t="s">
        <v>94</v>
      </c>
      <c r="N55" s="656">
        <v>88.902979999999999</v>
      </c>
      <c r="O55" s="656">
        <v>46.0807</v>
      </c>
      <c r="P55" s="727"/>
    </row>
    <row r="56" spans="1:16" ht="9.75" customHeight="1">
      <c r="A56" s="609" t="s">
        <v>456</v>
      </c>
      <c r="B56" s="753">
        <v>0.57291000000000003</v>
      </c>
      <c r="C56" s="753">
        <v>0</v>
      </c>
      <c r="D56" s="610" t="str">
        <f t="shared" si="0"/>
        <v/>
      </c>
      <c r="E56" s="138"/>
      <c r="F56" s="138"/>
      <c r="G56" s="138"/>
      <c r="H56" s="138"/>
      <c r="I56" s="138"/>
      <c r="J56" s="138"/>
      <c r="K56" s="138"/>
      <c r="M56" s="657" t="s">
        <v>95</v>
      </c>
      <c r="N56" s="656">
        <v>90.43</v>
      </c>
      <c r="O56" s="656">
        <v>90.474000000000004</v>
      </c>
      <c r="P56" s="727"/>
    </row>
    <row r="57" spans="1:16" ht="9.75" customHeight="1">
      <c r="A57" s="611" t="s">
        <v>230</v>
      </c>
      <c r="B57" s="754">
        <v>0</v>
      </c>
      <c r="C57" s="754">
        <v>0</v>
      </c>
      <c r="D57" s="612" t="str">
        <f t="shared" si="0"/>
        <v/>
      </c>
      <c r="E57" s="138"/>
      <c r="F57" s="138"/>
      <c r="G57" s="138"/>
      <c r="H57" s="138"/>
      <c r="I57" s="138"/>
      <c r="J57" s="138"/>
      <c r="K57" s="138"/>
      <c r="M57" s="657" t="s">
        <v>91</v>
      </c>
      <c r="N57" s="656">
        <v>109.188</v>
      </c>
      <c r="O57" s="656">
        <v>165.25199999999998</v>
      </c>
      <c r="P57" s="727"/>
    </row>
    <row r="58" spans="1:16" ht="9.75" customHeight="1">
      <c r="A58" s="609" t="s">
        <v>115</v>
      </c>
      <c r="B58" s="753">
        <v>0</v>
      </c>
      <c r="C58" s="753">
        <v>0</v>
      </c>
      <c r="D58" s="610" t="str">
        <f t="shared" si="0"/>
        <v/>
      </c>
      <c r="E58" s="138"/>
      <c r="F58" s="138"/>
      <c r="G58" s="138"/>
      <c r="H58" s="138"/>
      <c r="I58" s="138"/>
      <c r="J58" s="138"/>
      <c r="K58" s="138"/>
      <c r="M58" s="657" t="s">
        <v>97</v>
      </c>
      <c r="N58" s="656">
        <v>116.925</v>
      </c>
      <c r="O58" s="656">
        <v>126.53700000000001</v>
      </c>
      <c r="P58" s="727"/>
    </row>
    <row r="59" spans="1:16" ht="9.75" customHeight="1">
      <c r="A59" s="611" t="s">
        <v>109</v>
      </c>
      <c r="B59" s="754">
        <v>0</v>
      </c>
      <c r="C59" s="754">
        <v>0</v>
      </c>
      <c r="D59" s="612" t="str">
        <f t="shared" si="0"/>
        <v/>
      </c>
      <c r="E59" s="138"/>
      <c r="F59" s="138"/>
      <c r="G59" s="138"/>
      <c r="H59" s="138"/>
      <c r="I59" s="138"/>
      <c r="J59" s="138"/>
      <c r="K59" s="138"/>
      <c r="M59" s="657" t="s">
        <v>90</v>
      </c>
      <c r="N59" s="656">
        <v>152.43280000000004</v>
      </c>
      <c r="O59" s="656">
        <v>170.90086000000002</v>
      </c>
      <c r="P59" s="727"/>
    </row>
    <row r="60" spans="1:16" ht="9.75" customHeight="1">
      <c r="A60" s="609" t="s">
        <v>106</v>
      </c>
      <c r="B60" s="753">
        <v>0</v>
      </c>
      <c r="C60" s="753">
        <v>0</v>
      </c>
      <c r="D60" s="610" t="str">
        <f t="shared" si="0"/>
        <v/>
      </c>
      <c r="E60" s="138"/>
      <c r="F60" s="138"/>
      <c r="G60" s="138"/>
      <c r="H60" s="138"/>
      <c r="I60" s="138"/>
      <c r="J60" s="138"/>
      <c r="K60" s="138"/>
      <c r="M60" s="657" t="s">
        <v>89</v>
      </c>
      <c r="N60" s="656">
        <v>169.40217999999996</v>
      </c>
      <c r="O60" s="656">
        <v>414.53339999999997</v>
      </c>
      <c r="P60" s="727"/>
    </row>
    <row r="61" spans="1:16" ht="9.75" customHeight="1">
      <c r="A61" s="616" t="s">
        <v>237</v>
      </c>
      <c r="B61" s="755">
        <v>0</v>
      </c>
      <c r="C61" s="755">
        <v>0</v>
      </c>
      <c r="D61" s="612" t="str">
        <f t="shared" si="0"/>
        <v/>
      </c>
      <c r="E61" s="138"/>
      <c r="F61" s="138"/>
      <c r="G61" s="138"/>
      <c r="H61" s="138"/>
      <c r="I61" s="138"/>
      <c r="J61" s="138"/>
      <c r="K61" s="138"/>
      <c r="M61" s="657" t="s">
        <v>238</v>
      </c>
      <c r="N61" s="656">
        <v>175.04680999999999</v>
      </c>
      <c r="O61" s="656">
        <v>0</v>
      </c>
      <c r="P61" s="727"/>
    </row>
    <row r="62" spans="1:16" ht="9.75" customHeight="1">
      <c r="A62" s="617" t="s">
        <v>101</v>
      </c>
      <c r="B62" s="756">
        <v>0</v>
      </c>
      <c r="C62" s="756">
        <v>26.591609999999999</v>
      </c>
      <c r="D62" s="618">
        <f t="shared" si="0"/>
        <v>-1</v>
      </c>
      <c r="E62" s="138"/>
      <c r="F62" s="138"/>
      <c r="G62" s="138"/>
      <c r="H62" s="138"/>
      <c r="I62" s="138"/>
      <c r="J62" s="138"/>
      <c r="K62" s="138"/>
      <c r="M62" s="657" t="s">
        <v>231</v>
      </c>
      <c r="N62" s="656">
        <v>185.32076000000001</v>
      </c>
      <c r="O62" s="656">
        <v>466.14035000000001</v>
      </c>
      <c r="P62" s="727"/>
    </row>
    <row r="63" spans="1:16" ht="9.75" customHeight="1">
      <c r="A63" s="616" t="s">
        <v>116</v>
      </c>
      <c r="B63" s="755">
        <v>0</v>
      </c>
      <c r="C63" s="755">
        <v>0</v>
      </c>
      <c r="D63" s="606" t="str">
        <f t="shared" si="0"/>
        <v/>
      </c>
      <c r="E63" s="138"/>
      <c r="F63" s="138"/>
      <c r="G63" s="138"/>
      <c r="H63" s="138"/>
      <c r="I63" s="138"/>
      <c r="J63" s="138"/>
      <c r="K63" s="138"/>
      <c r="M63" s="657" t="s">
        <v>99</v>
      </c>
      <c r="N63" s="656">
        <v>192.90967000000001</v>
      </c>
      <c r="O63" s="656">
        <v>194.47380999999999</v>
      </c>
      <c r="P63" s="727"/>
    </row>
    <row r="64" spans="1:16" ht="9.75" customHeight="1">
      <c r="A64" s="617" t="s">
        <v>108</v>
      </c>
      <c r="B64" s="756">
        <v>0</v>
      </c>
      <c r="C64" s="756">
        <v>0</v>
      </c>
      <c r="D64" s="618" t="str">
        <f t="shared" si="0"/>
        <v/>
      </c>
      <c r="E64" s="138"/>
      <c r="F64" s="138"/>
      <c r="G64" s="138"/>
      <c r="H64" s="138"/>
      <c r="I64" s="138"/>
      <c r="J64" s="138"/>
      <c r="K64" s="138"/>
      <c r="M64" s="657" t="s">
        <v>235</v>
      </c>
      <c r="N64" s="656">
        <v>245.06297999999998</v>
      </c>
      <c r="O64" s="656">
        <v>343.30500000000001</v>
      </c>
      <c r="P64" s="727"/>
    </row>
    <row r="65" spans="1:16" ht="9.75" customHeight="1">
      <c r="A65" s="616" t="s">
        <v>416</v>
      </c>
      <c r="B65" s="755">
        <v>0</v>
      </c>
      <c r="C65" s="755">
        <v>8.4873499999999993</v>
      </c>
      <c r="D65" s="606">
        <f t="shared" si="0"/>
        <v>-1</v>
      </c>
      <c r="E65" s="138"/>
      <c r="F65" s="138"/>
      <c r="G65" s="138"/>
      <c r="H65" s="138"/>
      <c r="I65" s="138"/>
      <c r="J65" s="138"/>
      <c r="K65" s="138"/>
      <c r="M65" s="657" t="s">
        <v>233</v>
      </c>
      <c r="N65" s="656">
        <v>564.15017</v>
      </c>
      <c r="O65" s="656">
        <v>271.44031000000001</v>
      </c>
      <c r="P65" s="727"/>
    </row>
    <row r="66" spans="1:16" ht="9.75" customHeight="1">
      <c r="A66" s="617" t="s">
        <v>452</v>
      </c>
      <c r="B66" s="756">
        <v>0</v>
      </c>
      <c r="C66" s="756">
        <v>0</v>
      </c>
      <c r="D66" s="618" t="str">
        <f t="shared" si="0"/>
        <v/>
      </c>
      <c r="E66" s="138"/>
      <c r="F66" s="138"/>
      <c r="G66" s="138"/>
      <c r="H66" s="138"/>
      <c r="I66" s="138"/>
      <c r="J66" s="138"/>
      <c r="K66" s="138"/>
      <c r="M66" s="657" t="s">
        <v>88</v>
      </c>
      <c r="N66" s="659">
        <v>595.46447999999998</v>
      </c>
      <c r="O66" s="659">
        <v>801.22800000000007</v>
      </c>
      <c r="P66" s="727"/>
    </row>
    <row r="67" spans="1:16" ht="9.75" customHeight="1">
      <c r="A67" s="616" t="s">
        <v>453</v>
      </c>
      <c r="B67" s="755">
        <v>0</v>
      </c>
      <c r="C67" s="755">
        <v>0</v>
      </c>
      <c r="D67" s="606" t="str">
        <f t="shared" si="0"/>
        <v/>
      </c>
      <c r="E67" s="138"/>
      <c r="F67" s="138"/>
      <c r="G67" s="138"/>
      <c r="H67" s="138"/>
      <c r="I67" s="138"/>
      <c r="J67" s="138"/>
      <c r="K67" s="138"/>
      <c r="M67" s="657" t="s">
        <v>87</v>
      </c>
      <c r="N67" s="659">
        <v>1100.3490000000004</v>
      </c>
      <c r="O67" s="659">
        <v>634.50299999999993</v>
      </c>
      <c r="P67" s="727"/>
    </row>
    <row r="68" spans="1:16" ht="9.75" customHeight="1">
      <c r="A68" s="617" t="s">
        <v>531</v>
      </c>
      <c r="B68" s="756">
        <v>0</v>
      </c>
      <c r="C68" s="756">
        <v>0</v>
      </c>
      <c r="D68" s="618" t="str">
        <f t="shared" si="0"/>
        <v/>
      </c>
      <c r="E68" s="138"/>
      <c r="F68" s="138"/>
      <c r="G68" s="138"/>
      <c r="H68" s="138"/>
      <c r="I68" s="138"/>
      <c r="J68" s="138"/>
      <c r="K68" s="138"/>
      <c r="M68" s="657" t="s">
        <v>399</v>
      </c>
      <c r="N68" s="659">
        <v>1383.7867200000001</v>
      </c>
      <c r="O68" s="659">
        <v>1240.5700000000002</v>
      </c>
      <c r="P68" s="727"/>
    </row>
    <row r="69" spans="1:16" ht="9.75" customHeight="1">
      <c r="A69" s="616" t="s">
        <v>401</v>
      </c>
      <c r="B69" s="755"/>
      <c r="C69" s="755">
        <v>0.77500000000000002</v>
      </c>
      <c r="D69" s="606">
        <f>IF(C69=0,"",B69/C69-1)</f>
        <v>-1</v>
      </c>
      <c r="E69" s="138"/>
      <c r="F69" s="138"/>
      <c r="G69" s="138"/>
      <c r="H69" s="138"/>
      <c r="I69" s="138"/>
      <c r="J69" s="138"/>
      <c r="K69" s="138"/>
      <c r="M69" s="657" t="s">
        <v>86</v>
      </c>
      <c r="N69" s="659">
        <v>1583.53062</v>
      </c>
      <c r="O69" s="659">
        <v>1000.8829499999999</v>
      </c>
      <c r="P69" s="727"/>
    </row>
    <row r="70" spans="1:16" ht="9.75" customHeight="1">
      <c r="A70" s="619" t="s">
        <v>41</v>
      </c>
      <c r="B70" s="620">
        <f>+SUM(B7:B69)</f>
        <v>7467.4497399999991</v>
      </c>
      <c r="C70" s="620">
        <f>+SUM(C7:C69)</f>
        <v>7173.0331600000009</v>
      </c>
      <c r="D70" s="621">
        <f>IF(C70=0,"",B70/C70-1)</f>
        <v>4.1044921086074826E-2</v>
      </c>
      <c r="E70" s="138"/>
      <c r="F70" s="138"/>
      <c r="G70" s="138"/>
      <c r="H70" s="138"/>
      <c r="I70" s="138"/>
      <c r="J70" s="138"/>
      <c r="K70" s="138"/>
      <c r="P70" s="727"/>
    </row>
    <row r="71" spans="1:16" ht="9.75" customHeight="1">
      <c r="E71" s="138"/>
      <c r="F71" s="138"/>
      <c r="G71" s="138"/>
      <c r="H71" s="138"/>
      <c r="I71" s="138"/>
      <c r="J71" s="138"/>
      <c r="K71" s="138"/>
      <c r="P71" s="727"/>
    </row>
    <row r="72" spans="1:16" ht="31.2" customHeight="1">
      <c r="A72" s="855" t="str">
        <f>"Cuadro N° 8: Participación de las empresas generadoras del COES en la máxima potencia coincidente (MW) en "&amp;'1. Resumen'!Q4&amp;"."</f>
        <v>Cuadro N° 8: Participación de las empresas generadoras del COES en la máxima potencia coincidente (MW) en diciembe.</v>
      </c>
      <c r="B72" s="855"/>
      <c r="C72" s="855"/>
      <c r="D72" s="855"/>
      <c r="E72" s="132"/>
      <c r="F72" s="855" t="str">
        <f>"Gráfico N° 12: Comparación de la máxima potencia coincidente  (MW) de las empresas generadoras del COES en "&amp;'1. Resumen'!Q4&amp;"."</f>
        <v>Gráfico N° 12: Comparación de la máxima potencia coincidente  (MW) de las empresas generadoras del COES en diciembe.</v>
      </c>
      <c r="G72" s="855"/>
      <c r="H72" s="855"/>
      <c r="I72" s="855"/>
      <c r="J72" s="855"/>
      <c r="K72" s="855"/>
    </row>
    <row r="73" spans="1:16">
      <c r="A73" s="868"/>
      <c r="B73" s="868"/>
      <c r="C73" s="868"/>
      <c r="D73" s="868"/>
      <c r="E73" s="868"/>
      <c r="F73" s="868"/>
      <c r="G73" s="868"/>
      <c r="H73" s="868"/>
      <c r="I73" s="868"/>
      <c r="J73" s="868"/>
      <c r="K73" s="868"/>
    </row>
    <row r="74" spans="1:16">
      <c r="A74" s="867"/>
      <c r="B74" s="867"/>
      <c r="C74" s="867"/>
      <c r="D74" s="867"/>
      <c r="E74" s="867"/>
      <c r="F74" s="867"/>
      <c r="G74" s="867"/>
      <c r="H74" s="867"/>
      <c r="I74" s="867"/>
      <c r="J74" s="867"/>
      <c r="K74" s="867"/>
    </row>
  </sheetData>
  <mergeCells count="9">
    <mergeCell ref="A74:K74"/>
    <mergeCell ref="A73:K73"/>
    <mergeCell ref="A72:D72"/>
    <mergeCell ref="F72:K72"/>
    <mergeCell ref="A1:K1"/>
    <mergeCell ref="A3:A6"/>
    <mergeCell ref="B3:D3"/>
    <mergeCell ref="H3:J3"/>
    <mergeCell ref="D4:D6"/>
  </mergeCells>
  <pageMargins left="0.4365" right="0.31630434782608696" top="0.80833333333333335" bottom="0.40065217391304347"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71" customWidth="1"/>
    <col min="11" max="11" width="9.28515625" style="46" customWidth="1"/>
    <col min="12" max="12" width="9.28515625" style="46"/>
    <col min="13" max="18" width="9.28515625" style="276"/>
    <col min="19" max="21" width="9.28515625" style="46"/>
    <col min="22" max="25" width="9.28515625" style="671"/>
    <col min="26" max="31" width="9.28515625" style="296"/>
    <col min="32" max="16384" width="9.28515625" style="46"/>
  </cols>
  <sheetData>
    <row r="1" spans="1:38" ht="11.25" customHeight="1"/>
    <row r="2" spans="1:38" ht="17.25" customHeight="1">
      <c r="A2" s="859" t="s">
        <v>246</v>
      </c>
      <c r="B2" s="859"/>
      <c r="C2" s="859"/>
      <c r="D2" s="859"/>
      <c r="E2" s="859"/>
      <c r="F2" s="859"/>
      <c r="G2" s="859"/>
      <c r="H2" s="859"/>
    </row>
    <row r="3" spans="1:38" ht="11.25" customHeight="1">
      <c r="A3" s="77"/>
      <c r="B3" s="77"/>
      <c r="C3" s="77"/>
      <c r="D3" s="77"/>
      <c r="E3" s="77"/>
      <c r="F3" s="82"/>
      <c r="G3" s="82"/>
      <c r="H3" s="82"/>
      <c r="I3" s="36"/>
      <c r="J3" s="670"/>
    </row>
    <row r="4" spans="1:38" ht="15.75" customHeight="1">
      <c r="A4" s="877" t="s">
        <v>424</v>
      </c>
      <c r="B4" s="877"/>
      <c r="C4" s="877"/>
      <c r="D4" s="877"/>
      <c r="E4" s="877"/>
      <c r="F4" s="877"/>
      <c r="G4" s="877"/>
      <c r="H4" s="877"/>
      <c r="I4" s="36"/>
      <c r="J4" s="670"/>
    </row>
    <row r="5" spans="1:38" ht="11.25" customHeight="1">
      <c r="A5" s="77"/>
      <c r="B5" s="164"/>
      <c r="C5" s="79"/>
      <c r="D5" s="79"/>
      <c r="E5" s="80"/>
      <c r="F5" s="76"/>
      <c r="G5" s="76"/>
      <c r="H5" s="81"/>
      <c r="I5" s="165"/>
      <c r="J5" s="702"/>
    </row>
    <row r="6" spans="1:38" ht="39" customHeight="1">
      <c r="A6" s="77"/>
      <c r="C6" s="373" t="s">
        <v>121</v>
      </c>
      <c r="D6" s="374" t="s">
        <v>759</v>
      </c>
      <c r="E6" s="374" t="s">
        <v>760</v>
      </c>
      <c r="F6" s="375" t="s">
        <v>122</v>
      </c>
      <c r="G6" s="169"/>
      <c r="H6" s="170"/>
    </row>
    <row r="7" spans="1:38" ht="11.25" customHeight="1">
      <c r="A7" s="77"/>
      <c r="C7" s="786" t="s">
        <v>123</v>
      </c>
      <c r="D7" s="787">
        <v>11.921999931335399</v>
      </c>
      <c r="E7" s="547">
        <v>27.329000473022401</v>
      </c>
      <c r="F7" s="413">
        <f>IF(E7=0,"",(D7-E7)/E7)</f>
        <v>-0.56376011837300433</v>
      </c>
      <c r="G7" s="137"/>
      <c r="H7" s="264"/>
    </row>
    <row r="8" spans="1:38" ht="11.25" customHeight="1">
      <c r="A8" s="77"/>
      <c r="C8" s="788" t="s">
        <v>124</v>
      </c>
      <c r="D8" s="789">
        <v>62.171001434326101</v>
      </c>
      <c r="E8" s="414">
        <v>81.001998901367102</v>
      </c>
      <c r="F8" s="415">
        <f t="shared" ref="F8:F20" si="0">IF(E8=0,"",(D8-E8)/E8)</f>
        <v>-0.23247571322246943</v>
      </c>
      <c r="G8" s="137"/>
      <c r="H8" s="264"/>
    </row>
    <row r="9" spans="1:38" ht="11.25" customHeight="1">
      <c r="A9" s="77"/>
      <c r="C9" s="790" t="s">
        <v>125</v>
      </c>
      <c r="D9" s="791">
        <v>44.004001617431598</v>
      </c>
      <c r="E9" s="416">
        <v>46.983001708984297</v>
      </c>
      <c r="F9" s="417">
        <f t="shared" si="0"/>
        <v>-6.3405912419236543E-2</v>
      </c>
      <c r="G9" s="137"/>
      <c r="H9" s="264"/>
      <c r="M9" s="627" t="s">
        <v>252</v>
      </c>
      <c r="N9" s="277"/>
      <c r="O9" s="277"/>
      <c r="P9" s="277"/>
      <c r="Q9" s="277"/>
      <c r="R9" s="277"/>
      <c r="S9"/>
      <c r="T9"/>
      <c r="U9"/>
      <c r="V9" s="668"/>
      <c r="W9" s="668"/>
      <c r="X9" s="668"/>
      <c r="Y9" s="668"/>
      <c r="Z9" s="297"/>
      <c r="AA9" s="297"/>
      <c r="AB9" s="297"/>
      <c r="AC9" s="297"/>
      <c r="AD9" s="297"/>
      <c r="AE9" s="297"/>
      <c r="AF9" s="215"/>
      <c r="AG9" s="215"/>
      <c r="AH9" s="215"/>
      <c r="AI9" s="215"/>
      <c r="AJ9" s="215"/>
      <c r="AK9" s="215"/>
      <c r="AL9" s="215"/>
    </row>
    <row r="10" spans="1:38" ht="11.25" customHeight="1">
      <c r="A10" s="77"/>
      <c r="C10" s="788" t="s">
        <v>126</v>
      </c>
      <c r="D10" s="789">
        <v>27.659999847412099</v>
      </c>
      <c r="E10" s="414">
        <v>39.491001129150298</v>
      </c>
      <c r="F10" s="415">
        <f t="shared" si="0"/>
        <v>-0.29958727161781529</v>
      </c>
      <c r="G10" s="137"/>
      <c r="H10" s="264"/>
      <c r="M10" s="627" t="s">
        <v>253</v>
      </c>
      <c r="N10" s="277"/>
      <c r="O10" s="277"/>
      <c r="P10" s="277"/>
      <c r="Q10" s="277"/>
      <c r="R10" s="277"/>
      <c r="S10"/>
      <c r="T10"/>
      <c r="AD10" s="297"/>
      <c r="AE10" s="297"/>
      <c r="AF10" s="215"/>
      <c r="AG10" s="215"/>
      <c r="AH10" s="215"/>
      <c r="AI10" s="215"/>
      <c r="AJ10" s="215"/>
      <c r="AK10" s="215"/>
      <c r="AL10" s="215"/>
    </row>
    <row r="11" spans="1:38" ht="11.25" customHeight="1">
      <c r="A11" s="77"/>
      <c r="C11" s="790" t="s">
        <v>127</v>
      </c>
      <c r="D11" s="791">
        <v>3.3369998931884699</v>
      </c>
      <c r="E11" s="416">
        <v>8.2370004653930593</v>
      </c>
      <c r="F11" s="417">
        <f>IF(E11=0,"",(D11-E11)/E11)</f>
        <v>-0.59487681138194137</v>
      </c>
      <c r="G11" s="137"/>
      <c r="H11" s="264"/>
      <c r="M11" s="277"/>
      <c r="N11" s="628">
        <v>2019</v>
      </c>
      <c r="O11" s="628">
        <v>2020</v>
      </c>
      <c r="P11" s="628">
        <v>2021</v>
      </c>
      <c r="Q11" s="628">
        <v>2022</v>
      </c>
      <c r="R11" s="277"/>
      <c r="S11"/>
      <c r="T11"/>
      <c r="AD11" s="297"/>
      <c r="AE11" s="297"/>
      <c r="AF11" s="215"/>
      <c r="AG11" s="215"/>
      <c r="AH11" s="215"/>
      <c r="AI11" s="215"/>
      <c r="AJ11" s="215"/>
      <c r="AK11" s="215"/>
      <c r="AL11" s="215"/>
    </row>
    <row r="12" spans="1:38" ht="11.25" customHeight="1">
      <c r="A12" s="77"/>
      <c r="C12" s="788" t="s">
        <v>128</v>
      </c>
      <c r="D12" s="789">
        <v>2.7030000686645499</v>
      </c>
      <c r="E12" s="414">
        <v>4.0879998207092196</v>
      </c>
      <c r="F12" s="415">
        <f t="shared" si="0"/>
        <v>-0.33879643169954654</v>
      </c>
      <c r="G12" s="137"/>
      <c r="H12" s="264"/>
      <c r="M12" s="629">
        <v>1</v>
      </c>
      <c r="N12" s="630">
        <v>117.2900009</v>
      </c>
      <c r="O12" s="630">
        <v>117.290000915527</v>
      </c>
      <c r="P12" s="630">
        <v>129.00799559999999</v>
      </c>
      <c r="Q12" s="710">
        <v>126.9000015</v>
      </c>
      <c r="R12" s="277"/>
      <c r="S12"/>
      <c r="T12"/>
      <c r="AD12" s="297"/>
      <c r="AE12" s="297"/>
      <c r="AF12" s="215"/>
      <c r="AG12" s="215"/>
      <c r="AH12" s="215"/>
      <c r="AI12" s="215"/>
      <c r="AJ12" s="215"/>
      <c r="AK12" s="215"/>
      <c r="AL12" s="215"/>
    </row>
    <row r="13" spans="1:38" ht="11.25" customHeight="1">
      <c r="A13" s="77"/>
      <c r="C13" s="790" t="s">
        <v>129</v>
      </c>
      <c r="D13" s="791">
        <v>22.9799995422363</v>
      </c>
      <c r="E13" s="416">
        <v>65.620002746582003</v>
      </c>
      <c r="F13" s="417">
        <f t="shared" si="0"/>
        <v>-0.64980191130160725</v>
      </c>
      <c r="G13" s="137"/>
      <c r="H13" s="264"/>
      <c r="M13" s="629">
        <v>2</v>
      </c>
      <c r="N13" s="630">
        <v>116.0110016</v>
      </c>
      <c r="O13" s="630">
        <v>146.93600459999999</v>
      </c>
      <c r="P13" s="630">
        <v>140.9219971</v>
      </c>
      <c r="Q13" s="710">
        <v>126.61000060000001</v>
      </c>
      <c r="R13" s="277"/>
      <c r="S13"/>
      <c r="T13"/>
      <c r="AD13" s="297"/>
      <c r="AE13" s="297"/>
      <c r="AF13" s="215"/>
      <c r="AG13" s="215"/>
      <c r="AH13" s="215"/>
      <c r="AI13" s="215"/>
      <c r="AJ13" s="215"/>
      <c r="AK13" s="215"/>
      <c r="AL13" s="215"/>
    </row>
    <row r="14" spans="1:38" ht="11.25" customHeight="1">
      <c r="A14" s="77"/>
      <c r="C14" s="788" t="s">
        <v>130</v>
      </c>
      <c r="D14" s="789">
        <v>225.35099792480401</v>
      </c>
      <c r="E14" s="414">
        <v>233.18600463867099</v>
      </c>
      <c r="F14" s="415">
        <f t="shared" si="0"/>
        <v>-3.3599815417771649E-2</v>
      </c>
      <c r="G14" s="137"/>
      <c r="H14" s="264"/>
      <c r="M14" s="629">
        <v>3</v>
      </c>
      <c r="N14" s="630">
        <v>117.6</v>
      </c>
      <c r="O14" s="630">
        <v>149.93200680000001</v>
      </c>
      <c r="P14" s="630">
        <v>146.8099976</v>
      </c>
      <c r="Q14" s="710">
        <v>130.51999660000001</v>
      </c>
      <c r="R14" s="277"/>
      <c r="S14"/>
      <c r="T14"/>
      <c r="AD14" s="297"/>
      <c r="AE14" s="297"/>
      <c r="AF14" s="215"/>
      <c r="AG14" s="215"/>
      <c r="AH14" s="215"/>
      <c r="AI14" s="215"/>
      <c r="AJ14" s="215"/>
      <c r="AK14" s="215"/>
      <c r="AL14" s="215"/>
    </row>
    <row r="15" spans="1:38" ht="11.25" customHeight="1">
      <c r="A15" s="77"/>
      <c r="C15" s="790" t="s">
        <v>131</v>
      </c>
      <c r="D15" s="791">
        <v>0.34000000357627802</v>
      </c>
      <c r="E15" s="416">
        <v>26.290000915527301</v>
      </c>
      <c r="F15" s="417">
        <f t="shared" si="0"/>
        <v>-0.98706732629379756</v>
      </c>
      <c r="G15" s="137"/>
      <c r="H15" s="264"/>
      <c r="M15" s="629">
        <v>4</v>
      </c>
      <c r="N15" s="630">
        <v>128.32000729999999</v>
      </c>
      <c r="O15" s="630">
        <v>152.6190033</v>
      </c>
      <c r="P15" s="630">
        <v>159.0500031</v>
      </c>
      <c r="Q15" s="710">
        <v>137.43000029999999</v>
      </c>
      <c r="R15" s="277"/>
      <c r="S15"/>
      <c r="T15"/>
      <c r="AD15" s="297"/>
      <c r="AE15" s="297"/>
      <c r="AF15" s="215"/>
      <c r="AG15" s="215"/>
      <c r="AH15" s="215"/>
      <c r="AI15" s="215"/>
      <c r="AJ15" s="215"/>
      <c r="AK15" s="215"/>
      <c r="AL15" s="215"/>
    </row>
    <row r="16" spans="1:38" ht="11.25" customHeight="1">
      <c r="A16" s="77"/>
      <c r="C16" s="788" t="s">
        <v>132</v>
      </c>
      <c r="D16" s="789">
        <v>28.628999710083001</v>
      </c>
      <c r="E16" s="414">
        <v>31.502000808715799</v>
      </c>
      <c r="F16" s="415">
        <f t="shared" si="0"/>
        <v>-9.1200591228412148E-2</v>
      </c>
      <c r="G16" s="137"/>
      <c r="H16" s="264"/>
      <c r="M16" s="629">
        <v>5</v>
      </c>
      <c r="N16" s="630">
        <v>139.2400055</v>
      </c>
      <c r="O16" s="630">
        <v>162.19599909999999</v>
      </c>
      <c r="P16" s="630">
        <v>174.75</v>
      </c>
      <c r="Q16" s="710">
        <v>153.3059998</v>
      </c>
      <c r="R16" s="277"/>
      <c r="S16"/>
      <c r="T16"/>
      <c r="AD16" s="297"/>
      <c r="AE16" s="297"/>
      <c r="AF16" s="215"/>
      <c r="AG16" s="215"/>
      <c r="AH16" s="215"/>
      <c r="AI16" s="215"/>
      <c r="AJ16" s="215"/>
      <c r="AK16" s="215"/>
      <c r="AL16" s="215"/>
    </row>
    <row r="17" spans="1:38" ht="11.25" customHeight="1">
      <c r="A17" s="77"/>
      <c r="C17" s="790" t="s">
        <v>133</v>
      </c>
      <c r="D17" s="791">
        <v>24.270000457763601</v>
      </c>
      <c r="E17" s="416">
        <v>49.520000457763601</v>
      </c>
      <c r="F17" s="417">
        <f t="shared" si="0"/>
        <v>-0.50989498720897886</v>
      </c>
      <c r="G17" s="137"/>
      <c r="H17" s="264"/>
      <c r="M17" s="629">
        <v>6</v>
      </c>
      <c r="N17" s="630">
        <v>150.94</v>
      </c>
      <c r="O17" s="630">
        <v>168.51100158691401</v>
      </c>
      <c r="P17" s="630">
        <v>179.64900209999999</v>
      </c>
      <c r="Q17" s="710">
        <v>137.3439941</v>
      </c>
      <c r="R17" s="277"/>
      <c r="S17"/>
      <c r="T17"/>
      <c r="AD17" s="297"/>
      <c r="AE17" s="297"/>
      <c r="AF17" s="215"/>
      <c r="AG17" s="215"/>
      <c r="AH17" s="215"/>
      <c r="AI17" s="215"/>
      <c r="AJ17" s="215"/>
      <c r="AK17" s="215"/>
      <c r="AL17" s="215"/>
    </row>
    <row r="18" spans="1:38" ht="11.25" customHeight="1">
      <c r="A18" s="77"/>
      <c r="C18" s="788" t="s">
        <v>134</v>
      </c>
      <c r="D18" s="789">
        <v>2.5439999103546098</v>
      </c>
      <c r="E18" s="414">
        <v>5.8499999046325604</v>
      </c>
      <c r="F18" s="415">
        <f t="shared" si="0"/>
        <v>-0.56512821336286856</v>
      </c>
      <c r="G18" s="137"/>
      <c r="H18" s="264"/>
      <c r="M18" s="629">
        <v>7</v>
      </c>
      <c r="N18" s="630">
        <v>162.4909973</v>
      </c>
      <c r="O18" s="630">
        <v>175.46800229999999</v>
      </c>
      <c r="P18" s="630">
        <v>184.3</v>
      </c>
      <c r="Q18" s="710">
        <v>148.73699569999999</v>
      </c>
      <c r="R18" s="277"/>
      <c r="S18"/>
      <c r="T18"/>
      <c r="AD18" s="297"/>
      <c r="AE18" s="297"/>
      <c r="AF18" s="215"/>
      <c r="AG18" s="215"/>
      <c r="AH18" s="215"/>
      <c r="AI18" s="215"/>
      <c r="AJ18" s="215"/>
      <c r="AK18" s="215"/>
      <c r="AL18" s="215"/>
    </row>
    <row r="19" spans="1:38" ht="12.75" customHeight="1">
      <c r="A19" s="77"/>
      <c r="C19" s="790" t="s">
        <v>135</v>
      </c>
      <c r="D19" s="791">
        <v>5.5269999504089302</v>
      </c>
      <c r="E19" s="416">
        <v>35.851001739501903</v>
      </c>
      <c r="F19" s="417">
        <f t="shared" si="0"/>
        <v>-0.84583415574915211</v>
      </c>
      <c r="G19" s="137"/>
      <c r="H19" s="264"/>
      <c r="M19" s="629">
        <v>8</v>
      </c>
      <c r="N19" s="630">
        <v>169.03700259999999</v>
      </c>
      <c r="O19" s="630">
        <v>188.82800292968699</v>
      </c>
      <c r="P19" s="630">
        <v>186.76999999999998</v>
      </c>
      <c r="Q19" s="710">
        <v>152.691</v>
      </c>
      <c r="R19" s="277"/>
      <c r="S19"/>
      <c r="T19"/>
      <c r="AD19" s="297"/>
      <c r="AE19" s="297"/>
      <c r="AF19" s="215"/>
      <c r="AG19" s="215"/>
      <c r="AH19" s="215"/>
      <c r="AI19" s="215"/>
      <c r="AJ19" s="215"/>
      <c r="AK19" s="215"/>
      <c r="AL19" s="215"/>
    </row>
    <row r="20" spans="1:38" ht="13.5" customHeight="1">
      <c r="A20" s="77"/>
      <c r="C20" s="788" t="s">
        <v>136</v>
      </c>
      <c r="D20" s="789">
        <v>4.0069999694824201</v>
      </c>
      <c r="E20" s="414">
        <v>3.0239999294281001</v>
      </c>
      <c r="F20" s="415">
        <f t="shared" si="0"/>
        <v>0.32506615839776998</v>
      </c>
      <c r="G20" s="137"/>
      <c r="H20" s="264"/>
      <c r="M20" s="629">
        <v>9</v>
      </c>
      <c r="N20" s="630">
        <v>182.64300539999999</v>
      </c>
      <c r="O20" s="630">
        <v>196.47700499999999</v>
      </c>
      <c r="P20" s="630">
        <v>193.21000671386699</v>
      </c>
      <c r="Q20" s="710">
        <v>167.3399963</v>
      </c>
      <c r="R20" s="277"/>
      <c r="S20"/>
      <c r="T20"/>
      <c r="AD20" s="297"/>
      <c r="AE20" s="297"/>
      <c r="AF20" s="215"/>
      <c r="AG20" s="215"/>
      <c r="AH20" s="215"/>
      <c r="AI20" s="215"/>
      <c r="AJ20" s="215"/>
      <c r="AK20" s="215"/>
      <c r="AL20" s="215"/>
    </row>
    <row r="21" spans="1:38" ht="11.25" customHeight="1">
      <c r="A21" s="77"/>
      <c r="C21" s="790" t="s">
        <v>137</v>
      </c>
      <c r="D21" s="791">
        <v>3.2449998855590798</v>
      </c>
      <c r="E21" s="416">
        <v>3.2980000972747798</v>
      </c>
      <c r="F21" s="417">
        <f t="shared" ref="F21:F27" si="1">IF(E21=0,"",(D21-E21)/E21)</f>
        <v>-1.6070409385219673E-2</v>
      </c>
      <c r="M21" s="629">
        <v>10</v>
      </c>
      <c r="N21" s="630">
        <v>190.99600219999999</v>
      </c>
      <c r="O21" s="630">
        <v>199.98199460000001</v>
      </c>
      <c r="P21" s="630">
        <v>196.71000670000001</v>
      </c>
      <c r="Q21" s="710">
        <v>164.90809684999999</v>
      </c>
      <c r="R21" s="277"/>
      <c r="S21"/>
      <c r="T21"/>
      <c r="AD21" s="297"/>
      <c r="AE21" s="297"/>
      <c r="AF21" s="215"/>
      <c r="AG21" s="215"/>
      <c r="AH21" s="215"/>
      <c r="AI21" s="215"/>
      <c r="AJ21" s="215"/>
      <c r="AK21" s="215"/>
      <c r="AL21" s="215"/>
    </row>
    <row r="22" spans="1:38" ht="11.25" customHeight="1">
      <c r="A22" s="77"/>
      <c r="C22" s="788" t="s">
        <v>138</v>
      </c>
      <c r="D22" s="789">
        <v>3.09400010108947</v>
      </c>
      <c r="E22" s="414">
        <v>5.3140001296996999</v>
      </c>
      <c r="F22" s="415">
        <f t="shared" si="1"/>
        <v>-0.41776439112275382</v>
      </c>
      <c r="G22" s="137"/>
      <c r="H22" s="264"/>
      <c r="M22" s="629">
        <v>11</v>
      </c>
      <c r="N22" s="630">
        <v>200.89500427246</v>
      </c>
      <c r="O22" s="630">
        <v>200.89500430000001</v>
      </c>
      <c r="P22" s="630">
        <v>203.61799619999999</v>
      </c>
      <c r="Q22" s="631">
        <v>184.82999999999998</v>
      </c>
      <c r="AF22" s="265"/>
      <c r="AG22" s="265"/>
      <c r="AH22" s="265"/>
      <c r="AI22" s="265"/>
      <c r="AJ22" s="265"/>
      <c r="AK22" s="265"/>
      <c r="AL22" s="265"/>
    </row>
    <row r="23" spans="1:38" ht="11.25" customHeight="1">
      <c r="A23" s="77"/>
      <c r="C23" s="790" t="s">
        <v>406</v>
      </c>
      <c r="D23" s="791">
        <v>6.9869999885559002</v>
      </c>
      <c r="E23" s="416">
        <v>7.1880002021789497</v>
      </c>
      <c r="F23" s="417">
        <f t="shared" si="1"/>
        <v>-2.7963301053068823E-2</v>
      </c>
      <c r="G23" s="137"/>
      <c r="H23" s="264"/>
      <c r="M23" s="629">
        <v>12</v>
      </c>
      <c r="N23" s="630">
        <v>209.09500120000001</v>
      </c>
      <c r="O23" s="630">
        <v>210.61200000000002</v>
      </c>
      <c r="P23" s="630">
        <v>209.9909973</v>
      </c>
      <c r="Q23" s="631">
        <v>191.4409943</v>
      </c>
      <c r="AF23" s="265"/>
      <c r="AG23" s="265"/>
      <c r="AH23" s="265"/>
      <c r="AI23" s="265"/>
      <c r="AJ23" s="265"/>
      <c r="AK23" s="265"/>
      <c r="AL23" s="265"/>
    </row>
    <row r="24" spans="1:38" ht="11.25" customHeight="1">
      <c r="A24" s="77"/>
      <c r="C24" s="788" t="s">
        <v>139</v>
      </c>
      <c r="D24" s="789">
        <v>80.470001220703097</v>
      </c>
      <c r="E24" s="414">
        <v>127.295997619628</v>
      </c>
      <c r="F24" s="415">
        <f t="shared" si="1"/>
        <v>-0.36785128577919024</v>
      </c>
      <c r="G24" s="137"/>
      <c r="H24" s="264"/>
      <c r="M24" s="629">
        <v>13</v>
      </c>
      <c r="N24" s="630">
        <v>215.7310028</v>
      </c>
      <c r="O24" s="630">
        <v>221.91900634765599</v>
      </c>
      <c r="P24" s="630">
        <v>219.56300350000001</v>
      </c>
      <c r="Q24" s="631">
        <v>207.84</v>
      </c>
      <c r="AF24" s="265"/>
      <c r="AG24" s="265"/>
      <c r="AH24" s="265"/>
      <c r="AI24" s="265"/>
      <c r="AJ24" s="265"/>
      <c r="AK24" s="265"/>
      <c r="AL24" s="265"/>
    </row>
    <row r="25" spans="1:38" ht="11.25" customHeight="1">
      <c r="A25" s="77"/>
      <c r="C25" s="790" t="s">
        <v>140</v>
      </c>
      <c r="D25" s="791">
        <v>8.8999996185302699</v>
      </c>
      <c r="E25" s="416">
        <v>19.864000320434499</v>
      </c>
      <c r="F25" s="417">
        <f t="shared" si="1"/>
        <v>-0.55195330875147741</v>
      </c>
      <c r="G25" s="137"/>
      <c r="H25" s="264"/>
      <c r="M25" s="629">
        <v>14</v>
      </c>
      <c r="N25" s="630">
        <v>219.1710052</v>
      </c>
      <c r="O25" s="630">
        <v>223.19599909999999</v>
      </c>
      <c r="P25" s="630">
        <v>225.1629944</v>
      </c>
      <c r="Q25" s="631">
        <v>216.294998168945</v>
      </c>
      <c r="AF25" s="265"/>
      <c r="AG25" s="265"/>
      <c r="AH25" s="265"/>
      <c r="AI25" s="265"/>
      <c r="AJ25" s="265"/>
      <c r="AK25" s="265"/>
      <c r="AL25" s="265"/>
    </row>
    <row r="26" spans="1:38" ht="11.25" customHeight="1">
      <c r="A26" s="77"/>
      <c r="C26" s="788" t="s">
        <v>141</v>
      </c>
      <c r="D26" s="789">
        <v>9.3940000000000001</v>
      </c>
      <c r="E26" s="414">
        <v>9.1229999999999993</v>
      </c>
      <c r="F26" s="415">
        <f t="shared" si="1"/>
        <v>2.9705140852789743E-2</v>
      </c>
      <c r="G26" s="137"/>
      <c r="H26" s="137"/>
      <c r="M26" s="629">
        <v>15</v>
      </c>
      <c r="N26" s="630">
        <v>220.17399599999999</v>
      </c>
      <c r="O26" s="630">
        <v>225.0500031</v>
      </c>
      <c r="P26" s="630">
        <v>224.9100037</v>
      </c>
      <c r="Q26" s="631">
        <v>220.08099369999999</v>
      </c>
      <c r="AF26" s="265"/>
      <c r="AG26" s="265"/>
      <c r="AH26" s="265"/>
      <c r="AI26" s="265"/>
      <c r="AJ26" s="265"/>
      <c r="AK26" s="265"/>
      <c r="AL26" s="265"/>
    </row>
    <row r="27" spans="1:38" ht="11.25" customHeight="1">
      <c r="A27" s="77"/>
      <c r="C27" s="792" t="s">
        <v>142</v>
      </c>
      <c r="D27" s="793">
        <v>97.586997985839801</v>
      </c>
      <c r="E27" s="416">
        <v>303.83898925781199</v>
      </c>
      <c r="F27" s="417">
        <f t="shared" si="1"/>
        <v>-0.67882002825175358</v>
      </c>
      <c r="G27" s="137"/>
      <c r="H27" s="137"/>
      <c r="M27" s="629">
        <v>16</v>
      </c>
      <c r="N27" s="630">
        <v>220.3150024</v>
      </c>
      <c r="O27" s="630">
        <v>224.84800720000001</v>
      </c>
      <c r="P27" s="630">
        <v>224.5</v>
      </c>
      <c r="Q27" s="631">
        <v>221.83999633789</v>
      </c>
      <c r="AF27" s="265"/>
      <c r="AG27" s="265"/>
      <c r="AH27" s="265"/>
      <c r="AI27" s="265"/>
      <c r="AJ27" s="265"/>
      <c r="AK27" s="265"/>
      <c r="AL27" s="265"/>
    </row>
    <row r="28" spans="1:38" ht="26.25" customHeight="1">
      <c r="A28" s="77"/>
      <c r="C28" s="878" t="str">
        <f>"Cuadro N°9: Volumen útil de los principales embalses y lagunas del SEIN al término del periodo mensual ("&amp;'1. Resumen'!Q7&amp;" de "&amp;'1. Resumen'!Q4&amp;") "</f>
        <v xml:space="preserve">Cuadro N°9: Volumen útil de los principales embalses y lagunas del SEIN al término del periodo mensual (31 de diciembe) </v>
      </c>
      <c r="D28" s="878"/>
      <c r="E28" s="878"/>
      <c r="F28" s="878"/>
      <c r="G28" s="137"/>
      <c r="H28" s="137"/>
      <c r="M28" s="629">
        <v>17</v>
      </c>
      <c r="N28" s="630">
        <v>220.56</v>
      </c>
      <c r="O28" s="630">
        <v>225.27900695800699</v>
      </c>
      <c r="P28" s="630">
        <v>225.58500670000001</v>
      </c>
      <c r="Q28" s="631">
        <v>220.96049318788999</v>
      </c>
      <c r="AF28" s="265"/>
      <c r="AG28" s="265"/>
      <c r="AH28" s="265"/>
      <c r="AI28" s="265"/>
      <c r="AJ28" s="265"/>
      <c r="AK28" s="265"/>
      <c r="AL28" s="265"/>
    </row>
    <row r="29" spans="1:38" ht="12" customHeight="1">
      <c r="A29" s="75"/>
      <c r="G29" s="137"/>
      <c r="H29" s="137"/>
      <c r="I29" s="167"/>
      <c r="J29" s="703"/>
      <c r="M29" s="629">
        <v>18</v>
      </c>
      <c r="N29" s="630">
        <v>224.15199279999999</v>
      </c>
      <c r="O29" s="630">
        <v>226.44200129999999</v>
      </c>
      <c r="P29" s="630">
        <v>225.2599945</v>
      </c>
      <c r="Q29" s="631">
        <v>221.41</v>
      </c>
      <c r="AF29" s="265"/>
      <c r="AG29" s="265"/>
      <c r="AH29" s="265"/>
      <c r="AI29" s="265"/>
      <c r="AJ29" s="265"/>
      <c r="AK29" s="265"/>
      <c r="AL29" s="265"/>
    </row>
    <row r="30" spans="1:38" ht="11.25" customHeight="1">
      <c r="A30" s="75"/>
      <c r="B30" s="173"/>
      <c r="C30" s="173"/>
      <c r="D30" s="173"/>
      <c r="E30" s="173"/>
      <c r="F30" s="171"/>
      <c r="G30" s="137"/>
      <c r="H30" s="137"/>
      <c r="M30" s="629">
        <v>19</v>
      </c>
      <c r="N30" s="630">
        <v>224.378006</v>
      </c>
      <c r="O30" s="630">
        <v>227.14199830000001</v>
      </c>
      <c r="P30" s="630">
        <v>225.3280029</v>
      </c>
      <c r="Q30" s="631">
        <v>222.52999877929599</v>
      </c>
      <c r="AF30" s="265"/>
      <c r="AG30" s="265"/>
      <c r="AH30" s="265"/>
      <c r="AI30" s="265"/>
      <c r="AJ30" s="265"/>
      <c r="AK30" s="265"/>
      <c r="AL30" s="265"/>
    </row>
    <row r="31" spans="1:38" ht="3.6" customHeight="1">
      <c r="A31" s="75"/>
      <c r="B31" s="173"/>
      <c r="C31" s="173"/>
      <c r="D31" s="173"/>
      <c r="E31" s="173"/>
      <c r="F31" s="171"/>
      <c r="G31" s="171"/>
      <c r="H31" s="171"/>
      <c r="I31" s="167"/>
      <c r="J31" s="703"/>
      <c r="M31" s="629">
        <v>20</v>
      </c>
      <c r="N31" s="630">
        <v>224.60401920000001</v>
      </c>
      <c r="O31" s="630">
        <v>227.625</v>
      </c>
      <c r="P31" s="630">
        <v>225.2279968</v>
      </c>
      <c r="Q31" s="631">
        <v>222.47799682617099</v>
      </c>
      <c r="AF31" s="265"/>
      <c r="AG31" s="265"/>
      <c r="AH31" s="265"/>
      <c r="AI31" s="265"/>
      <c r="AJ31" s="265"/>
      <c r="AK31" s="265"/>
      <c r="AL31" s="265"/>
    </row>
    <row r="32" spans="1:38" ht="13.5" customHeight="1">
      <c r="A32" s="877" t="s">
        <v>423</v>
      </c>
      <c r="B32" s="877"/>
      <c r="C32" s="877"/>
      <c r="D32" s="877"/>
      <c r="E32" s="877"/>
      <c r="F32" s="877"/>
      <c r="G32" s="877"/>
      <c r="H32" s="877"/>
      <c r="I32" s="56"/>
      <c r="J32" s="703"/>
      <c r="M32" s="629">
        <v>21</v>
      </c>
      <c r="N32" s="630">
        <v>223.4909973</v>
      </c>
      <c r="O32" s="630">
        <v>227.75800000000001</v>
      </c>
      <c r="P32" s="630">
        <v>225.25399780000001</v>
      </c>
      <c r="Q32" s="631">
        <v>221.33000183105401</v>
      </c>
      <c r="AF32" s="265"/>
      <c r="AG32" s="265"/>
      <c r="AH32" s="265"/>
      <c r="AI32" s="265"/>
      <c r="AJ32" s="265"/>
      <c r="AK32" s="265"/>
      <c r="AL32" s="265"/>
    </row>
    <row r="33" spans="1:38" ht="11.25" customHeight="1">
      <c r="A33" s="75"/>
      <c r="B33" s="82"/>
      <c r="C33" s="82"/>
      <c r="D33" s="82"/>
      <c r="E33" s="82"/>
      <c r="F33" s="82"/>
      <c r="G33" s="82"/>
      <c r="H33" s="82"/>
      <c r="I33" s="56"/>
      <c r="J33" s="703"/>
      <c r="M33" s="629">
        <v>22</v>
      </c>
      <c r="N33" s="630">
        <v>222.62600710000001</v>
      </c>
      <c r="O33" s="630">
        <v>226.41700739999999</v>
      </c>
      <c r="P33" s="630">
        <v>223.9129944</v>
      </c>
      <c r="Q33" s="631">
        <v>221.8000031</v>
      </c>
      <c r="AF33" s="265"/>
      <c r="AG33" s="265"/>
      <c r="AH33" s="265"/>
      <c r="AI33" s="265"/>
      <c r="AJ33" s="265"/>
      <c r="AK33" s="265"/>
      <c r="AL33" s="265"/>
    </row>
    <row r="34" spans="1:38" ht="11.25" customHeight="1">
      <c r="A34" s="75"/>
      <c r="B34" s="82"/>
      <c r="C34" s="82"/>
      <c r="D34" s="82"/>
      <c r="E34" s="82"/>
      <c r="F34" s="82"/>
      <c r="G34" s="82"/>
      <c r="H34" s="82"/>
      <c r="I34" s="56"/>
      <c r="J34" s="703"/>
      <c r="M34" s="629">
        <v>23</v>
      </c>
      <c r="N34" s="630">
        <v>221.62399289999999</v>
      </c>
      <c r="O34" s="630">
        <v>224.4589996</v>
      </c>
      <c r="P34" s="630">
        <v>221.64599609999999</v>
      </c>
      <c r="Q34" s="631">
        <v>218.83000183105401</v>
      </c>
      <c r="AF34" s="265"/>
      <c r="AG34" s="265"/>
      <c r="AH34" s="265"/>
      <c r="AI34" s="265"/>
      <c r="AJ34" s="265"/>
      <c r="AK34" s="265"/>
      <c r="AL34" s="265"/>
    </row>
    <row r="35" spans="1:38" ht="11.25" customHeight="1">
      <c r="A35" s="75"/>
      <c r="B35" s="82"/>
      <c r="C35" s="82"/>
      <c r="D35" s="82"/>
      <c r="E35" s="82"/>
      <c r="F35" s="82"/>
      <c r="G35" s="82"/>
      <c r="H35" s="82"/>
      <c r="I35" s="168"/>
      <c r="J35" s="703"/>
      <c r="M35" s="629">
        <v>24</v>
      </c>
      <c r="N35" s="630">
        <v>218.3840027</v>
      </c>
      <c r="O35" s="630">
        <v>220.634994506835</v>
      </c>
      <c r="P35" s="630">
        <v>218.4100037</v>
      </c>
      <c r="Q35" s="631">
        <v>217.02000430000001</v>
      </c>
      <c r="AF35" s="265"/>
      <c r="AG35" s="265"/>
      <c r="AH35" s="265"/>
      <c r="AI35" s="265"/>
      <c r="AJ35" s="265"/>
      <c r="AK35" s="265"/>
      <c r="AL35" s="265"/>
    </row>
    <row r="36" spans="1:38" ht="11.25" customHeight="1">
      <c r="A36" s="75"/>
      <c r="B36" s="82"/>
      <c r="C36" s="82"/>
      <c r="D36" s="82"/>
      <c r="E36" s="82"/>
      <c r="F36" s="82"/>
      <c r="G36" s="82"/>
      <c r="H36" s="82"/>
      <c r="I36" s="56"/>
      <c r="J36" s="703"/>
      <c r="M36" s="629">
        <v>25</v>
      </c>
      <c r="N36" s="630">
        <v>215.08099369999999</v>
      </c>
      <c r="O36" s="630">
        <v>218.28599550000001</v>
      </c>
      <c r="P36" s="630">
        <v>215.33500670000001</v>
      </c>
      <c r="Q36" s="631">
        <v>214.76800539999999</v>
      </c>
      <c r="AF36" s="265"/>
      <c r="AG36" s="265"/>
      <c r="AH36" s="265"/>
      <c r="AI36" s="265"/>
      <c r="AJ36" s="265"/>
      <c r="AK36" s="265"/>
      <c r="AL36" s="265"/>
    </row>
    <row r="37" spans="1:38" ht="11.25" customHeight="1">
      <c r="A37" s="75"/>
      <c r="B37" s="82"/>
      <c r="C37" s="82"/>
      <c r="D37" s="82"/>
      <c r="E37" s="82"/>
      <c r="F37" s="82"/>
      <c r="G37" s="82"/>
      <c r="H37" s="82"/>
      <c r="I37" s="56"/>
      <c r="J37" s="704"/>
      <c r="M37" s="629">
        <v>26</v>
      </c>
      <c r="N37" s="630">
        <v>210.41900630000001</v>
      </c>
      <c r="O37" s="630">
        <v>214.90499879999999</v>
      </c>
      <c r="P37" s="630">
        <v>212.2720032</v>
      </c>
      <c r="Q37" s="631">
        <v>212.9750061</v>
      </c>
      <c r="AF37" s="265"/>
      <c r="AG37" s="265"/>
      <c r="AH37" s="265"/>
      <c r="AI37" s="265"/>
      <c r="AJ37" s="265"/>
      <c r="AK37" s="265"/>
      <c r="AL37" s="265"/>
    </row>
    <row r="38" spans="1:38" ht="11.25" customHeight="1">
      <c r="A38" s="75"/>
      <c r="B38" s="82"/>
      <c r="C38" s="82"/>
      <c r="D38" s="82"/>
      <c r="E38" s="82"/>
      <c r="F38" s="82"/>
      <c r="G38" s="82"/>
      <c r="H38" s="82"/>
      <c r="I38" s="56"/>
      <c r="J38" s="704"/>
      <c r="M38" s="629">
        <v>27</v>
      </c>
      <c r="N38" s="630">
        <v>204.23</v>
      </c>
      <c r="O38" s="630">
        <v>210.91799926757801</v>
      </c>
      <c r="P38" s="630">
        <v>209.19900509999999</v>
      </c>
      <c r="Q38" s="631">
        <v>210.75</v>
      </c>
      <c r="AF38" s="265"/>
      <c r="AG38" s="265"/>
      <c r="AH38" s="265"/>
      <c r="AI38" s="265"/>
      <c r="AJ38" s="265"/>
      <c r="AK38" s="265"/>
      <c r="AL38" s="265"/>
    </row>
    <row r="39" spans="1:38" ht="11.25" customHeight="1">
      <c r="A39" s="75"/>
      <c r="B39" s="82"/>
      <c r="C39" s="82"/>
      <c r="D39" s="82"/>
      <c r="E39" s="82"/>
      <c r="F39" s="82"/>
      <c r="G39" s="82"/>
      <c r="H39" s="82"/>
      <c r="I39" s="56"/>
      <c r="J39" s="705"/>
      <c r="M39" s="629">
        <v>28</v>
      </c>
      <c r="N39" s="630">
        <v>201.1309967</v>
      </c>
      <c r="O39" s="632">
        <v>207.96099849999999</v>
      </c>
      <c r="P39" s="632">
        <v>207.8560028</v>
      </c>
      <c r="Q39" s="631">
        <v>207.5500031</v>
      </c>
      <c r="AF39" s="265"/>
      <c r="AG39" s="265"/>
      <c r="AH39" s="265"/>
      <c r="AI39" s="265"/>
      <c r="AJ39" s="265"/>
      <c r="AK39" s="265"/>
      <c r="AL39" s="265"/>
    </row>
    <row r="40" spans="1:38" ht="11.25" customHeight="1">
      <c r="A40" s="75"/>
      <c r="B40" s="82"/>
      <c r="C40" s="82"/>
      <c r="D40" s="82"/>
      <c r="E40" s="82"/>
      <c r="F40" s="82"/>
      <c r="G40" s="82"/>
      <c r="H40" s="82"/>
      <c r="I40" s="56"/>
      <c r="J40" s="705"/>
      <c r="M40" s="629">
        <v>29</v>
      </c>
      <c r="N40" s="630">
        <v>196.16000366210901</v>
      </c>
      <c r="O40" s="630">
        <v>205.66700739999999</v>
      </c>
      <c r="P40" s="630">
        <v>200.68699649999999</v>
      </c>
      <c r="Q40" s="631">
        <v>204.99000549316401</v>
      </c>
      <c r="AF40" s="265"/>
      <c r="AG40" s="265"/>
      <c r="AH40" s="265"/>
      <c r="AI40" s="265"/>
      <c r="AJ40" s="265"/>
      <c r="AK40" s="265"/>
      <c r="AL40" s="265"/>
    </row>
    <row r="41" spans="1:38" ht="11.25" customHeight="1">
      <c r="A41" s="75"/>
      <c r="B41" s="82"/>
      <c r="C41" s="82"/>
      <c r="D41" s="82"/>
      <c r="E41" s="82"/>
      <c r="F41" s="82"/>
      <c r="G41" s="82"/>
      <c r="H41" s="82"/>
      <c r="I41" s="56"/>
      <c r="J41" s="705"/>
      <c r="M41" s="629">
        <v>30</v>
      </c>
      <c r="N41" s="630">
        <v>193.86</v>
      </c>
      <c r="O41" s="630">
        <v>197.3999939</v>
      </c>
      <c r="P41" s="630">
        <v>197.3999939</v>
      </c>
      <c r="Q41" s="631">
        <v>195.11000060000001</v>
      </c>
      <c r="AF41" s="265"/>
      <c r="AG41" s="265"/>
      <c r="AH41" s="265"/>
      <c r="AI41" s="265"/>
      <c r="AJ41" s="265"/>
      <c r="AK41" s="265"/>
      <c r="AL41" s="265"/>
    </row>
    <row r="42" spans="1:38" ht="11.25" customHeight="1">
      <c r="A42" s="75"/>
      <c r="B42" s="82"/>
      <c r="C42" s="82"/>
      <c r="D42" s="82"/>
      <c r="E42" s="82"/>
      <c r="F42" s="82"/>
      <c r="G42" s="82"/>
      <c r="H42" s="82"/>
      <c r="I42" s="168"/>
      <c r="J42" s="704"/>
      <c r="M42" s="629">
        <v>31</v>
      </c>
      <c r="N42" s="630">
        <v>186.24800110000001</v>
      </c>
      <c r="O42" s="630">
        <v>194.98199460000001</v>
      </c>
      <c r="P42" s="630">
        <v>193.71000670000001</v>
      </c>
      <c r="Q42" s="631">
        <v>191.32699584960901</v>
      </c>
      <c r="AF42" s="265"/>
      <c r="AG42" s="265"/>
      <c r="AH42" s="265"/>
      <c r="AI42" s="265"/>
      <c r="AJ42" s="265"/>
      <c r="AK42" s="265"/>
      <c r="AL42" s="265"/>
    </row>
    <row r="43" spans="1:38" ht="11.25" customHeight="1">
      <c r="A43" s="75"/>
      <c r="B43" s="82"/>
      <c r="C43" s="82"/>
      <c r="D43" s="82"/>
      <c r="E43" s="82"/>
      <c r="F43" s="82"/>
      <c r="G43" s="82"/>
      <c r="H43" s="82"/>
      <c r="I43" s="56"/>
      <c r="J43" s="704"/>
      <c r="M43" s="629">
        <v>32</v>
      </c>
      <c r="N43" s="630">
        <v>182.40899659999999</v>
      </c>
      <c r="O43" s="630">
        <v>190.13999938964801</v>
      </c>
      <c r="P43" s="630">
        <v>187.46000670000001</v>
      </c>
      <c r="Q43" s="631">
        <v>187.98199462890599</v>
      </c>
      <c r="AF43" s="265"/>
      <c r="AG43" s="265"/>
      <c r="AH43" s="265"/>
      <c r="AI43" s="265"/>
      <c r="AJ43" s="265"/>
      <c r="AK43" s="265"/>
      <c r="AL43" s="265"/>
    </row>
    <row r="44" spans="1:38" ht="9.6" customHeight="1">
      <c r="A44" s="75"/>
      <c r="B44" s="82"/>
      <c r="C44" s="82"/>
      <c r="D44" s="82"/>
      <c r="E44" s="82"/>
      <c r="F44" s="82"/>
      <c r="G44" s="82"/>
      <c r="H44" s="82"/>
      <c r="I44" s="56"/>
      <c r="J44" s="704"/>
      <c r="M44" s="629">
        <v>33</v>
      </c>
      <c r="N44" s="630">
        <v>178.6940002</v>
      </c>
      <c r="O44" s="630">
        <v>186.17300420000001</v>
      </c>
      <c r="P44" s="630">
        <v>186.17300420000001</v>
      </c>
      <c r="Q44" s="631">
        <v>184.75399780000001</v>
      </c>
      <c r="AF44" s="265"/>
      <c r="AG44" s="265"/>
      <c r="AH44" s="265"/>
      <c r="AI44" s="265"/>
      <c r="AJ44" s="265"/>
      <c r="AK44" s="265"/>
      <c r="AL44" s="265"/>
    </row>
    <row r="45" spans="1:38" ht="11.25" customHeight="1">
      <c r="A45" s="75"/>
      <c r="B45" s="82"/>
      <c r="C45" s="82"/>
      <c r="D45" s="82"/>
      <c r="E45" s="82"/>
      <c r="F45" s="82"/>
      <c r="G45" s="82"/>
      <c r="H45" s="82"/>
      <c r="I45" s="59"/>
      <c r="J45" s="706"/>
      <c r="M45" s="629">
        <v>34</v>
      </c>
      <c r="N45" s="630">
        <v>173.61300660000001</v>
      </c>
      <c r="O45" s="630">
        <v>183.14799500000001</v>
      </c>
      <c r="P45" s="630">
        <v>181.1710052</v>
      </c>
      <c r="Q45" s="631">
        <v>181.1710052</v>
      </c>
      <c r="AF45" s="265"/>
      <c r="AG45" s="265"/>
      <c r="AH45" s="265"/>
      <c r="AI45" s="265"/>
      <c r="AJ45" s="265"/>
      <c r="AK45" s="265"/>
      <c r="AL45" s="265"/>
    </row>
    <row r="46" spans="1:38" ht="11.25" customHeight="1">
      <c r="A46" s="75"/>
      <c r="B46" s="82"/>
      <c r="C46" s="82"/>
      <c r="D46" s="82"/>
      <c r="E46" s="82"/>
      <c r="F46" s="82"/>
      <c r="G46" s="82"/>
      <c r="H46" s="82"/>
      <c r="I46" s="59"/>
      <c r="J46" s="706"/>
      <c r="M46" s="629">
        <v>35</v>
      </c>
      <c r="N46" s="633">
        <v>170.0189972</v>
      </c>
      <c r="O46" s="630">
        <v>175.24000549316401</v>
      </c>
      <c r="P46" s="630">
        <v>176.38999939999999</v>
      </c>
      <c r="Q46" s="631">
        <v>173.61999511718699</v>
      </c>
      <c r="AF46" s="265"/>
      <c r="AG46" s="265"/>
      <c r="AH46" s="265"/>
      <c r="AI46" s="265"/>
      <c r="AJ46" s="265"/>
      <c r="AK46" s="265"/>
      <c r="AL46" s="265"/>
    </row>
    <row r="47" spans="1:38" ht="11.25" customHeight="1">
      <c r="A47" s="75"/>
      <c r="B47" s="82"/>
      <c r="C47" s="82"/>
      <c r="D47" s="82"/>
      <c r="E47" s="82"/>
      <c r="F47" s="82"/>
      <c r="G47" s="82"/>
      <c r="H47" s="82"/>
      <c r="I47" s="59"/>
      <c r="J47" s="706"/>
      <c r="M47" s="629">
        <v>36</v>
      </c>
      <c r="N47" s="633">
        <v>166.0690002</v>
      </c>
      <c r="O47" s="630">
        <v>171.61000061035099</v>
      </c>
      <c r="P47" s="630">
        <v>173.66999820000001</v>
      </c>
      <c r="Q47" s="276">
        <v>168.88000489999999</v>
      </c>
      <c r="AF47" s="265"/>
      <c r="AG47" s="265"/>
      <c r="AH47" s="265"/>
      <c r="AI47" s="265"/>
      <c r="AJ47" s="265"/>
      <c r="AK47" s="265"/>
      <c r="AL47" s="265"/>
    </row>
    <row r="48" spans="1:38" ht="11.25" customHeight="1">
      <c r="A48" s="75"/>
      <c r="B48" s="82"/>
      <c r="C48" s="82"/>
      <c r="D48" s="82"/>
      <c r="E48" s="82"/>
      <c r="F48" s="82"/>
      <c r="G48" s="82"/>
      <c r="H48" s="82"/>
      <c r="I48" s="59"/>
      <c r="J48" s="706"/>
      <c r="M48" s="629">
        <v>37</v>
      </c>
      <c r="N48" s="630">
        <v>159.17399599999999</v>
      </c>
      <c r="O48" s="630">
        <v>167.78999328613199</v>
      </c>
      <c r="P48" s="630">
        <v>170.7400055</v>
      </c>
      <c r="Q48" s="276">
        <v>163.31300355859301</v>
      </c>
      <c r="AF48" s="265"/>
      <c r="AG48" s="265"/>
      <c r="AH48" s="265"/>
      <c r="AI48" s="265"/>
      <c r="AJ48" s="265"/>
      <c r="AK48" s="265"/>
      <c r="AL48" s="265"/>
    </row>
    <row r="49" spans="1:38" ht="11.25" customHeight="1">
      <c r="A49" s="75"/>
      <c r="B49" s="82"/>
      <c r="C49" s="82"/>
      <c r="D49" s="82"/>
      <c r="E49" s="82"/>
      <c r="F49" s="82"/>
      <c r="G49" s="82"/>
      <c r="H49" s="82"/>
      <c r="I49" s="59"/>
      <c r="J49" s="706"/>
      <c r="M49" s="629">
        <v>38</v>
      </c>
      <c r="N49" s="630">
        <v>157.84</v>
      </c>
      <c r="O49" s="630">
        <v>170.03999328613199</v>
      </c>
      <c r="P49" s="630">
        <v>167.64599609999999</v>
      </c>
      <c r="Q49" s="276">
        <v>160.03999328613199</v>
      </c>
      <c r="AF49" s="265"/>
      <c r="AG49" s="265"/>
      <c r="AH49" s="265"/>
      <c r="AI49" s="265"/>
      <c r="AJ49" s="265"/>
      <c r="AK49" s="265"/>
      <c r="AL49" s="265"/>
    </row>
    <row r="50" spans="1:38" ht="13.2">
      <c r="A50" s="75"/>
      <c r="B50" s="82"/>
      <c r="C50" s="82"/>
      <c r="D50" s="82"/>
      <c r="E50" s="82"/>
      <c r="F50" s="82"/>
      <c r="G50" s="82"/>
      <c r="H50" s="82"/>
      <c r="I50" s="59"/>
      <c r="J50" s="706"/>
      <c r="M50" s="629">
        <v>39</v>
      </c>
      <c r="N50" s="630">
        <v>156.28199768066401</v>
      </c>
      <c r="O50" s="630">
        <v>159.69</v>
      </c>
      <c r="P50" s="630">
        <v>157.6900024</v>
      </c>
      <c r="Q50" s="276">
        <v>154.0410004</v>
      </c>
      <c r="AF50" s="265"/>
      <c r="AG50" s="265"/>
      <c r="AH50" s="265"/>
      <c r="AI50" s="265"/>
      <c r="AJ50" s="265"/>
      <c r="AK50" s="265"/>
      <c r="AL50" s="265"/>
    </row>
    <row r="51" spans="1:38" ht="10.5" customHeight="1">
      <c r="A51" s="75"/>
      <c r="B51" s="82"/>
      <c r="C51" s="82"/>
      <c r="D51" s="82"/>
      <c r="E51" s="82"/>
      <c r="F51" s="82"/>
      <c r="G51" s="82"/>
      <c r="H51" s="82"/>
      <c r="I51" s="59"/>
      <c r="J51" s="706"/>
      <c r="M51" s="629">
        <v>40</v>
      </c>
      <c r="N51" s="630">
        <v>148.3529968</v>
      </c>
      <c r="O51" s="630">
        <v>150.2969971</v>
      </c>
      <c r="P51" s="630">
        <v>154.1900024</v>
      </c>
      <c r="Q51" s="276">
        <v>137.69400024414</v>
      </c>
      <c r="AF51" s="265"/>
      <c r="AG51" s="265"/>
      <c r="AH51" s="265"/>
      <c r="AI51" s="265"/>
      <c r="AJ51" s="265"/>
      <c r="AK51" s="265"/>
      <c r="AL51" s="265"/>
    </row>
    <row r="52" spans="1:38" ht="13.2">
      <c r="A52" s="75"/>
      <c r="B52" s="82"/>
      <c r="C52" s="82"/>
      <c r="D52" s="82"/>
      <c r="E52" s="82"/>
      <c r="F52" s="82"/>
      <c r="G52" s="82"/>
      <c r="H52" s="82"/>
      <c r="I52" s="59"/>
      <c r="J52" s="706"/>
      <c r="M52" s="629">
        <v>41</v>
      </c>
      <c r="N52" s="630">
        <v>151.04400630000001</v>
      </c>
      <c r="O52" s="630">
        <v>146.7689972</v>
      </c>
      <c r="P52" s="630">
        <v>148.9620056</v>
      </c>
      <c r="Q52" s="276">
        <v>133.05799866484401</v>
      </c>
      <c r="AF52" s="265"/>
      <c r="AG52" s="265"/>
      <c r="AH52" s="265"/>
      <c r="AI52" s="265"/>
      <c r="AJ52" s="265"/>
      <c r="AK52" s="265"/>
      <c r="AL52" s="265"/>
    </row>
    <row r="53" spans="1:38" ht="13.2">
      <c r="A53" s="75"/>
      <c r="B53" s="82"/>
      <c r="C53" s="82"/>
      <c r="D53" s="82"/>
      <c r="E53" s="82"/>
      <c r="F53" s="82"/>
      <c r="G53" s="82"/>
      <c r="H53" s="82"/>
      <c r="I53" s="59"/>
      <c r="J53" s="706"/>
      <c r="M53" s="629">
        <v>42</v>
      </c>
      <c r="N53" s="630">
        <v>146.53</v>
      </c>
      <c r="O53" s="630">
        <v>142.69900512695301</v>
      </c>
      <c r="P53" s="630">
        <v>144.58599849999999</v>
      </c>
      <c r="Q53" s="276">
        <v>135.26800539999999</v>
      </c>
      <c r="AF53" s="265"/>
      <c r="AG53" s="265"/>
      <c r="AH53" s="265"/>
      <c r="AI53" s="265"/>
      <c r="AJ53" s="265"/>
      <c r="AK53" s="265"/>
      <c r="AL53" s="265"/>
    </row>
    <row r="54" spans="1:38" ht="13.2">
      <c r="A54" s="75"/>
      <c r="B54" s="82"/>
      <c r="C54" s="82"/>
      <c r="D54" s="82"/>
      <c r="E54" s="82"/>
      <c r="F54" s="82"/>
      <c r="G54" s="82"/>
      <c r="H54" s="82"/>
      <c r="I54" s="59"/>
      <c r="J54" s="706"/>
      <c r="M54" s="629">
        <v>43</v>
      </c>
      <c r="N54" s="630">
        <v>137.7400055</v>
      </c>
      <c r="O54" s="630">
        <v>135.75</v>
      </c>
      <c r="P54" s="630">
        <v>140.38000489999999</v>
      </c>
      <c r="Q54" s="276">
        <v>131.78599548339801</v>
      </c>
      <c r="AF54" s="265"/>
      <c r="AG54" s="265"/>
      <c r="AH54" s="265"/>
      <c r="AI54" s="265"/>
      <c r="AJ54" s="265"/>
      <c r="AK54" s="265"/>
      <c r="AL54" s="265"/>
    </row>
    <row r="55" spans="1:38" ht="13.2">
      <c r="A55" s="75"/>
      <c r="B55" s="82"/>
      <c r="C55" s="82"/>
      <c r="D55" s="82"/>
      <c r="E55" s="82"/>
      <c r="F55" s="82"/>
      <c r="G55" s="82"/>
      <c r="H55" s="82"/>
      <c r="I55" s="59"/>
      <c r="J55" s="706"/>
      <c r="M55" s="629">
        <v>44</v>
      </c>
      <c r="N55" s="630">
        <v>133.1380005</v>
      </c>
      <c r="O55" s="630">
        <v>130.27000430000001</v>
      </c>
      <c r="P55" s="630">
        <v>133.1060028</v>
      </c>
      <c r="Q55" s="276">
        <v>122.9000015</v>
      </c>
      <c r="AF55" s="265"/>
      <c r="AG55" s="265"/>
      <c r="AH55" s="265"/>
      <c r="AI55" s="265"/>
      <c r="AJ55" s="265"/>
      <c r="AK55" s="265"/>
      <c r="AL55" s="265"/>
    </row>
    <row r="56" spans="1:38" ht="13.2">
      <c r="A56" s="75"/>
      <c r="B56" s="82"/>
      <c r="C56" s="82"/>
      <c r="D56" s="82"/>
      <c r="E56" s="82"/>
      <c r="F56" s="82"/>
      <c r="G56" s="82"/>
      <c r="H56" s="82"/>
      <c r="I56" s="59"/>
      <c r="J56" s="706"/>
      <c r="M56" s="629">
        <v>45</v>
      </c>
      <c r="N56" s="630">
        <v>125.7330017</v>
      </c>
      <c r="O56" s="630">
        <v>124.5780029</v>
      </c>
      <c r="P56" s="630">
        <v>128.5500031</v>
      </c>
      <c r="Q56" s="276">
        <v>115.61799621582</v>
      </c>
      <c r="AF56" s="265"/>
      <c r="AG56" s="265"/>
      <c r="AH56" s="265"/>
      <c r="AI56" s="265"/>
      <c r="AJ56" s="265"/>
      <c r="AK56" s="265"/>
      <c r="AL56" s="265"/>
    </row>
    <row r="57" spans="1:38" ht="13.2">
      <c r="A57" s="75"/>
      <c r="B57" s="82"/>
      <c r="C57" s="82"/>
      <c r="D57" s="82"/>
      <c r="E57" s="82"/>
      <c r="F57" s="82"/>
      <c r="G57" s="82"/>
      <c r="H57" s="82"/>
      <c r="M57" s="629">
        <v>46</v>
      </c>
      <c r="N57" s="630">
        <v>125.2030029</v>
      </c>
      <c r="O57" s="630">
        <v>120.7269974</v>
      </c>
      <c r="P57" s="630">
        <v>123.4499969</v>
      </c>
      <c r="Q57" s="276">
        <v>109.3000031</v>
      </c>
      <c r="AF57" s="265"/>
      <c r="AG57" s="265"/>
      <c r="AH57" s="265"/>
      <c r="AI57" s="265"/>
      <c r="AJ57" s="265"/>
      <c r="AK57" s="265"/>
      <c r="AL57" s="265"/>
    </row>
    <row r="58" spans="1:38" ht="13.2">
      <c r="A58" s="75"/>
      <c r="B58" s="82"/>
      <c r="C58" s="82"/>
      <c r="D58" s="82"/>
      <c r="E58" s="82"/>
      <c r="F58" s="82"/>
      <c r="G58" s="82"/>
      <c r="H58" s="82"/>
      <c r="M58" s="629">
        <v>47</v>
      </c>
      <c r="N58" s="630">
        <v>120.5130005</v>
      </c>
      <c r="O58" s="630">
        <v>113.7900009</v>
      </c>
      <c r="P58" s="630">
        <v>121.12899779999999</v>
      </c>
      <c r="Q58" s="276">
        <v>102.5579987</v>
      </c>
      <c r="AF58" s="265"/>
      <c r="AG58" s="265"/>
      <c r="AH58" s="265"/>
      <c r="AI58" s="265"/>
      <c r="AJ58" s="265"/>
      <c r="AK58" s="265"/>
      <c r="AL58" s="265"/>
    </row>
    <row r="59" spans="1:38" ht="13.2">
      <c r="A59" s="262" t="s">
        <v>536</v>
      </c>
      <c r="B59" s="82"/>
      <c r="D59" s="82"/>
      <c r="E59" s="82"/>
      <c r="F59" s="82"/>
      <c r="G59" s="82"/>
      <c r="H59" s="82"/>
      <c r="M59" s="629">
        <v>48</v>
      </c>
      <c r="N59" s="630">
        <v>119.3089981</v>
      </c>
      <c r="O59" s="630">
        <v>104.1470032</v>
      </c>
      <c r="P59" s="630">
        <v>122.5419998</v>
      </c>
      <c r="Q59" s="276">
        <v>93.499000549316406</v>
      </c>
      <c r="AF59" s="265"/>
      <c r="AG59" s="265"/>
      <c r="AH59" s="265"/>
      <c r="AI59" s="265"/>
      <c r="AJ59" s="265"/>
      <c r="AK59" s="265"/>
      <c r="AL59" s="265"/>
    </row>
    <row r="60" spans="1:38" ht="13.2">
      <c r="A60" s="54"/>
      <c r="B60" s="82"/>
      <c r="C60" s="82"/>
      <c r="D60" s="82"/>
      <c r="E60" s="82"/>
      <c r="F60" s="82"/>
      <c r="G60" s="82"/>
      <c r="H60" s="82"/>
      <c r="M60" s="629">
        <v>49</v>
      </c>
      <c r="N60" s="630">
        <v>119.33200069999999</v>
      </c>
      <c r="O60" s="630">
        <v>104.8560028</v>
      </c>
      <c r="P60" s="630">
        <v>129.1600037</v>
      </c>
      <c r="Q60" s="276">
        <v>86.319999690000003</v>
      </c>
      <c r="AF60" s="265"/>
      <c r="AG60" s="265"/>
      <c r="AH60" s="265"/>
      <c r="AI60" s="265"/>
      <c r="AJ60" s="265"/>
      <c r="AK60" s="265"/>
      <c r="AL60" s="265"/>
    </row>
    <row r="61" spans="1:38" ht="10.8">
      <c r="M61" s="629">
        <v>50</v>
      </c>
      <c r="N61" s="630">
        <v>135.91499329999999</v>
      </c>
      <c r="O61" s="630">
        <v>105.70500180000001</v>
      </c>
      <c r="P61" s="630">
        <v>131.85099790000001</v>
      </c>
      <c r="Q61" s="276">
        <v>82.027000430000001</v>
      </c>
      <c r="AD61" s="297"/>
      <c r="AE61" s="297"/>
      <c r="AF61" s="215"/>
      <c r="AG61" s="215"/>
      <c r="AH61" s="215"/>
      <c r="AI61" s="215"/>
      <c r="AJ61" s="215"/>
      <c r="AK61" s="215"/>
      <c r="AL61" s="215"/>
    </row>
    <row r="62" spans="1:38" ht="10.8">
      <c r="M62" s="629">
        <v>51</v>
      </c>
      <c r="N62" s="630">
        <v>131.21000670000001</v>
      </c>
      <c r="O62" s="630">
        <v>110.41200259999999</v>
      </c>
      <c r="P62" s="630">
        <v>128.24499510000001</v>
      </c>
      <c r="Q62" s="276">
        <v>79.66999817</v>
      </c>
      <c r="AD62" s="297"/>
      <c r="AE62" s="297"/>
      <c r="AF62" s="215"/>
      <c r="AG62" s="215"/>
      <c r="AH62" s="215"/>
      <c r="AI62" s="215"/>
      <c r="AJ62" s="215"/>
      <c r="AK62" s="215"/>
      <c r="AL62" s="215"/>
    </row>
    <row r="63" spans="1:38" ht="10.8">
      <c r="M63" s="629">
        <v>52</v>
      </c>
      <c r="N63" s="630">
        <v>139.86399840000001</v>
      </c>
      <c r="O63" s="630">
        <v>119.1200027</v>
      </c>
      <c r="P63" s="630">
        <v>127.295997619628</v>
      </c>
      <c r="AD63" s="297"/>
      <c r="AE63" s="297"/>
      <c r="AF63" s="215"/>
      <c r="AG63" s="215"/>
      <c r="AH63" s="215"/>
      <c r="AI63" s="215"/>
      <c r="AJ63" s="215"/>
      <c r="AK63" s="215"/>
      <c r="AL63" s="215"/>
    </row>
    <row r="64" spans="1:38" ht="10.8">
      <c r="M64" s="629">
        <v>53</v>
      </c>
      <c r="N64" s="630">
        <v>146.8090057</v>
      </c>
      <c r="O64" s="630"/>
      <c r="P64" s="743"/>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Layout" zoomScale="90" zoomScaleNormal="100" zoomScaleSheetLayoutView="100" zoomScalePageLayoutView="90" workbookViewId="0">
      <selection activeCell="K58" sqref="K58"/>
    </sheetView>
  </sheetViews>
  <sheetFormatPr baseColWidth="10" defaultColWidth="9.28515625" defaultRowHeight="10.199999999999999"/>
  <cols>
    <col min="10" max="11" width="9.28515625" customWidth="1"/>
    <col min="13" max="13" width="9.28515625" style="668"/>
    <col min="14" max="24" width="9.28515625" style="277"/>
    <col min="25" max="31" width="9.28515625" style="668"/>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7" t="s">
        <v>254</v>
      </c>
      <c r="T4" s="708" t="s">
        <v>255</v>
      </c>
    </row>
    <row r="5" spans="1:23" ht="11.25" customHeight="1">
      <c r="A5" s="879"/>
      <c r="B5" s="879"/>
      <c r="C5" s="879"/>
      <c r="D5" s="879"/>
      <c r="E5" s="879"/>
      <c r="F5" s="879"/>
      <c r="G5" s="879"/>
      <c r="H5" s="879"/>
      <c r="I5" s="879"/>
      <c r="J5" s="12"/>
      <c r="K5" s="12"/>
      <c r="L5" s="8"/>
      <c r="O5" s="628">
        <v>2019</v>
      </c>
      <c r="P5" s="628">
        <v>2020</v>
      </c>
      <c r="Q5" s="628">
        <v>2021</v>
      </c>
      <c r="R5" s="628">
        <v>2022</v>
      </c>
      <c r="T5" s="628">
        <v>2019</v>
      </c>
      <c r="U5" s="628">
        <v>2020</v>
      </c>
      <c r="V5" s="628">
        <v>2021</v>
      </c>
      <c r="W5" s="628">
        <v>2022</v>
      </c>
    </row>
    <row r="6" spans="1:23" ht="11.25" customHeight="1">
      <c r="A6" s="17"/>
      <c r="B6" s="159"/>
      <c r="C6" s="68"/>
      <c r="D6" s="69"/>
      <c r="E6" s="69"/>
      <c r="F6" s="70"/>
      <c r="G6" s="66"/>
      <c r="H6" s="66"/>
      <c r="I6" s="71"/>
      <c r="J6" s="12"/>
      <c r="K6" s="12"/>
      <c r="L6" s="5"/>
      <c r="N6" s="629">
        <v>1</v>
      </c>
      <c r="O6" s="630">
        <v>71.125</v>
      </c>
      <c r="P6" s="630">
        <v>133.42999267578099</v>
      </c>
      <c r="Q6" s="709">
        <v>78.003997799999993</v>
      </c>
      <c r="R6" s="710">
        <v>35.493000029999997</v>
      </c>
      <c r="S6" s="629">
        <v>1</v>
      </c>
      <c r="T6" s="630">
        <v>190.20000426299998</v>
      </c>
      <c r="U6" s="630">
        <v>186.65300035476668</v>
      </c>
      <c r="V6" s="709">
        <v>222.16899967999998</v>
      </c>
      <c r="W6" s="710">
        <v>204.009998798</v>
      </c>
    </row>
    <row r="7" spans="1:23" ht="11.25" customHeight="1">
      <c r="A7" s="17"/>
      <c r="B7" s="880"/>
      <c r="C7" s="880"/>
      <c r="D7" s="160"/>
      <c r="E7" s="160"/>
      <c r="F7" s="70"/>
      <c r="G7" s="66"/>
      <c r="H7" s="66"/>
      <c r="I7" s="71"/>
      <c r="J7" s="3"/>
      <c r="K7" s="3"/>
      <c r="L7" s="15"/>
      <c r="N7" s="629">
        <v>2</v>
      </c>
      <c r="O7" s="630">
        <v>79.228996280000004</v>
      </c>
      <c r="P7" s="630">
        <v>141.27299500000001</v>
      </c>
      <c r="Q7" s="709">
        <v>98.037002560000005</v>
      </c>
      <c r="R7" s="710">
        <v>56.155998230000002</v>
      </c>
      <c r="S7" s="629">
        <v>2</v>
      </c>
      <c r="T7" s="630">
        <v>185.80498987600001</v>
      </c>
      <c r="U7" s="630">
        <v>194.494995117</v>
      </c>
      <c r="V7" s="709">
        <v>243.88599584999997</v>
      </c>
      <c r="W7" s="710">
        <v>226.30700303700002</v>
      </c>
    </row>
    <row r="8" spans="1:23" ht="11.25" customHeight="1">
      <c r="A8" s="17"/>
      <c r="B8" s="161"/>
      <c r="C8" s="39"/>
      <c r="D8" s="162"/>
      <c r="E8" s="162"/>
      <c r="F8" s="70"/>
      <c r="G8" s="66"/>
      <c r="H8" s="66"/>
      <c r="I8" s="71"/>
      <c r="J8" s="4"/>
      <c r="K8" s="4"/>
      <c r="L8" s="12"/>
      <c r="N8" s="629">
        <v>3</v>
      </c>
      <c r="O8" s="630">
        <v>106.65</v>
      </c>
      <c r="P8" s="630">
        <v>151.56199649999999</v>
      </c>
      <c r="Q8" s="709">
        <v>137.10699460000001</v>
      </c>
      <c r="R8" s="710">
        <v>68.723999019999994</v>
      </c>
      <c r="S8" s="629">
        <v>3</v>
      </c>
      <c r="T8" s="630">
        <v>190.06000000000003</v>
      </c>
      <c r="U8" s="630">
        <v>212.15300178999999</v>
      </c>
      <c r="V8" s="709">
        <v>260.96799851000003</v>
      </c>
      <c r="W8" s="710">
        <v>246.70599747499998</v>
      </c>
    </row>
    <row r="9" spans="1:23" ht="11.25" customHeight="1">
      <c r="A9" s="17"/>
      <c r="B9" s="161"/>
      <c r="C9" s="39"/>
      <c r="D9" s="162"/>
      <c r="E9" s="162"/>
      <c r="F9" s="70"/>
      <c r="G9" s="66"/>
      <c r="H9" s="66"/>
      <c r="I9" s="71"/>
      <c r="J9" s="3"/>
      <c r="K9" s="6"/>
      <c r="L9" s="15"/>
      <c r="N9" s="629">
        <v>4</v>
      </c>
      <c r="O9" s="630">
        <v>140.34500120000001</v>
      </c>
      <c r="P9" s="630">
        <v>167.9100037</v>
      </c>
      <c r="Q9" s="709">
        <v>187.18600459999999</v>
      </c>
      <c r="R9" s="710">
        <v>95.908996579999993</v>
      </c>
      <c r="S9" s="629">
        <v>4</v>
      </c>
      <c r="T9" s="630">
        <v>198.06799936900001</v>
      </c>
      <c r="U9" s="630">
        <v>213.71899984999999</v>
      </c>
      <c r="V9" s="709">
        <v>282.90399740999999</v>
      </c>
      <c r="W9" s="710">
        <v>284.02000140000001</v>
      </c>
    </row>
    <row r="10" spans="1:23" ht="11.25" customHeight="1">
      <c r="A10" s="17"/>
      <c r="B10" s="161"/>
      <c r="C10" s="39"/>
      <c r="D10" s="162"/>
      <c r="E10" s="162"/>
      <c r="F10" s="70"/>
      <c r="G10" s="66"/>
      <c r="H10" s="66"/>
      <c r="I10" s="71"/>
      <c r="J10" s="3"/>
      <c r="K10" s="3"/>
      <c r="L10" s="15"/>
      <c r="N10" s="629">
        <v>5</v>
      </c>
      <c r="O10" s="630">
        <v>186.18299870000001</v>
      </c>
      <c r="P10" s="630">
        <v>209.06850435244098</v>
      </c>
      <c r="Q10" s="709">
        <v>240.25399780000001</v>
      </c>
      <c r="R10" s="710">
        <v>122.54900360000001</v>
      </c>
      <c r="S10" s="629">
        <v>5</v>
      </c>
      <c r="T10" s="630">
        <v>217.55805158600003</v>
      </c>
      <c r="U10" s="630">
        <v>219.56099320000001</v>
      </c>
      <c r="V10" s="709">
        <v>283.46798616000001</v>
      </c>
      <c r="W10" s="710">
        <v>316.55300431000006</v>
      </c>
    </row>
    <row r="11" spans="1:23" ht="11.25" customHeight="1">
      <c r="A11" s="17"/>
      <c r="B11" s="162"/>
      <c r="C11" s="39"/>
      <c r="D11" s="162"/>
      <c r="E11" s="162"/>
      <c r="F11" s="70"/>
      <c r="G11" s="66"/>
      <c r="H11" s="66"/>
      <c r="I11" s="71"/>
      <c r="J11" s="3"/>
      <c r="K11" s="3"/>
      <c r="L11" s="15"/>
      <c r="N11" s="629">
        <v>6</v>
      </c>
      <c r="O11" s="630">
        <v>222.22</v>
      </c>
      <c r="P11" s="630">
        <v>250.22700500488199</v>
      </c>
      <c r="Q11" s="709">
        <v>285.57900999999998</v>
      </c>
      <c r="R11" s="710">
        <v>164.02999879999999</v>
      </c>
      <c r="S11" s="629">
        <v>6</v>
      </c>
      <c r="T11" s="630">
        <v>279.10000000000002</v>
      </c>
      <c r="U11" s="630">
        <v>285.12099838256813</v>
      </c>
      <c r="V11" s="709">
        <v>323.49900059000004</v>
      </c>
      <c r="W11" s="710">
        <v>327.15899755999999</v>
      </c>
    </row>
    <row r="12" spans="1:23" ht="11.25" customHeight="1">
      <c r="A12" s="17"/>
      <c r="B12" s="162"/>
      <c r="C12" s="39"/>
      <c r="D12" s="162"/>
      <c r="E12" s="162"/>
      <c r="F12" s="70"/>
      <c r="G12" s="66"/>
      <c r="H12" s="66"/>
      <c r="I12" s="71"/>
      <c r="J12" s="3"/>
      <c r="K12" s="3"/>
      <c r="L12" s="15"/>
      <c r="N12" s="629">
        <v>7</v>
      </c>
      <c r="O12" s="630">
        <v>277.02099609999999</v>
      </c>
      <c r="P12" s="630">
        <v>274.18798829999997</v>
      </c>
      <c r="Q12" s="709">
        <v>286.72699999999998</v>
      </c>
      <c r="R12" s="710">
        <v>195.61700188</v>
      </c>
      <c r="S12" s="629">
        <v>7</v>
      </c>
      <c r="T12" s="630">
        <v>338.21854399</v>
      </c>
      <c r="U12" s="630">
        <v>329.34199910000001</v>
      </c>
      <c r="V12" s="709">
        <v>323.53270380002277</v>
      </c>
      <c r="W12" s="710">
        <v>354.25649632083298</v>
      </c>
    </row>
    <row r="13" spans="1:23" ht="11.25" customHeight="1">
      <c r="A13" s="17"/>
      <c r="B13" s="162"/>
      <c r="C13" s="39"/>
      <c r="D13" s="162"/>
      <c r="E13" s="162"/>
      <c r="F13" s="70"/>
      <c r="G13" s="66"/>
      <c r="H13" s="66"/>
      <c r="I13" s="71"/>
      <c r="J13" s="4"/>
      <c r="K13" s="4"/>
      <c r="L13" s="12"/>
      <c r="N13" s="629">
        <v>8</v>
      </c>
      <c r="O13" s="630">
        <v>293.06698610000001</v>
      </c>
      <c r="P13" s="630">
        <v>291.3330078125</v>
      </c>
      <c r="Q13" s="709">
        <v>276.42099999999999</v>
      </c>
      <c r="R13" s="710">
        <v>273.05700683593699</v>
      </c>
      <c r="S13" s="629">
        <v>8</v>
      </c>
      <c r="T13" s="630">
        <v>388.64800643000001</v>
      </c>
      <c r="U13" s="630">
        <v>352.60932731628355</v>
      </c>
      <c r="V13" s="709">
        <v>320.11500000000001</v>
      </c>
      <c r="W13" s="710">
        <v>356.44099426269452</v>
      </c>
    </row>
    <row r="14" spans="1:23" ht="11.25" customHeight="1">
      <c r="A14" s="17"/>
      <c r="B14" s="162"/>
      <c r="C14" s="39"/>
      <c r="D14" s="162"/>
      <c r="E14" s="162"/>
      <c r="F14" s="70"/>
      <c r="G14" s="66"/>
      <c r="H14" s="66"/>
      <c r="I14" s="71"/>
      <c r="J14" s="3"/>
      <c r="K14" s="6"/>
      <c r="L14" s="15"/>
      <c r="N14" s="629">
        <v>9</v>
      </c>
      <c r="O14" s="630">
        <v>294.29501340000002</v>
      </c>
      <c r="P14" s="630">
        <v>281.57400510000002</v>
      </c>
      <c r="Q14" s="709">
        <v>271.92898559570301</v>
      </c>
      <c r="R14" s="710">
        <v>291.33300780000002</v>
      </c>
      <c r="S14" s="629">
        <v>9</v>
      </c>
      <c r="T14" s="630">
        <v>377.13099283000003</v>
      </c>
      <c r="U14" s="630">
        <v>377.95000650999998</v>
      </c>
      <c r="V14" s="709">
        <v>323.68899917602516</v>
      </c>
      <c r="W14" s="710">
        <v>371.62199979000002</v>
      </c>
    </row>
    <row r="15" spans="1:23" ht="11.25" customHeight="1">
      <c r="A15" s="17"/>
      <c r="B15" s="162"/>
      <c r="C15" s="39"/>
      <c r="D15" s="162"/>
      <c r="E15" s="162"/>
      <c r="F15" s="70"/>
      <c r="G15" s="66"/>
      <c r="H15" s="66"/>
      <c r="I15" s="71"/>
      <c r="J15" s="3"/>
      <c r="K15" s="6"/>
      <c r="L15" s="15"/>
      <c r="N15" s="629">
        <v>10</v>
      </c>
      <c r="O15" s="630">
        <v>291.91101070000002</v>
      </c>
      <c r="P15" s="630">
        <v>277.58898929999998</v>
      </c>
      <c r="Q15" s="709">
        <v>283.85998540000003</v>
      </c>
      <c r="R15" s="710">
        <v>290.13098150000002</v>
      </c>
      <c r="S15" s="629">
        <v>10</v>
      </c>
      <c r="T15" s="630">
        <v>385.62499995999997</v>
      </c>
      <c r="U15" s="630">
        <v>383.25900259000002</v>
      </c>
      <c r="V15" s="709">
        <v>329.89599799999996</v>
      </c>
      <c r="W15" s="710">
        <v>380.60428970547002</v>
      </c>
    </row>
    <row r="16" spans="1:23" ht="11.25" customHeight="1">
      <c r="A16" s="17"/>
      <c r="B16" s="162"/>
      <c r="C16" s="39"/>
      <c r="D16" s="162"/>
      <c r="E16" s="162"/>
      <c r="F16" s="70"/>
      <c r="G16" s="66"/>
      <c r="H16" s="66"/>
      <c r="I16" s="71"/>
      <c r="J16" s="3"/>
      <c r="K16" s="6"/>
      <c r="L16" s="15"/>
      <c r="N16" s="629">
        <v>11</v>
      </c>
      <c r="O16" s="630">
        <v>301.204986572265</v>
      </c>
      <c r="P16" s="630">
        <v>288.4509888</v>
      </c>
      <c r="Q16" s="709">
        <v>297.12600709999998</v>
      </c>
      <c r="R16" s="631">
        <v>306.47698974609301</v>
      </c>
      <c r="S16" s="629">
        <v>11</v>
      </c>
      <c r="T16" s="630">
        <v>389.38100242614604</v>
      </c>
      <c r="U16" s="630">
        <v>394.92200288000009</v>
      </c>
      <c r="V16" s="709">
        <v>345.04400820999996</v>
      </c>
      <c r="W16" s="710">
        <v>384.68100166320727</v>
      </c>
    </row>
    <row r="17" spans="1:23" ht="11.25" customHeight="1">
      <c r="A17" s="17"/>
      <c r="B17" s="162"/>
      <c r="C17" s="39"/>
      <c r="D17" s="162"/>
      <c r="E17" s="162"/>
      <c r="F17" s="70"/>
      <c r="G17" s="66"/>
      <c r="H17" s="66"/>
      <c r="I17" s="71"/>
      <c r="J17" s="3"/>
      <c r="K17" s="6"/>
      <c r="L17" s="15"/>
      <c r="N17" s="629">
        <v>12</v>
      </c>
      <c r="O17" s="630">
        <v>310.0090027</v>
      </c>
      <c r="P17" s="630">
        <v>295.38400268554602</v>
      </c>
      <c r="Q17" s="709">
        <v>303.54400629999998</v>
      </c>
      <c r="R17" s="631">
        <v>307.06500240000003</v>
      </c>
      <c r="S17" s="629">
        <v>12</v>
      </c>
      <c r="T17" s="630">
        <v>386.27799791999996</v>
      </c>
      <c r="U17" s="630">
        <v>390.290998458861</v>
      </c>
      <c r="V17" s="709">
        <v>376.08100894</v>
      </c>
      <c r="W17" s="710">
        <v>387.41699027999999</v>
      </c>
    </row>
    <row r="18" spans="1:23" ht="11.25" customHeight="1">
      <c r="A18" s="17"/>
      <c r="B18" s="162"/>
      <c r="C18" s="39"/>
      <c r="D18" s="162"/>
      <c r="E18" s="162"/>
      <c r="F18" s="70"/>
      <c r="G18" s="66"/>
      <c r="H18" s="66"/>
      <c r="I18" s="71"/>
      <c r="J18" s="3"/>
      <c r="K18" s="6"/>
      <c r="L18" s="15"/>
      <c r="N18" s="629">
        <v>13</v>
      </c>
      <c r="O18" s="630">
        <v>333.91799930000002</v>
      </c>
      <c r="P18" s="630">
        <v>303.54400634765602</v>
      </c>
      <c r="Q18" s="709">
        <v>310.60000609999997</v>
      </c>
      <c r="R18" s="631">
        <v>308.24</v>
      </c>
      <c r="S18" s="629">
        <v>13</v>
      </c>
      <c r="T18" s="630">
        <v>388.98099517000003</v>
      </c>
      <c r="U18" s="630">
        <v>402.17499160766499</v>
      </c>
      <c r="V18" s="709">
        <v>390.74499132000005</v>
      </c>
      <c r="W18" s="710">
        <v>387.17</v>
      </c>
    </row>
    <row r="19" spans="1:23" ht="11.25" customHeight="1">
      <c r="A19" s="17"/>
      <c r="B19" s="162"/>
      <c r="C19" s="39"/>
      <c r="D19" s="162"/>
      <c r="E19" s="162"/>
      <c r="F19" s="70"/>
      <c r="G19" s="66"/>
      <c r="H19" s="66"/>
      <c r="I19" s="71"/>
      <c r="J19" s="3"/>
      <c r="K19" s="6"/>
      <c r="L19" s="15"/>
      <c r="N19" s="629">
        <v>14</v>
      </c>
      <c r="O19" s="630">
        <v>335.73699950000002</v>
      </c>
      <c r="P19" s="630">
        <v>296.54501340000002</v>
      </c>
      <c r="Q19" s="709">
        <v>310.60000609999997</v>
      </c>
      <c r="R19" s="276">
        <v>316.52200317382801</v>
      </c>
      <c r="S19" s="629">
        <v>14</v>
      </c>
      <c r="T19" s="630">
        <v>393.36499596000004</v>
      </c>
      <c r="U19" s="630">
        <v>398.93495940999998</v>
      </c>
      <c r="V19" s="709">
        <v>396.33900255999993</v>
      </c>
      <c r="W19" s="277">
        <v>389.18700027465661</v>
      </c>
    </row>
    <row r="20" spans="1:23" ht="11.25" customHeight="1">
      <c r="A20" s="17"/>
      <c r="B20" s="162"/>
      <c r="C20" s="39"/>
      <c r="D20" s="162"/>
      <c r="E20" s="162"/>
      <c r="F20" s="70"/>
      <c r="G20" s="66"/>
      <c r="H20" s="66"/>
      <c r="I20" s="71"/>
      <c r="J20" s="3"/>
      <c r="K20" s="6"/>
      <c r="L20" s="15"/>
      <c r="N20" s="629">
        <v>15</v>
      </c>
      <c r="O20" s="630">
        <v>335.73699950000002</v>
      </c>
      <c r="P20" s="630">
        <v>289.60299680000003</v>
      </c>
      <c r="Q20" s="709">
        <v>308.24200439999998</v>
      </c>
      <c r="R20" s="276">
        <v>323.08200069999998</v>
      </c>
      <c r="S20" s="629">
        <v>15</v>
      </c>
      <c r="T20" s="630">
        <v>385.77799804</v>
      </c>
      <c r="U20" s="630">
        <v>388.01895332999999</v>
      </c>
      <c r="V20" s="709">
        <v>407.79200167999994</v>
      </c>
      <c r="W20" s="277">
        <v>391.56700128</v>
      </c>
    </row>
    <row r="21" spans="1:23" ht="11.25" customHeight="1">
      <c r="A21" s="17"/>
      <c r="B21" s="162"/>
      <c r="C21" s="39"/>
      <c r="D21" s="162"/>
      <c r="E21" s="162"/>
      <c r="F21" s="70"/>
      <c r="G21" s="66"/>
      <c r="H21" s="66"/>
      <c r="I21" s="71"/>
      <c r="J21" s="3"/>
      <c r="K21" s="7"/>
      <c r="L21" s="16"/>
      <c r="N21" s="629">
        <v>16</v>
      </c>
      <c r="O21" s="630">
        <v>335.73699950000002</v>
      </c>
      <c r="P21" s="630">
        <v>285.006012</v>
      </c>
      <c r="Q21" s="709">
        <v>302.9590149</v>
      </c>
      <c r="R21" s="276">
        <v>320.093994140625</v>
      </c>
      <c r="S21" s="629">
        <v>16</v>
      </c>
      <c r="T21" s="630">
        <v>385.72399323999997</v>
      </c>
      <c r="U21" s="630">
        <v>383.39695458999995</v>
      </c>
      <c r="V21" s="709">
        <v>404.66700356000001</v>
      </c>
      <c r="W21" s="277">
        <v>387.48099899291947</v>
      </c>
    </row>
    <row r="22" spans="1:23" ht="11.25" customHeight="1">
      <c r="A22" s="77"/>
      <c r="B22" s="162"/>
      <c r="C22" s="39"/>
      <c r="D22" s="162"/>
      <c r="E22" s="162"/>
      <c r="F22" s="70"/>
      <c r="G22" s="66"/>
      <c r="H22" s="66"/>
      <c r="I22" s="71"/>
      <c r="J22" s="3"/>
      <c r="K22" s="6"/>
      <c r="L22" s="15"/>
      <c r="N22" s="629">
        <v>17</v>
      </c>
      <c r="O22" s="630">
        <v>335.73699950000002</v>
      </c>
      <c r="P22" s="630">
        <v>285.00601196289</v>
      </c>
      <c r="Q22" s="709">
        <v>304.71600339999998</v>
      </c>
      <c r="R22" s="276">
        <v>317.51499449062499</v>
      </c>
      <c r="S22" s="629">
        <v>17</v>
      </c>
      <c r="T22" s="630">
        <v>388.74200823000001</v>
      </c>
      <c r="U22" s="630">
        <v>381.56399345397853</v>
      </c>
      <c r="V22" s="709">
        <v>401.20799636000004</v>
      </c>
      <c r="W22" s="277">
        <v>384.68462114530365</v>
      </c>
    </row>
    <row r="23" spans="1:23" ht="11.25" customHeight="1">
      <c r="A23" s="77"/>
      <c r="B23" s="162"/>
      <c r="C23" s="39"/>
      <c r="D23" s="162"/>
      <c r="E23" s="162"/>
      <c r="F23" s="70"/>
      <c r="G23" s="66"/>
      <c r="H23" s="66"/>
      <c r="I23" s="71"/>
      <c r="J23" s="3"/>
      <c r="K23" s="6"/>
      <c r="L23" s="15"/>
      <c r="N23" s="629">
        <v>18</v>
      </c>
      <c r="O23" s="630">
        <v>335.73699950000002</v>
      </c>
      <c r="P23" s="630">
        <v>285.006012</v>
      </c>
      <c r="Q23" s="709">
        <v>301.20498659999998</v>
      </c>
      <c r="R23" s="276">
        <v>286.73</v>
      </c>
      <c r="S23" s="629">
        <v>18</v>
      </c>
      <c r="T23" s="630">
        <v>386.49800113000003</v>
      </c>
      <c r="U23" s="630">
        <v>379.87400246999994</v>
      </c>
      <c r="V23" s="709">
        <v>398.68500135999994</v>
      </c>
      <c r="W23" s="277">
        <v>375.79000000000008</v>
      </c>
    </row>
    <row r="24" spans="1:23" ht="11.25" customHeight="1">
      <c r="A24" s="77"/>
      <c r="B24" s="162"/>
      <c r="C24" s="39"/>
      <c r="D24" s="162"/>
      <c r="E24" s="162"/>
      <c r="F24" s="70"/>
      <c r="G24" s="66"/>
      <c r="H24" s="66"/>
      <c r="I24" s="71"/>
      <c r="J24" s="6"/>
      <c r="K24" s="6"/>
      <c r="L24" s="15"/>
      <c r="N24" s="629">
        <v>19</v>
      </c>
      <c r="O24" s="630">
        <v>314.7409973</v>
      </c>
      <c r="P24" s="630">
        <v>314.7409973</v>
      </c>
      <c r="Q24" s="709">
        <v>301.78900149999998</v>
      </c>
      <c r="R24" s="276">
        <v>294.225006103515</v>
      </c>
      <c r="S24" s="629">
        <v>19</v>
      </c>
      <c r="T24" s="630">
        <v>384.38200000000001</v>
      </c>
      <c r="U24" s="630">
        <v>375.69400404000004</v>
      </c>
      <c r="V24" s="709">
        <v>396.22801973000003</v>
      </c>
      <c r="W24" s="277">
        <v>370.16600227355934</v>
      </c>
    </row>
    <row r="25" spans="1:23" ht="11.25" customHeight="1">
      <c r="A25" s="263" t="s">
        <v>538</v>
      </c>
      <c r="B25" s="162"/>
      <c r="C25" s="39"/>
      <c r="D25" s="162"/>
      <c r="E25" s="162"/>
      <c r="F25" s="70"/>
      <c r="G25" s="66"/>
      <c r="H25" s="66"/>
      <c r="I25" s="71"/>
      <c r="J25" s="3"/>
      <c r="K25" s="7"/>
      <c r="L25" s="16"/>
      <c r="N25" s="711">
        <v>20</v>
      </c>
      <c r="O25" s="630">
        <v>315.3340149</v>
      </c>
      <c r="P25" s="630">
        <v>314.14801030000001</v>
      </c>
      <c r="Q25" s="709">
        <v>305.30300899999997</v>
      </c>
      <c r="R25" s="276">
        <v>298.29000854492102</v>
      </c>
      <c r="S25" s="629">
        <v>20</v>
      </c>
      <c r="T25" s="630">
        <v>381.56399727000002</v>
      </c>
      <c r="U25" s="630">
        <v>370.56599616999995</v>
      </c>
      <c r="V25" s="709">
        <v>391.74099727000004</v>
      </c>
      <c r="W25" s="712">
        <v>364.40299987792889</v>
      </c>
    </row>
    <row r="26" spans="1:23" ht="11.25" customHeight="1">
      <c r="A26" s="54"/>
      <c r="B26" s="162"/>
      <c r="C26" s="39"/>
      <c r="D26" s="162"/>
      <c r="E26" s="162"/>
      <c r="F26" s="70"/>
      <c r="G26" s="66"/>
      <c r="H26" s="66"/>
      <c r="I26" s="71"/>
      <c r="J26" s="4"/>
      <c r="K26" s="6"/>
      <c r="L26" s="15"/>
      <c r="N26" s="629">
        <v>21</v>
      </c>
      <c r="O26" s="630">
        <v>311.78100590000003</v>
      </c>
      <c r="P26" s="630">
        <v>312.37200927734301</v>
      </c>
      <c r="Q26" s="709">
        <v>308.24200439999998</v>
      </c>
      <c r="R26" s="713">
        <v>302.95901489257801</v>
      </c>
      <c r="S26" s="629">
        <v>21</v>
      </c>
      <c r="T26" s="630">
        <v>376.47088237999998</v>
      </c>
      <c r="U26" s="630">
        <v>365.52200794219863</v>
      </c>
      <c r="V26" s="709">
        <v>387.63294980000006</v>
      </c>
      <c r="W26" s="277">
        <v>358.7700004577631</v>
      </c>
    </row>
    <row r="27" spans="1:23" ht="11.25" customHeight="1">
      <c r="A27" s="77"/>
      <c r="B27" s="162"/>
      <c r="C27" s="39"/>
      <c r="D27" s="162"/>
      <c r="E27" s="162"/>
      <c r="F27" s="73"/>
      <c r="G27" s="73"/>
      <c r="H27" s="73"/>
      <c r="I27" s="73"/>
      <c r="J27" s="4"/>
      <c r="K27" s="6"/>
      <c r="L27" s="15"/>
      <c r="N27" s="629">
        <v>22</v>
      </c>
      <c r="O27" s="630">
        <v>310.60000609999997</v>
      </c>
      <c r="P27" s="630">
        <v>310.60000609999997</v>
      </c>
      <c r="Q27" s="709">
        <v>307.6530151</v>
      </c>
      <c r="R27" s="713">
        <v>306.47698969999999</v>
      </c>
      <c r="S27" s="629">
        <v>22</v>
      </c>
      <c r="T27" s="630">
        <v>370.73099807</v>
      </c>
      <c r="U27" s="630">
        <v>359.19900507300002</v>
      </c>
      <c r="V27" s="709">
        <v>383.63200570999999</v>
      </c>
      <c r="W27" s="277">
        <v>353.17899700999999</v>
      </c>
    </row>
    <row r="28" spans="1:23" ht="11.25" customHeight="1">
      <c r="A28" s="77"/>
      <c r="B28" s="162"/>
      <c r="C28" s="39"/>
      <c r="D28" s="162"/>
      <c r="E28" s="162"/>
      <c r="F28" s="73"/>
      <c r="G28" s="73"/>
      <c r="H28" s="73"/>
      <c r="I28" s="73"/>
      <c r="J28" s="4"/>
      <c r="K28" s="6"/>
      <c r="L28" s="15"/>
      <c r="N28" s="629">
        <v>23</v>
      </c>
      <c r="O28" s="630">
        <v>307.06500240000003</v>
      </c>
      <c r="P28" s="630">
        <v>307.06500240000003</v>
      </c>
      <c r="Q28" s="709">
        <v>302.9590149</v>
      </c>
      <c r="R28" s="713">
        <v>304.13000488281199</v>
      </c>
      <c r="S28" s="629">
        <v>23</v>
      </c>
      <c r="T28" s="630">
        <v>363.24299430999997</v>
      </c>
      <c r="U28" s="630">
        <v>354.24799921000005</v>
      </c>
      <c r="V28" s="709">
        <v>379.05501368</v>
      </c>
      <c r="W28" s="277">
        <v>347.3810005187978</v>
      </c>
    </row>
    <row r="29" spans="1:23" ht="11.25" customHeight="1">
      <c r="A29" s="77"/>
      <c r="B29" s="162"/>
      <c r="C29" s="39"/>
      <c r="D29" s="162"/>
      <c r="E29" s="162"/>
      <c r="F29" s="73"/>
      <c r="G29" s="73"/>
      <c r="H29" s="73"/>
      <c r="I29" s="73"/>
      <c r="J29" s="4"/>
      <c r="K29" s="6"/>
      <c r="L29" s="15"/>
      <c r="N29" s="629">
        <v>24</v>
      </c>
      <c r="O29" s="630">
        <v>302.9590149</v>
      </c>
      <c r="P29" s="630">
        <v>300.621002197265</v>
      </c>
      <c r="Q29" s="709">
        <v>291.91101070000002</v>
      </c>
      <c r="R29" s="713">
        <v>295.9649963</v>
      </c>
      <c r="S29" s="629">
        <v>24</v>
      </c>
      <c r="T29" s="630">
        <v>357.21200376000002</v>
      </c>
      <c r="U29" s="630">
        <v>348.87000203132561</v>
      </c>
      <c r="V29" s="709">
        <v>374.35099984999999</v>
      </c>
      <c r="W29" s="277">
        <v>341.67700381999998</v>
      </c>
    </row>
    <row r="30" spans="1:23" ht="11.25" customHeight="1">
      <c r="A30" s="74"/>
      <c r="B30" s="73"/>
      <c r="C30" s="73"/>
      <c r="D30" s="73"/>
      <c r="E30" s="73"/>
      <c r="F30" s="73"/>
      <c r="G30" s="73"/>
      <c r="H30" s="73"/>
      <c r="I30" s="73"/>
      <c r="J30" s="3"/>
      <c r="K30" s="6"/>
      <c r="L30" s="15"/>
      <c r="N30" s="629">
        <v>25</v>
      </c>
      <c r="O30" s="630">
        <v>300.0379944</v>
      </c>
      <c r="P30" s="630">
        <v>286.72698969999999</v>
      </c>
      <c r="Q30" s="709">
        <v>282.14498900000001</v>
      </c>
      <c r="R30" s="713">
        <v>285.57900999999998</v>
      </c>
      <c r="S30" s="629">
        <v>25</v>
      </c>
      <c r="T30" s="630">
        <v>352.1909981</v>
      </c>
      <c r="U30" s="630">
        <v>343.83099551700002</v>
      </c>
      <c r="V30" s="709">
        <v>369.41900067</v>
      </c>
      <c r="W30" s="277">
        <v>335.75800323999999</v>
      </c>
    </row>
    <row r="31" spans="1:23" ht="11.25" customHeight="1">
      <c r="A31" s="74"/>
      <c r="B31" s="73"/>
      <c r="C31" s="73"/>
      <c r="D31" s="73"/>
      <c r="E31" s="73"/>
      <c r="F31" s="73"/>
      <c r="G31" s="73"/>
      <c r="H31" s="73"/>
      <c r="I31" s="73"/>
      <c r="J31" s="3"/>
      <c r="K31" s="6"/>
      <c r="L31" s="15"/>
      <c r="N31" s="629">
        <v>26</v>
      </c>
      <c r="O31" s="630">
        <v>296.06698610000001</v>
      </c>
      <c r="P31" s="630">
        <v>266.86801150000002</v>
      </c>
      <c r="Q31" s="709">
        <v>270.23800660000001</v>
      </c>
      <c r="R31" s="713">
        <v>274.75399779999998</v>
      </c>
      <c r="S31" s="629">
        <v>26</v>
      </c>
      <c r="T31" s="630">
        <v>346.62612917400003</v>
      </c>
      <c r="U31" s="630">
        <v>338.47100355099997</v>
      </c>
      <c r="V31" s="709">
        <v>363.95100021999997</v>
      </c>
      <c r="W31" s="277">
        <v>330.74199960999994</v>
      </c>
    </row>
    <row r="32" spans="1:23" ht="11.25" customHeight="1">
      <c r="A32" s="74"/>
      <c r="B32" s="73"/>
      <c r="C32" s="73"/>
      <c r="D32" s="73"/>
      <c r="E32" s="73"/>
      <c r="F32" s="73"/>
      <c r="G32" s="73"/>
      <c r="H32" s="73"/>
      <c r="I32" s="73"/>
      <c r="J32" s="3"/>
      <c r="K32" s="6"/>
      <c r="L32" s="15"/>
      <c r="N32" s="629">
        <v>27</v>
      </c>
      <c r="O32" s="630">
        <v>275.89</v>
      </c>
      <c r="P32" s="630">
        <v>255.73500061035099</v>
      </c>
      <c r="Q32" s="709">
        <v>251.32600400000001</v>
      </c>
      <c r="R32" s="713">
        <v>261.83898929999998</v>
      </c>
      <c r="S32" s="629">
        <v>27</v>
      </c>
      <c r="T32" s="630">
        <v>341.25900444999996</v>
      </c>
      <c r="U32" s="630">
        <v>333.23996639251612</v>
      </c>
      <c r="V32" s="709">
        <v>358.46099474000005</v>
      </c>
      <c r="W32" s="277">
        <v>325.96500109999999</v>
      </c>
    </row>
    <row r="33" spans="1:23" ht="11.25" customHeight="1">
      <c r="A33" s="74"/>
      <c r="B33" s="73"/>
      <c r="C33" s="73"/>
      <c r="D33" s="73"/>
      <c r="E33" s="73"/>
      <c r="F33" s="73"/>
      <c r="G33" s="73"/>
      <c r="H33" s="73"/>
      <c r="I33" s="73"/>
      <c r="J33" s="3"/>
      <c r="K33" s="6"/>
      <c r="L33" s="15"/>
      <c r="N33" s="629">
        <v>28</v>
      </c>
      <c r="O33" s="630">
        <v>248.58200070000001</v>
      </c>
      <c r="P33" s="632">
        <v>244.7590027</v>
      </c>
      <c r="Q33" s="709">
        <v>243.66999820000001</v>
      </c>
      <c r="R33" s="713">
        <v>249.13000489999999</v>
      </c>
      <c r="S33" s="629">
        <v>28</v>
      </c>
      <c r="T33" s="630">
        <v>337.18899436699996</v>
      </c>
      <c r="U33" s="630">
        <v>327.71050074999999</v>
      </c>
      <c r="V33" s="709">
        <v>352.90699958999994</v>
      </c>
      <c r="W33" s="277">
        <v>319.04200172500003</v>
      </c>
    </row>
    <row r="34" spans="1:23" ht="11.25" customHeight="1">
      <c r="A34" s="74"/>
      <c r="B34" s="73"/>
      <c r="C34" s="73"/>
      <c r="D34" s="73"/>
      <c r="E34" s="73"/>
      <c r="F34" s="73"/>
      <c r="G34" s="73"/>
      <c r="H34" s="73"/>
      <c r="I34" s="73"/>
      <c r="J34" s="3"/>
      <c r="K34" s="6"/>
      <c r="L34" s="15"/>
      <c r="N34" s="629">
        <v>29</v>
      </c>
      <c r="O34" s="630">
        <v>238.787994384765</v>
      </c>
      <c r="P34" s="630">
        <v>231.25799559999999</v>
      </c>
      <c r="Q34" s="709">
        <v>236.0899963</v>
      </c>
      <c r="R34" s="713">
        <v>235.552001953125</v>
      </c>
      <c r="S34" s="629">
        <v>29</v>
      </c>
      <c r="T34" s="630">
        <v>333.50600986443789</v>
      </c>
      <c r="U34" s="630">
        <v>322.11699965099996</v>
      </c>
      <c r="V34" s="709">
        <v>346.83199694000007</v>
      </c>
      <c r="W34" s="277">
        <v>313.23499679565401</v>
      </c>
    </row>
    <row r="35" spans="1:23" ht="11.25" customHeight="1">
      <c r="A35" s="74"/>
      <c r="B35" s="73"/>
      <c r="C35" s="73"/>
      <c r="D35" s="73"/>
      <c r="E35" s="73"/>
      <c r="F35" s="73"/>
      <c r="G35" s="73"/>
      <c r="H35" s="73"/>
      <c r="I35" s="73"/>
      <c r="J35" s="6"/>
      <c r="K35" s="6"/>
      <c r="L35" s="15"/>
      <c r="N35" s="629">
        <v>30</v>
      </c>
      <c r="O35" s="630">
        <v>229.12</v>
      </c>
      <c r="P35" s="630">
        <v>219.58000179999999</v>
      </c>
      <c r="Q35" s="709">
        <v>223.80499270000001</v>
      </c>
      <c r="R35" s="713">
        <v>235.55200199999999</v>
      </c>
      <c r="S35" s="629">
        <v>30</v>
      </c>
      <c r="T35" s="630">
        <v>324.04999999999995</v>
      </c>
      <c r="U35" s="630">
        <v>316.39600081599997</v>
      </c>
      <c r="V35" s="709">
        <v>340.42700004</v>
      </c>
      <c r="W35" s="277">
        <v>308.18499564899997</v>
      </c>
    </row>
    <row r="36" spans="1:23" ht="11.25" customHeight="1">
      <c r="A36" s="74"/>
      <c r="B36" s="73"/>
      <c r="C36" s="73"/>
      <c r="D36" s="73"/>
      <c r="E36" s="73"/>
      <c r="F36" s="73"/>
      <c r="G36" s="73"/>
      <c r="H36" s="73"/>
      <c r="I36" s="73"/>
      <c r="J36" s="3"/>
      <c r="K36" s="6"/>
      <c r="L36" s="15"/>
      <c r="N36" s="629">
        <v>31</v>
      </c>
      <c r="O36" s="630">
        <v>219.05400090000001</v>
      </c>
      <c r="P36" s="630">
        <v>209.128006</v>
      </c>
      <c r="Q36" s="709">
        <v>211.72599790000001</v>
      </c>
      <c r="R36" s="713">
        <v>204.47599792480401</v>
      </c>
      <c r="S36" s="629">
        <v>31</v>
      </c>
      <c r="T36" s="630">
        <v>318.10600236499999</v>
      </c>
      <c r="U36" s="630">
        <v>310.66199637099999</v>
      </c>
      <c r="V36" s="709">
        <v>333.77900123000001</v>
      </c>
      <c r="W36" s="277">
        <v>300.29800155758841</v>
      </c>
    </row>
    <row r="37" spans="1:23" ht="11.25" customHeight="1">
      <c r="A37" s="74"/>
      <c r="B37" s="73"/>
      <c r="C37" s="73"/>
      <c r="D37" s="73"/>
      <c r="E37" s="73"/>
      <c r="F37" s="73"/>
      <c r="G37" s="73"/>
      <c r="H37" s="73"/>
      <c r="I37" s="73"/>
      <c r="J37" s="3"/>
      <c r="K37" s="10"/>
      <c r="L37" s="15"/>
      <c r="N37" s="629">
        <v>32</v>
      </c>
      <c r="O37" s="630">
        <v>209.128006</v>
      </c>
      <c r="P37" s="630">
        <v>201.39199830000001</v>
      </c>
      <c r="Q37" s="709">
        <v>200.36700440000001</v>
      </c>
      <c r="R37" s="276">
        <v>190.20399475097599</v>
      </c>
      <c r="S37" s="629">
        <v>32</v>
      </c>
      <c r="T37" s="630">
        <v>312.078003352</v>
      </c>
      <c r="U37" s="630">
        <v>304.63100243800005</v>
      </c>
      <c r="V37" s="709">
        <v>326.91499899999997</v>
      </c>
      <c r="W37" s="277">
        <v>292.89500425755955</v>
      </c>
    </row>
    <row r="38" spans="1:23" ht="11.25" customHeight="1">
      <c r="A38" s="74"/>
      <c r="B38" s="73"/>
      <c r="C38" s="73"/>
      <c r="D38" s="73"/>
      <c r="E38" s="73"/>
      <c r="F38" s="73"/>
      <c r="G38" s="73"/>
      <c r="H38" s="73"/>
      <c r="I38" s="73"/>
      <c r="J38" s="3"/>
      <c r="K38" s="10"/>
      <c r="L38" s="38"/>
      <c r="N38" s="629">
        <v>33</v>
      </c>
      <c r="O38" s="630">
        <v>199.85499569999999</v>
      </c>
      <c r="P38" s="630">
        <v>189.6999969</v>
      </c>
      <c r="Q38" s="709">
        <v>187.18600459999999</v>
      </c>
      <c r="R38" s="276">
        <v>187.18600459999999</v>
      </c>
      <c r="S38" s="629">
        <v>33</v>
      </c>
      <c r="T38" s="630">
        <v>312.078003352</v>
      </c>
      <c r="U38" s="630">
        <v>299.14499665</v>
      </c>
      <c r="V38" s="709">
        <v>320.04999731999993</v>
      </c>
      <c r="W38" s="277">
        <v>302.95999780999995</v>
      </c>
    </row>
    <row r="39" spans="1:23" ht="11.25" customHeight="1">
      <c r="A39" s="74"/>
      <c r="B39" s="73"/>
      <c r="C39" s="73"/>
      <c r="D39" s="73"/>
      <c r="E39" s="73"/>
      <c r="F39" s="73"/>
      <c r="G39" s="73"/>
      <c r="H39" s="73"/>
      <c r="I39" s="73"/>
      <c r="J39" s="3"/>
      <c r="K39" s="7"/>
      <c r="L39" s="15"/>
      <c r="N39" s="629">
        <v>34</v>
      </c>
      <c r="O39" s="630">
        <v>188.69299319999999</v>
      </c>
      <c r="P39" s="630">
        <v>178.71099849999999</v>
      </c>
      <c r="Q39" s="709">
        <v>176.73300169999999</v>
      </c>
      <c r="R39" s="276">
        <v>173.7779999</v>
      </c>
      <c r="S39" s="629">
        <v>34</v>
      </c>
      <c r="T39" s="630">
        <v>299.58200316099999</v>
      </c>
      <c r="U39" s="630">
        <v>293.22399712800001</v>
      </c>
      <c r="V39" s="709">
        <v>312.22399334000005</v>
      </c>
      <c r="W39" s="277">
        <v>277.92099988699999</v>
      </c>
    </row>
    <row r="40" spans="1:23" ht="11.25" customHeight="1">
      <c r="A40" s="74"/>
      <c r="B40" s="73"/>
      <c r="C40" s="73"/>
      <c r="D40" s="73"/>
      <c r="E40" s="73"/>
      <c r="F40" s="73"/>
      <c r="G40" s="73"/>
      <c r="H40" s="73"/>
      <c r="I40" s="73"/>
      <c r="J40" s="3"/>
      <c r="K40" s="7"/>
      <c r="L40" s="15"/>
      <c r="N40" s="629">
        <v>35</v>
      </c>
      <c r="O40" s="630">
        <v>177.72099299999999</v>
      </c>
      <c r="P40" s="633">
        <v>167.91000366210901</v>
      </c>
      <c r="Q40" s="709">
        <v>168.8840027</v>
      </c>
      <c r="R40" s="276">
        <v>169.37899780273401</v>
      </c>
      <c r="S40" s="629">
        <v>35</v>
      </c>
      <c r="T40" s="630">
        <v>292.71899843200003</v>
      </c>
      <c r="U40" s="630">
        <v>287.11000061035065</v>
      </c>
      <c r="V40" s="709">
        <v>304.73300071000006</v>
      </c>
      <c r="W40" s="277">
        <v>270.68900412321057</v>
      </c>
    </row>
    <row r="41" spans="1:23" ht="11.25" customHeight="1">
      <c r="A41" s="74"/>
      <c r="B41" s="73"/>
      <c r="C41" s="73"/>
      <c r="D41" s="73"/>
      <c r="E41" s="73"/>
      <c r="F41" s="73"/>
      <c r="G41" s="73"/>
      <c r="H41" s="73"/>
      <c r="I41" s="73"/>
      <c r="J41" s="3"/>
      <c r="K41" s="7"/>
      <c r="L41" s="15"/>
      <c r="N41" s="629">
        <v>36</v>
      </c>
      <c r="O41" s="630">
        <v>164.99800110000001</v>
      </c>
      <c r="P41" s="633">
        <v>158.25599670410099</v>
      </c>
      <c r="Q41" s="709">
        <v>158.2559967</v>
      </c>
      <c r="R41" s="276">
        <v>165.48199460000001</v>
      </c>
      <c r="S41" s="629">
        <v>36</v>
      </c>
      <c r="T41" s="630">
        <v>286.64699412499999</v>
      </c>
      <c r="U41" s="630">
        <v>280.34500217437699</v>
      </c>
      <c r="V41" s="709">
        <v>297.47899814000004</v>
      </c>
      <c r="W41" s="277">
        <v>263.03699629800002</v>
      </c>
    </row>
    <row r="42" spans="1:23" ht="11.25" customHeight="1">
      <c r="A42" s="74"/>
      <c r="B42" s="73"/>
      <c r="C42" s="73"/>
      <c r="D42" s="73"/>
      <c r="E42" s="73"/>
      <c r="F42" s="73"/>
      <c r="G42" s="73"/>
      <c r="H42" s="73"/>
      <c r="I42" s="73"/>
      <c r="J42" s="6"/>
      <c r="K42" s="10"/>
      <c r="L42" s="15"/>
      <c r="N42" s="629">
        <v>37</v>
      </c>
      <c r="O42" s="630">
        <v>154.53400055</v>
      </c>
      <c r="P42" s="633">
        <v>147.34800720214801</v>
      </c>
      <c r="Q42" s="709">
        <v>147.34800720000001</v>
      </c>
      <c r="R42" s="276">
        <v>142.98404230134</v>
      </c>
      <c r="S42" s="629">
        <v>37</v>
      </c>
      <c r="T42" s="630">
        <v>280.605003845</v>
      </c>
      <c r="U42" s="630">
        <v>273.90200042724575</v>
      </c>
      <c r="V42" s="709">
        <v>289.18600270099995</v>
      </c>
      <c r="W42" s="277">
        <v>267.3754964899627</v>
      </c>
    </row>
    <row r="43" spans="1:23" ht="11.25" customHeight="1">
      <c r="A43" s="74"/>
      <c r="B43" s="73"/>
      <c r="C43" s="73"/>
      <c r="D43" s="73"/>
      <c r="E43" s="73"/>
      <c r="F43" s="73"/>
      <c r="G43" s="73"/>
      <c r="H43" s="73"/>
      <c r="I43" s="73"/>
      <c r="J43" s="3"/>
      <c r="K43" s="10"/>
      <c r="L43" s="15"/>
      <c r="N43" s="629">
        <v>38</v>
      </c>
      <c r="O43" s="630">
        <v>144.07</v>
      </c>
      <c r="P43" s="633">
        <v>136.64599609375</v>
      </c>
      <c r="Q43" s="709">
        <v>131.14500430000001</v>
      </c>
      <c r="R43" s="276">
        <v>132.51499938964801</v>
      </c>
      <c r="S43" s="629">
        <v>38</v>
      </c>
      <c r="T43" s="630">
        <v>274.21999999999997</v>
      </c>
      <c r="U43" s="630">
        <v>267.16300058364783</v>
      </c>
      <c r="V43" s="709">
        <v>281.63800617199996</v>
      </c>
      <c r="W43" s="277">
        <v>247.34099905192824</v>
      </c>
    </row>
    <row r="44" spans="1:23" ht="11.25" customHeight="1">
      <c r="A44" s="74"/>
      <c r="B44" s="73"/>
      <c r="C44" s="73"/>
      <c r="D44" s="73"/>
      <c r="E44" s="73"/>
      <c r="F44" s="73"/>
      <c r="G44" s="73"/>
      <c r="H44" s="73"/>
      <c r="I44" s="73"/>
      <c r="J44" s="3"/>
      <c r="K44" s="10"/>
      <c r="L44" s="15"/>
      <c r="N44" s="629">
        <v>39</v>
      </c>
      <c r="O44" s="630">
        <v>135.725006103515</v>
      </c>
      <c r="P44" s="633">
        <v>131.14500430000001</v>
      </c>
      <c r="Q44" s="709">
        <v>117.1940002</v>
      </c>
      <c r="R44" s="276">
        <v>131.60099790000001</v>
      </c>
      <c r="S44" s="629">
        <v>39</v>
      </c>
      <c r="T44" s="630">
        <v>267.58499765396107</v>
      </c>
      <c r="U44" s="630">
        <v>262.426999588</v>
      </c>
      <c r="V44" s="709">
        <v>274.41000078900004</v>
      </c>
      <c r="W44" s="277">
        <v>239.01999990799999</v>
      </c>
    </row>
    <row r="45" spans="1:23" ht="11.25" customHeight="1">
      <c r="A45" s="74"/>
      <c r="B45" s="73"/>
      <c r="C45" s="73"/>
      <c r="D45" s="73"/>
      <c r="E45" s="73"/>
      <c r="F45" s="73"/>
      <c r="G45" s="73"/>
      <c r="H45" s="73"/>
      <c r="I45" s="73"/>
      <c r="J45" s="11"/>
      <c r="K45" s="11"/>
      <c r="L45" s="11"/>
      <c r="N45" s="629">
        <v>40</v>
      </c>
      <c r="O45" s="630">
        <v>127.0559998</v>
      </c>
      <c r="P45" s="630">
        <v>120.7580032</v>
      </c>
      <c r="Q45" s="709">
        <v>113.2139969</v>
      </c>
      <c r="R45" s="276">
        <v>127.05599975585901</v>
      </c>
      <c r="S45" s="629">
        <v>40</v>
      </c>
      <c r="T45" s="630">
        <v>260.96199703900004</v>
      </c>
      <c r="U45" s="630">
        <v>258.968997</v>
      </c>
      <c r="V45" s="709">
        <v>267.74887463900001</v>
      </c>
      <c r="W45" s="277">
        <v>230.88899938762165</v>
      </c>
    </row>
    <row r="46" spans="1:23" ht="11.25" customHeight="1">
      <c r="A46" s="74"/>
      <c r="B46" s="73"/>
      <c r="C46" s="73"/>
      <c r="D46" s="73"/>
      <c r="E46" s="73"/>
      <c r="F46" s="73"/>
      <c r="G46" s="73"/>
      <c r="H46" s="73"/>
      <c r="I46" s="73"/>
      <c r="J46" s="11"/>
      <c r="K46" s="11"/>
      <c r="L46" s="11"/>
      <c r="N46" s="629">
        <v>41</v>
      </c>
      <c r="O46" s="630">
        <v>110.13999939999999</v>
      </c>
      <c r="P46" s="630">
        <v>102.3249969</v>
      </c>
      <c r="Q46" s="709">
        <v>105.78199770000001</v>
      </c>
      <c r="R46" s="276">
        <v>113.457096562483</v>
      </c>
      <c r="S46" s="629">
        <v>41</v>
      </c>
      <c r="T46" s="630">
        <v>253.29600046600001</v>
      </c>
      <c r="U46" s="630">
        <v>255.76199719799999</v>
      </c>
      <c r="V46" s="709">
        <v>261.11699532200004</v>
      </c>
      <c r="W46" s="277">
        <v>221.89513753580701</v>
      </c>
    </row>
    <row r="47" spans="1:23" ht="11.25" customHeight="1">
      <c r="A47" s="74"/>
      <c r="B47" s="73"/>
      <c r="C47" s="73"/>
      <c r="D47" s="73"/>
      <c r="E47" s="73"/>
      <c r="F47" s="73"/>
      <c r="G47" s="73"/>
      <c r="H47" s="73"/>
      <c r="I47" s="73"/>
      <c r="J47" s="11"/>
      <c r="K47" s="11"/>
      <c r="L47" s="11"/>
      <c r="N47" s="629">
        <v>42</v>
      </c>
      <c r="O47" s="630">
        <v>100.61</v>
      </c>
      <c r="P47" s="630">
        <v>92.944999694824205</v>
      </c>
      <c r="Q47" s="709">
        <v>94.636001590000006</v>
      </c>
      <c r="R47" s="276">
        <v>110.13999939999999</v>
      </c>
      <c r="S47" s="629">
        <v>42</v>
      </c>
      <c r="T47" s="630">
        <v>246.06</v>
      </c>
      <c r="U47" s="630">
        <v>251.31199836730943</v>
      </c>
      <c r="V47" s="709">
        <v>255.18400193299999</v>
      </c>
      <c r="W47" s="277">
        <v>214.51600204000002</v>
      </c>
    </row>
    <row r="48" spans="1:23" ht="11.25" customHeight="1">
      <c r="A48" s="74"/>
      <c r="B48" s="73"/>
      <c r="C48" s="73"/>
      <c r="D48" s="73"/>
      <c r="E48" s="73"/>
      <c r="F48" s="73"/>
      <c r="G48" s="73"/>
      <c r="H48" s="73"/>
      <c r="I48" s="73"/>
      <c r="J48" s="11"/>
      <c r="K48" s="11"/>
      <c r="L48" s="11"/>
      <c r="N48" s="629">
        <v>43</v>
      </c>
      <c r="O48" s="630">
        <v>95.484001160000005</v>
      </c>
      <c r="P48" s="630">
        <v>84.166999820000001</v>
      </c>
      <c r="Q48" s="709">
        <v>83.753997799999993</v>
      </c>
      <c r="R48" s="276">
        <v>91.259002685546804</v>
      </c>
      <c r="S48" s="629">
        <v>43</v>
      </c>
      <c r="T48" s="630">
        <v>241.02699661899999</v>
      </c>
      <c r="U48" s="630">
        <v>245.88199755799999</v>
      </c>
      <c r="V48" s="709">
        <v>247.82599997900002</v>
      </c>
      <c r="W48" s="277">
        <v>206.5210008025168</v>
      </c>
    </row>
    <row r="49" spans="1:23" ht="11.25" customHeight="1">
      <c r="A49" s="74"/>
      <c r="B49" s="73"/>
      <c r="C49" s="73"/>
      <c r="D49" s="73"/>
      <c r="E49" s="73"/>
      <c r="F49" s="73"/>
      <c r="G49" s="73"/>
      <c r="H49" s="73"/>
      <c r="I49" s="73"/>
      <c r="J49" s="11"/>
      <c r="K49" s="11"/>
      <c r="L49" s="11"/>
      <c r="N49" s="629">
        <v>44</v>
      </c>
      <c r="O49" s="630">
        <v>89.581001279999995</v>
      </c>
      <c r="P49" s="630">
        <v>82.51499939</v>
      </c>
      <c r="Q49" s="709">
        <v>73.136001590000006</v>
      </c>
      <c r="R49" s="276">
        <v>69.921997070000003</v>
      </c>
      <c r="S49" s="629">
        <v>44</v>
      </c>
      <c r="T49" s="630">
        <v>234.19399833099999</v>
      </c>
      <c r="U49" s="630">
        <v>239.051002463</v>
      </c>
      <c r="V49" s="709">
        <v>240.19699645200001</v>
      </c>
      <c r="W49" s="277">
        <v>205.3030003903163</v>
      </c>
    </row>
    <row r="50" spans="1:23" ht="13.2">
      <c r="A50" s="74"/>
      <c r="B50" s="73"/>
      <c r="C50" s="73"/>
      <c r="D50" s="73"/>
      <c r="E50" s="73"/>
      <c r="F50" s="73"/>
      <c r="G50" s="73"/>
      <c r="H50" s="73"/>
      <c r="I50" s="73"/>
      <c r="J50" s="11"/>
      <c r="K50" s="11"/>
      <c r="L50" s="11"/>
      <c r="N50" s="629">
        <v>45</v>
      </c>
      <c r="O50" s="630">
        <v>79.638999940000005</v>
      </c>
      <c r="P50" s="630">
        <v>72.33000183</v>
      </c>
      <c r="Q50" s="709">
        <v>72.33000183</v>
      </c>
      <c r="R50" s="276">
        <v>66.931999206542898</v>
      </c>
      <c r="S50" s="629">
        <v>45</v>
      </c>
      <c r="T50" s="630">
        <v>228.64612817499997</v>
      </c>
      <c r="U50" s="630">
        <v>232.679000852</v>
      </c>
      <c r="V50" s="709">
        <v>232.069998986</v>
      </c>
      <c r="W50" s="277">
        <v>197.31799500565413</v>
      </c>
    </row>
    <row r="51" spans="1:23" ht="13.2">
      <c r="A51" s="74"/>
      <c r="B51" s="73"/>
      <c r="C51" s="73"/>
      <c r="D51" s="73"/>
      <c r="E51" s="73"/>
      <c r="F51" s="73"/>
      <c r="G51" s="73"/>
      <c r="H51" s="73"/>
      <c r="I51" s="73"/>
      <c r="J51" s="11"/>
      <c r="K51" s="11"/>
      <c r="L51" s="11"/>
      <c r="N51" s="629">
        <v>46</v>
      </c>
      <c r="O51" s="630">
        <v>80.049003600000006</v>
      </c>
      <c r="P51" s="630">
        <v>57.318000789999999</v>
      </c>
      <c r="Q51" s="709">
        <v>66.33699799</v>
      </c>
      <c r="R51" s="276">
        <v>50.784000399999996</v>
      </c>
      <c r="S51" s="629">
        <v>46</v>
      </c>
      <c r="T51" s="630">
        <v>222.81199835999999</v>
      </c>
      <c r="U51" s="630">
        <v>225.80399990800001</v>
      </c>
      <c r="V51" s="709">
        <v>224.04500101899998</v>
      </c>
      <c r="W51" s="277">
        <v>182.13499730299998</v>
      </c>
    </row>
    <row r="52" spans="1:23" ht="13.2">
      <c r="A52" s="74"/>
      <c r="B52" s="73"/>
      <c r="C52" s="73"/>
      <c r="D52" s="73"/>
      <c r="E52" s="73"/>
      <c r="F52" s="73"/>
      <c r="G52" s="73"/>
      <c r="H52" s="73"/>
      <c r="I52" s="73"/>
      <c r="J52" s="11"/>
      <c r="K52" s="11"/>
      <c r="L52" s="11"/>
      <c r="N52" s="629">
        <v>47</v>
      </c>
      <c r="O52" s="630">
        <v>85.825996399999994</v>
      </c>
      <c r="P52" s="630">
        <v>44.738998410000001</v>
      </c>
      <c r="Q52" s="709">
        <v>59.261001589999999</v>
      </c>
      <c r="R52" s="276">
        <v>43.990001679999999</v>
      </c>
      <c r="S52" s="629">
        <v>47</v>
      </c>
      <c r="T52" s="630">
        <v>216.31200409100001</v>
      </c>
      <c r="U52" s="630">
        <v>219.24500608799997</v>
      </c>
      <c r="V52" s="709">
        <v>219.29099989100001</v>
      </c>
      <c r="W52" s="277">
        <v>175.02100271200001</v>
      </c>
    </row>
    <row r="53" spans="1:23" ht="13.2">
      <c r="A53" s="74"/>
      <c r="B53" s="73"/>
      <c r="C53" s="73"/>
      <c r="D53" s="73"/>
      <c r="E53" s="73"/>
      <c r="F53" s="73"/>
      <c r="G53" s="73"/>
      <c r="H53" s="73"/>
      <c r="I53" s="73"/>
      <c r="J53" s="11"/>
      <c r="K53" s="11"/>
      <c r="L53" s="11"/>
      <c r="N53" s="629">
        <v>48</v>
      </c>
      <c r="O53" s="630">
        <v>77.596000669999995</v>
      </c>
      <c r="P53" s="630">
        <v>34.763999939999998</v>
      </c>
      <c r="Q53" s="709">
        <v>59.261001589999999</v>
      </c>
      <c r="R53" s="276">
        <v>28.9869995117187</v>
      </c>
      <c r="S53" s="629">
        <v>48</v>
      </c>
      <c r="T53" s="630">
        <v>210.250997547</v>
      </c>
      <c r="U53" s="630">
        <v>212.09200192</v>
      </c>
      <c r="V53" s="709">
        <v>216.02500223999999</v>
      </c>
      <c r="W53" s="277">
        <v>167.88399881124482</v>
      </c>
    </row>
    <row r="54" spans="1:23" ht="13.2">
      <c r="A54" s="74"/>
      <c r="B54" s="73"/>
      <c r="C54" s="73"/>
      <c r="D54" s="73"/>
      <c r="E54" s="73"/>
      <c r="F54" s="73"/>
      <c r="G54" s="73"/>
      <c r="H54" s="73"/>
      <c r="I54" s="73"/>
      <c r="J54" s="11"/>
      <c r="K54" s="11"/>
      <c r="L54" s="11"/>
      <c r="N54" s="629">
        <v>49</v>
      </c>
      <c r="O54" s="714">
        <v>54.613998410000001</v>
      </c>
      <c r="P54" s="630">
        <v>27.915000920000001</v>
      </c>
      <c r="Q54" s="709">
        <v>47.749000549999998</v>
      </c>
      <c r="R54" s="276">
        <v>14.64000034</v>
      </c>
      <c r="S54" s="629">
        <v>49</v>
      </c>
      <c r="T54" s="630">
        <v>202.73299884100001</v>
      </c>
      <c r="U54" s="630">
        <v>206.70499944799997</v>
      </c>
      <c r="V54" s="709">
        <v>215.407995212</v>
      </c>
      <c r="W54" s="277">
        <v>163.290001034</v>
      </c>
    </row>
    <row r="55" spans="1:23" ht="13.2">
      <c r="A55" s="74"/>
      <c r="B55" s="73"/>
      <c r="C55" s="73"/>
      <c r="D55" s="73"/>
      <c r="E55" s="73"/>
      <c r="F55" s="73"/>
      <c r="G55" s="73"/>
      <c r="H55" s="73"/>
      <c r="I55" s="73"/>
      <c r="J55" s="11"/>
      <c r="K55" s="11"/>
      <c r="L55" s="11"/>
      <c r="N55" s="629">
        <v>50</v>
      </c>
      <c r="O55" s="630">
        <v>64.358001709999996</v>
      </c>
      <c r="P55" s="630">
        <v>19.81399918</v>
      </c>
      <c r="Q55" s="709">
        <v>46.993999479999999</v>
      </c>
      <c r="R55" s="276">
        <v>29.344999309999999</v>
      </c>
      <c r="S55" s="629">
        <v>50</v>
      </c>
      <c r="T55" s="630">
        <v>195.51400422099999</v>
      </c>
      <c r="U55" s="630">
        <v>200.08300209800001</v>
      </c>
      <c r="V55" s="709">
        <v>212.33400107200001</v>
      </c>
      <c r="W55" s="277">
        <v>164.16899752900002</v>
      </c>
    </row>
    <row r="56" spans="1:23" ht="13.2">
      <c r="A56" s="74"/>
      <c r="B56" s="73"/>
      <c r="C56" s="73"/>
      <c r="D56" s="73"/>
      <c r="E56" s="73"/>
      <c r="F56" s="73"/>
      <c r="G56" s="73"/>
      <c r="H56" s="73"/>
      <c r="I56" s="73"/>
      <c r="J56" s="11"/>
      <c r="K56" s="11"/>
      <c r="L56" s="11"/>
      <c r="N56" s="629">
        <v>51</v>
      </c>
      <c r="O56" s="630">
        <v>80.049003600000006</v>
      </c>
      <c r="P56" s="630">
        <v>22.256999969999999</v>
      </c>
      <c r="Q56" s="709">
        <v>35.858001710000003</v>
      </c>
      <c r="R56" s="276">
        <v>24.719999309999999</v>
      </c>
      <c r="S56" s="629">
        <v>51</v>
      </c>
      <c r="T56" s="630">
        <v>188.995997891</v>
      </c>
      <c r="U56" s="630">
        <v>200.81900405299996</v>
      </c>
      <c r="V56" s="709">
        <v>207.130002496</v>
      </c>
      <c r="W56" s="277">
        <v>159.756001709</v>
      </c>
    </row>
    <row r="57" spans="1:23" ht="13.2">
      <c r="A57" s="74"/>
      <c r="B57" s="73"/>
      <c r="C57" s="73"/>
      <c r="D57" s="73"/>
      <c r="E57" s="73"/>
      <c r="F57" s="73"/>
      <c r="G57" s="73"/>
      <c r="H57" s="73"/>
      <c r="I57" s="73"/>
      <c r="N57" s="629">
        <v>52</v>
      </c>
      <c r="O57" s="630">
        <v>108.82900239999999</v>
      </c>
      <c r="P57" s="630">
        <v>51.54700089</v>
      </c>
      <c r="Q57" s="709">
        <v>31.502000809999998</v>
      </c>
      <c r="R57" s="276"/>
      <c r="S57" s="629">
        <v>52</v>
      </c>
      <c r="T57" s="630">
        <v>184.65400219100002</v>
      </c>
      <c r="U57" s="630">
        <v>217.92999649000001</v>
      </c>
      <c r="V57" s="709">
        <v>207.130002496</v>
      </c>
    </row>
    <row r="58" spans="1:23" ht="13.2">
      <c r="A58" s="74"/>
      <c r="B58" s="73"/>
      <c r="C58" s="73"/>
      <c r="D58" s="73"/>
      <c r="E58" s="73"/>
      <c r="F58" s="73"/>
      <c r="G58" s="73"/>
      <c r="H58" s="73"/>
      <c r="I58" s="73"/>
      <c r="N58" s="629">
        <v>53</v>
      </c>
      <c r="O58" s="276"/>
      <c r="P58" s="276">
        <v>140.34500120000001</v>
      </c>
      <c r="Q58" s="276"/>
      <c r="R58" s="276"/>
      <c r="S58" s="629">
        <v>53</v>
      </c>
      <c r="T58" s="630">
        <v>183.63100289100001</v>
      </c>
      <c r="U58" s="630"/>
      <c r="V58" s="709"/>
    </row>
    <row r="59" spans="1:23" ht="13.2">
      <c r="B59" s="73"/>
      <c r="C59" s="73"/>
      <c r="D59" s="73"/>
      <c r="E59" s="73"/>
      <c r="F59" s="73"/>
      <c r="G59" s="73"/>
      <c r="H59" s="73"/>
      <c r="I59" s="73"/>
    </row>
    <row r="60" spans="1:23" ht="13.2">
      <c r="A60" s="74"/>
      <c r="B60" s="73"/>
      <c r="C60" s="73"/>
      <c r="D60" s="73"/>
      <c r="E60" s="73"/>
      <c r="F60" s="73"/>
      <c r="G60" s="73"/>
      <c r="H60" s="73"/>
      <c r="I60" s="73"/>
    </row>
    <row r="63" spans="1:23">
      <c r="A63" s="263" t="s">
        <v>537</v>
      </c>
    </row>
  </sheetData>
  <mergeCells count="2">
    <mergeCell ref="A5:I5"/>
    <mergeCell ref="B7:C7"/>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28"/>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20"/>
    <col min="12" max="12" width="3.140625" style="520" bestFit="1" customWidth="1"/>
    <col min="13" max="16" width="9.28515625" style="276"/>
    <col min="17" max="17" width="9.28515625" style="277"/>
    <col min="18" max="31" width="9.28515625" style="757"/>
    <col min="32" max="34" width="9.28515625" style="668"/>
  </cols>
  <sheetData>
    <row r="1" spans="1:15" ht="11.25" customHeight="1"/>
    <row r="2" spans="1:15" ht="11.25" customHeight="1">
      <c r="A2" s="17"/>
      <c r="B2" s="17"/>
      <c r="C2" s="17"/>
      <c r="D2" s="17"/>
      <c r="E2" s="73"/>
      <c r="F2" s="73"/>
      <c r="G2" s="73"/>
    </row>
    <row r="3" spans="1:15" ht="17.25" customHeight="1">
      <c r="A3" s="881" t="s">
        <v>373</v>
      </c>
      <c r="B3" s="881"/>
      <c r="C3" s="881"/>
      <c r="D3" s="881"/>
      <c r="E3" s="881"/>
      <c r="F3" s="881"/>
      <c r="G3" s="881"/>
      <c r="H3" s="36"/>
      <c r="I3" s="36"/>
      <c r="K3" s="520" t="s">
        <v>256</v>
      </c>
      <c r="M3" s="276" t="s">
        <v>257</v>
      </c>
      <c r="N3" s="276" t="s">
        <v>258</v>
      </c>
      <c r="O3" s="276" t="s">
        <v>259</v>
      </c>
    </row>
    <row r="4" spans="1:15" ht="11.25" customHeight="1">
      <c r="A4" s="74"/>
      <c r="B4" s="73"/>
      <c r="C4" s="73"/>
      <c r="D4" s="73"/>
      <c r="E4" s="73"/>
      <c r="F4" s="73"/>
      <c r="G4" s="73"/>
      <c r="H4" s="36"/>
      <c r="I4" s="36"/>
      <c r="J4" s="276">
        <v>2019</v>
      </c>
      <c r="K4" s="520">
        <v>1</v>
      </c>
      <c r="L4" s="520">
        <v>1</v>
      </c>
      <c r="M4" s="634">
        <v>27.79999951142857</v>
      </c>
      <c r="N4" s="634">
        <v>78.298570904285711</v>
      </c>
      <c r="O4" s="634">
        <v>21.927143370000003</v>
      </c>
    </row>
    <row r="5" spans="1:15" ht="11.25" customHeight="1">
      <c r="A5" s="74"/>
      <c r="B5" s="73"/>
      <c r="C5" s="73"/>
      <c r="D5" s="73"/>
      <c r="E5" s="73"/>
      <c r="F5" s="73"/>
      <c r="G5" s="73"/>
      <c r="H5" s="12"/>
      <c r="I5" s="12"/>
      <c r="L5" s="520">
        <v>2</v>
      </c>
      <c r="M5" s="634">
        <v>28.678571428571427</v>
      </c>
      <c r="N5" s="634">
        <v>95.081715179999989</v>
      </c>
      <c r="O5" s="634">
        <v>22.397999900000002</v>
      </c>
    </row>
    <row r="6" spans="1:15" ht="29.25" customHeight="1">
      <c r="A6" s="136"/>
      <c r="C6" s="373" t="s">
        <v>143</v>
      </c>
      <c r="D6" s="376" t="str">
        <f>UPPER('1. Resumen'!Q4)&amp;"
 "&amp;'1. Resumen'!Q5</f>
        <v>DICIEMBE
 2022</v>
      </c>
      <c r="E6" s="377" t="str">
        <f>UPPER('1. Resumen'!Q4)&amp;"
 "&amp;'1. Resumen'!Q5-1</f>
        <v>DICIEMBE
 2021</v>
      </c>
      <c r="F6" s="378" t="s">
        <v>425</v>
      </c>
      <c r="G6" s="138"/>
      <c r="H6" s="24"/>
      <c r="I6" s="12"/>
      <c r="L6" s="520">
        <v>3</v>
      </c>
      <c r="M6" s="634">
        <v>44.51</v>
      </c>
      <c r="N6" s="634">
        <v>95.65</v>
      </c>
      <c r="O6" s="634">
        <v>17.61</v>
      </c>
    </row>
    <row r="7" spans="1:15" ht="11.25" customHeight="1">
      <c r="A7" s="174"/>
      <c r="C7" s="418" t="s">
        <v>144</v>
      </c>
      <c r="D7" s="419">
        <v>13.852677437566898</v>
      </c>
      <c r="E7" s="419">
        <v>63.123644736505184</v>
      </c>
      <c r="F7" s="420">
        <f>IF(E7=0,"",(D7-E7)/E7)</f>
        <v>-0.7805469330012289</v>
      </c>
      <c r="G7" s="138"/>
      <c r="H7" s="25"/>
      <c r="I7" s="3"/>
      <c r="L7" s="520">
        <v>4</v>
      </c>
      <c r="M7" s="634">
        <v>73.323141914285699</v>
      </c>
      <c r="N7" s="634">
        <v>109.29957036285714</v>
      </c>
      <c r="O7" s="634">
        <v>17.638000354285712</v>
      </c>
    </row>
    <row r="8" spans="1:15" ht="11.25" customHeight="1">
      <c r="A8" s="174"/>
      <c r="C8" s="421" t="s">
        <v>620</v>
      </c>
      <c r="D8" s="422">
        <v>11.907032289812639</v>
      </c>
      <c r="E8" s="422">
        <v>17.736387129752828</v>
      </c>
      <c r="F8" s="423">
        <f t="shared" ref="F8:F17" si="0">IF(E8=0,"",(D8-E8)/E8)</f>
        <v>-0.3286664187748492</v>
      </c>
      <c r="G8" s="138"/>
      <c r="H8" s="23"/>
      <c r="I8" s="3"/>
      <c r="L8" s="520">
        <v>5</v>
      </c>
      <c r="M8" s="634">
        <v>103.17716724333333</v>
      </c>
      <c r="N8" s="634">
        <v>149.65083311999999</v>
      </c>
      <c r="O8" s="634">
        <v>19.218833289999999</v>
      </c>
    </row>
    <row r="9" spans="1:15" ht="11.25" customHeight="1">
      <c r="A9" s="174"/>
      <c r="C9" s="424" t="s">
        <v>150</v>
      </c>
      <c r="D9" s="425">
        <v>48.76483868014423</v>
      </c>
      <c r="E9" s="425">
        <v>102.15454839890987</v>
      </c>
      <c r="F9" s="426">
        <f t="shared" si="0"/>
        <v>-0.52263663787422099</v>
      </c>
      <c r="G9" s="138"/>
      <c r="H9" s="25"/>
      <c r="I9" s="3"/>
      <c r="L9" s="520">
        <v>6</v>
      </c>
      <c r="M9" s="634">
        <v>79.165714285714287</v>
      </c>
      <c r="N9" s="634">
        <v>136.57714285714286</v>
      </c>
      <c r="O9" s="634">
        <v>57.185714285714276</v>
      </c>
    </row>
    <row r="10" spans="1:15" ht="11.25" customHeight="1">
      <c r="A10" s="174"/>
      <c r="C10" s="421" t="s">
        <v>156</v>
      </c>
      <c r="D10" s="422">
        <v>56.598645241029772</v>
      </c>
      <c r="E10" s="422">
        <v>127.26693614836645</v>
      </c>
      <c r="F10" s="423">
        <f t="shared" si="0"/>
        <v>-0.55527612313187402</v>
      </c>
      <c r="G10" s="138"/>
      <c r="H10" s="25"/>
      <c r="I10" s="3"/>
      <c r="L10" s="520">
        <v>7</v>
      </c>
      <c r="M10" s="634">
        <v>120.02256992142858</v>
      </c>
      <c r="N10" s="634">
        <v>224.71071514285714</v>
      </c>
      <c r="O10" s="634">
        <v>118.06042697857141</v>
      </c>
    </row>
    <row r="11" spans="1:15" ht="11.25" customHeight="1">
      <c r="A11" s="174"/>
      <c r="C11" s="424" t="s">
        <v>157</v>
      </c>
      <c r="D11" s="425">
        <v>11.122322543974821</v>
      </c>
      <c r="E11" s="425">
        <v>64.856548801545088</v>
      </c>
      <c r="F11" s="426">
        <f t="shared" si="0"/>
        <v>-0.82850887459324929</v>
      </c>
      <c r="G11" s="138"/>
      <c r="H11" s="25"/>
      <c r="I11" s="3"/>
      <c r="K11" s="520">
        <v>8</v>
      </c>
      <c r="L11" s="520">
        <v>8</v>
      </c>
      <c r="M11" s="634">
        <v>97.560142514285715</v>
      </c>
      <c r="N11" s="634">
        <v>198.04342652857142</v>
      </c>
      <c r="O11" s="634">
        <v>106.29885756428571</v>
      </c>
    </row>
    <row r="12" spans="1:15" ht="11.25" customHeight="1">
      <c r="A12" s="174"/>
      <c r="C12" s="421" t="s">
        <v>158</v>
      </c>
      <c r="D12" s="422">
        <v>2.2834838821041932</v>
      </c>
      <c r="E12" s="422">
        <v>39.767355026737299</v>
      </c>
      <c r="F12" s="423">
        <f t="shared" si="0"/>
        <v>-0.94257893489348465</v>
      </c>
      <c r="G12" s="138"/>
      <c r="H12" s="25"/>
      <c r="I12" s="3"/>
      <c r="L12" s="520">
        <v>9</v>
      </c>
      <c r="M12" s="634">
        <v>97.560142514285715</v>
      </c>
      <c r="N12" s="634">
        <v>191.0112849857143</v>
      </c>
      <c r="O12" s="634">
        <v>142.12385776285717</v>
      </c>
    </row>
    <row r="13" spans="1:15" ht="11.25" customHeight="1">
      <c r="A13" s="174"/>
      <c r="C13" s="424" t="s">
        <v>149</v>
      </c>
      <c r="D13" s="425">
        <v>13.581</v>
      </c>
      <c r="E13" s="425">
        <v>42.884059139784981</v>
      </c>
      <c r="F13" s="426">
        <f t="shared" si="0"/>
        <v>-0.6833088967690456</v>
      </c>
      <c r="G13" s="138"/>
      <c r="H13" s="23"/>
      <c r="I13" s="3"/>
      <c r="L13" s="520">
        <v>10</v>
      </c>
      <c r="M13" s="634">
        <v>97.497286117142863</v>
      </c>
      <c r="N13" s="634">
        <v>215.64014109999999</v>
      </c>
      <c r="O13" s="634">
        <v>164.59685624285717</v>
      </c>
    </row>
    <row r="14" spans="1:15" ht="11.25" customHeight="1">
      <c r="A14" s="174"/>
      <c r="C14" s="421" t="s">
        <v>247</v>
      </c>
      <c r="D14" s="422">
        <v>21.21504185276644</v>
      </c>
      <c r="E14" s="422">
        <v>48.154552459716747</v>
      </c>
      <c r="F14" s="423">
        <f t="shared" si="0"/>
        <v>-0.55943850022251396</v>
      </c>
      <c r="G14" s="138"/>
      <c r="H14" s="25"/>
      <c r="I14" s="3"/>
      <c r="L14" s="520">
        <v>11</v>
      </c>
      <c r="M14" s="634">
        <v>98.21585736955906</v>
      </c>
      <c r="N14" s="634">
        <v>236.76099940708642</v>
      </c>
      <c r="O14" s="634">
        <v>121.6507121494835</v>
      </c>
    </row>
    <row r="15" spans="1:15" ht="11.25" customHeight="1">
      <c r="A15" s="174"/>
      <c r="C15" s="424" t="s">
        <v>248</v>
      </c>
      <c r="D15" s="425">
        <v>48.296806827668192</v>
      </c>
      <c r="E15" s="425">
        <v>178.01403168709001</v>
      </c>
      <c r="F15" s="426">
        <f t="shared" si="0"/>
        <v>-0.72869101177055828</v>
      </c>
      <c r="G15" s="138"/>
      <c r="H15" s="25"/>
      <c r="I15" s="3"/>
      <c r="L15" s="520">
        <v>12</v>
      </c>
      <c r="M15" s="634">
        <v>91.857713972857141</v>
      </c>
      <c r="N15" s="634">
        <v>250.8679761904763</v>
      </c>
      <c r="O15" s="634">
        <v>166.63136904761905</v>
      </c>
    </row>
    <row r="16" spans="1:15" ht="11.25" customHeight="1">
      <c r="A16" s="174"/>
      <c r="C16" s="421" t="s">
        <v>154</v>
      </c>
      <c r="D16" s="422">
        <v>16.506128926430936</v>
      </c>
      <c r="E16" s="422">
        <v>44.079322753414012</v>
      </c>
      <c r="F16" s="423">
        <f t="shared" si="0"/>
        <v>-0.62553578650088237</v>
      </c>
      <c r="G16" s="138"/>
      <c r="H16" s="25"/>
      <c r="I16" s="3"/>
      <c r="L16" s="520">
        <v>13</v>
      </c>
      <c r="M16" s="634">
        <v>100.0137132957143</v>
      </c>
      <c r="N16" s="634">
        <v>301.45971681428574</v>
      </c>
      <c r="O16" s="634">
        <v>180.07000078571429</v>
      </c>
    </row>
    <row r="17" spans="1:15" ht="11.25" customHeight="1">
      <c r="A17" s="174"/>
      <c r="C17" s="424" t="s">
        <v>625</v>
      </c>
      <c r="D17" s="425">
        <v>8.7017096704052115</v>
      </c>
      <c r="E17" s="425">
        <v>11.714483937909497</v>
      </c>
      <c r="F17" s="426">
        <f t="shared" si="0"/>
        <v>-0.25718369528465362</v>
      </c>
      <c r="G17" s="138"/>
      <c r="H17" s="25"/>
      <c r="I17" s="3"/>
      <c r="L17" s="520">
        <v>14</v>
      </c>
      <c r="M17" s="634">
        <v>84.272714885714294</v>
      </c>
      <c r="N17" s="634">
        <v>253.08542525714284</v>
      </c>
      <c r="O17" s="634">
        <v>143.43971579999999</v>
      </c>
    </row>
    <row r="18" spans="1:15" ht="11.25" customHeight="1">
      <c r="A18" s="174"/>
      <c r="C18" s="421" t="s">
        <v>624</v>
      </c>
      <c r="D18" s="422">
        <v>4.5623548261580886</v>
      </c>
      <c r="E18" s="422">
        <v>9.2059999999999995</v>
      </c>
      <c r="F18" s="423">
        <f t="shared" ref="F18" si="1">IF(E18=0,"",(D18-E18)/E18)</f>
        <v>-0.50441507428219756</v>
      </c>
      <c r="G18" s="138"/>
      <c r="H18" s="25"/>
      <c r="I18" s="3"/>
      <c r="L18" s="520">
        <v>15</v>
      </c>
      <c r="M18" s="634">
        <v>61.074856892857142</v>
      </c>
      <c r="N18" s="634">
        <v>253.08542525714284</v>
      </c>
      <c r="O18" s="634">
        <v>152.6561442857143</v>
      </c>
    </row>
    <row r="19" spans="1:15" ht="11.25" customHeight="1">
      <c r="A19" s="174"/>
      <c r="C19" s="424" t="s">
        <v>249</v>
      </c>
      <c r="D19" s="425">
        <v>13.044370866590878</v>
      </c>
      <c r="E19" s="425">
        <v>14.128978760011687</v>
      </c>
      <c r="F19" s="426">
        <f t="shared" ref="F19:F31" si="2">IF(E19=0,"",(D19-E19)/E19)</f>
        <v>-7.676477626893341E-2</v>
      </c>
      <c r="G19" s="138"/>
      <c r="H19" s="25"/>
      <c r="I19" s="3"/>
      <c r="K19" s="520">
        <v>16</v>
      </c>
      <c r="L19" s="520">
        <v>16</v>
      </c>
      <c r="M19" s="634">
        <v>47.843714031428576</v>
      </c>
      <c r="N19" s="634">
        <v>141.0458592</v>
      </c>
      <c r="O19" s="634">
        <v>83.844285145714295</v>
      </c>
    </row>
    <row r="20" spans="1:15" ht="11.25" customHeight="1">
      <c r="A20" s="174"/>
      <c r="C20" s="421" t="s">
        <v>250</v>
      </c>
      <c r="D20" s="422">
        <v>15.412000000000001</v>
      </c>
      <c r="E20" s="422">
        <v>31.171639784946198</v>
      </c>
      <c r="F20" s="423">
        <f>IF(E20=0,"",(D20-E20)/E20)</f>
        <v>-0.50557621907837658</v>
      </c>
      <c r="G20" s="138"/>
      <c r="H20" s="25"/>
      <c r="I20" s="3"/>
      <c r="L20" s="520">
        <v>17</v>
      </c>
      <c r="M20" s="634">
        <v>50.907143728571427</v>
      </c>
      <c r="N20" s="634">
        <v>123.86656951428571</v>
      </c>
      <c r="O20" s="634">
        <v>125.28814153857142</v>
      </c>
    </row>
    <row r="21" spans="1:15" ht="11.25" customHeight="1">
      <c r="A21" s="174"/>
      <c r="C21" s="424" t="s">
        <v>251</v>
      </c>
      <c r="D21" s="425">
        <v>0.77012903267337418</v>
      </c>
      <c r="E21" s="425">
        <v>1.5054193465940382</v>
      </c>
      <c r="F21" s="426">
        <f>IF(E21=0,"",(D21-E21)/E21)</f>
        <v>-0.48842889895379266</v>
      </c>
      <c r="G21" s="138"/>
      <c r="H21" s="25"/>
      <c r="I21" s="3"/>
      <c r="L21" s="520">
        <v>18</v>
      </c>
      <c r="M21" s="634">
        <v>39.120999471428568</v>
      </c>
      <c r="N21" s="634">
        <v>85.173857551428583</v>
      </c>
      <c r="O21" s="634">
        <v>66.347143447142855</v>
      </c>
    </row>
    <row r="22" spans="1:15" ht="11.25" customHeight="1">
      <c r="A22" s="174"/>
      <c r="C22" s="421" t="s">
        <v>147</v>
      </c>
      <c r="D22" s="422">
        <v>80.070516278666773</v>
      </c>
      <c r="E22" s="422">
        <v>217.17645214449948</v>
      </c>
      <c r="F22" s="423">
        <f t="shared" si="2"/>
        <v>-0.63131124259553029</v>
      </c>
      <c r="G22" s="138"/>
      <c r="H22" s="25"/>
      <c r="I22" s="3"/>
      <c r="L22" s="520">
        <v>19</v>
      </c>
      <c r="M22" s="634">
        <v>35.410856791428571</v>
      </c>
      <c r="N22" s="634">
        <v>71.224285714285699</v>
      </c>
      <c r="O22" s="634">
        <v>42.216071428571425</v>
      </c>
    </row>
    <row r="23" spans="1:15" ht="11.25" customHeight="1">
      <c r="A23" s="174"/>
      <c r="C23" s="424" t="s">
        <v>145</v>
      </c>
      <c r="D23" s="425">
        <v>0.64893549103890658</v>
      </c>
      <c r="E23" s="425">
        <v>0.12580644699834967</v>
      </c>
      <c r="F23" s="426">
        <f t="shared" si="2"/>
        <v>4.1582053743829146</v>
      </c>
      <c r="G23" s="138"/>
      <c r="H23" s="25"/>
      <c r="I23" s="3"/>
      <c r="L23" s="520">
        <v>20</v>
      </c>
      <c r="M23" s="634">
        <v>32.405142920000003</v>
      </c>
      <c r="N23" s="634">
        <v>76.857142859999996</v>
      </c>
      <c r="O23" s="634">
        <v>58.324429100000003</v>
      </c>
    </row>
    <row r="24" spans="1:15" ht="11.25" customHeight="1">
      <c r="A24" s="174"/>
      <c r="C24" s="421" t="s">
        <v>146</v>
      </c>
      <c r="D24" s="422">
        <v>5.9426449729550139</v>
      </c>
      <c r="E24" s="422">
        <v>34.887001037597628</v>
      </c>
      <c r="F24" s="423">
        <f t="shared" si="2"/>
        <v>-0.82966019445034433</v>
      </c>
      <c r="G24" s="138"/>
      <c r="H24" s="26"/>
      <c r="I24" s="3"/>
      <c r="L24" s="520">
        <v>21</v>
      </c>
      <c r="M24" s="634">
        <v>26.58385740142857</v>
      </c>
      <c r="N24" s="634">
        <v>47.97114345</v>
      </c>
      <c r="O24" s="634">
        <v>34.032571519999998</v>
      </c>
    </row>
    <row r="25" spans="1:15" ht="11.25" customHeight="1">
      <c r="A25" s="138"/>
      <c r="C25" s="424" t="s">
        <v>159</v>
      </c>
      <c r="D25" s="425">
        <v>30.510999987202247</v>
      </c>
      <c r="E25" s="425">
        <v>41.101935725058254</v>
      </c>
      <c r="F25" s="426">
        <f t="shared" si="2"/>
        <v>-0.25767486496746977</v>
      </c>
      <c r="G25" s="158"/>
      <c r="H25" s="25"/>
      <c r="I25" s="3"/>
      <c r="L25" s="520">
        <v>22</v>
      </c>
      <c r="M25" s="634">
        <v>19.653714315714286</v>
      </c>
      <c r="N25" s="634">
        <v>37.624285945285713</v>
      </c>
      <c r="O25" s="634">
        <v>40.524285998571429</v>
      </c>
    </row>
    <row r="26" spans="1:15" ht="11.25" customHeight="1">
      <c r="A26" s="175"/>
      <c r="C26" s="421" t="s">
        <v>151</v>
      </c>
      <c r="D26" s="422">
        <v>5.8064516994260899E-2</v>
      </c>
      <c r="E26" s="422">
        <v>0.21532257814561104</v>
      </c>
      <c r="F26" s="423">
        <f t="shared" si="2"/>
        <v>-0.73033707150304039</v>
      </c>
      <c r="G26" s="138"/>
      <c r="H26" s="23"/>
      <c r="I26" s="3"/>
      <c r="L26" s="520">
        <v>23</v>
      </c>
      <c r="M26" s="634">
        <v>16.50400011857143</v>
      </c>
      <c r="N26" s="634">
        <v>37.806285858571421</v>
      </c>
      <c r="O26" s="634">
        <v>25.010571342857141</v>
      </c>
    </row>
    <row r="27" spans="1:15" ht="11.25" customHeight="1">
      <c r="A27" s="138"/>
      <c r="C27" s="424" t="s">
        <v>152</v>
      </c>
      <c r="D27" s="425">
        <v>1.8384838911794827</v>
      </c>
      <c r="E27" s="425">
        <v>2.17845159961331</v>
      </c>
      <c r="F27" s="426">
        <f t="shared" si="2"/>
        <v>-0.15605933521505544</v>
      </c>
      <c r="G27" s="138"/>
      <c r="H27" s="23"/>
      <c r="I27" s="3"/>
      <c r="L27" s="520">
        <v>24</v>
      </c>
      <c r="M27" s="634">
        <v>14.890428544285713</v>
      </c>
      <c r="N27" s="634">
        <v>35.468714032857143</v>
      </c>
      <c r="O27" s="634">
        <v>18.242713997857145</v>
      </c>
    </row>
    <row r="28" spans="1:15" ht="11.25" customHeight="1">
      <c r="A28" s="138"/>
      <c r="C28" s="421" t="s">
        <v>621</v>
      </c>
      <c r="D28" s="422">
        <v>6.1645161300416841E-2</v>
      </c>
      <c r="E28" s="422">
        <v>9.0645159925183804E-3</v>
      </c>
      <c r="F28" s="423">
        <f t="shared" si="2"/>
        <v>5.8007118473062631</v>
      </c>
      <c r="G28" s="138"/>
      <c r="H28" s="23"/>
      <c r="I28" s="3"/>
      <c r="L28" s="520">
        <v>25</v>
      </c>
      <c r="M28" s="634">
        <v>15.340000017142858</v>
      </c>
      <c r="N28" s="634">
        <v>33.200142724285719</v>
      </c>
      <c r="O28" s="634">
        <v>16.013142995714286</v>
      </c>
    </row>
    <row r="29" spans="1:15" ht="11.25" customHeight="1">
      <c r="A29" s="158"/>
      <c r="C29" s="424" t="s">
        <v>153</v>
      </c>
      <c r="D29" s="425">
        <v>0</v>
      </c>
      <c r="E29" s="425">
        <v>0</v>
      </c>
      <c r="F29" s="426" t="str">
        <f t="shared" si="2"/>
        <v/>
      </c>
      <c r="G29" s="176"/>
      <c r="H29" s="23"/>
      <c r="I29" s="3"/>
      <c r="K29" s="520">
        <v>26</v>
      </c>
      <c r="L29" s="520">
        <v>26</v>
      </c>
      <c r="M29" s="634">
        <v>15.521142687142857</v>
      </c>
      <c r="N29" s="634">
        <v>28.376285825714287</v>
      </c>
      <c r="O29" s="634">
        <v>12.961571557142857</v>
      </c>
    </row>
    <row r="30" spans="1:15" ht="11.25" customHeight="1">
      <c r="A30" s="175"/>
      <c r="C30" s="421" t="s">
        <v>155</v>
      </c>
      <c r="D30" s="422">
        <v>1.2441825664211641</v>
      </c>
      <c r="E30" s="422">
        <v>1.6567990126148291</v>
      </c>
      <c r="F30" s="423">
        <f t="shared" si="2"/>
        <v>-0.249044357856332</v>
      </c>
      <c r="G30" s="138"/>
      <c r="H30" s="25"/>
      <c r="I30" s="3"/>
      <c r="L30" s="520">
        <v>27</v>
      </c>
      <c r="M30" s="634">
        <v>15.32</v>
      </c>
      <c r="N30" s="634">
        <v>28.47</v>
      </c>
      <c r="O30" s="634">
        <v>11.39</v>
      </c>
    </row>
    <row r="31" spans="1:15" ht="11.25" customHeight="1">
      <c r="A31" s="137"/>
      <c r="C31" s="801" t="s">
        <v>148</v>
      </c>
      <c r="D31" s="802">
        <v>4.2679999999999998</v>
      </c>
      <c r="E31" s="802">
        <v>10.002956989247313</v>
      </c>
      <c r="F31" s="803">
        <f t="shared" si="2"/>
        <v>-0.57332616699363093</v>
      </c>
      <c r="G31" s="137"/>
      <c r="H31" s="25"/>
      <c r="I31" s="6"/>
      <c r="L31" s="520">
        <v>28</v>
      </c>
      <c r="M31" s="634">
        <v>14.809428488571427</v>
      </c>
      <c r="N31" s="634">
        <v>28.920333226666667</v>
      </c>
      <c r="O31" s="634">
        <v>11.405166626666668</v>
      </c>
    </row>
    <row r="32" spans="1:15" ht="10.199999999999999" customHeight="1">
      <c r="A32" s="137"/>
      <c r="B32" s="137"/>
      <c r="C32" s="264" t="str">
        <f>"Cuadro N°10: Promedio de caudales en "&amp;'1. Resumen'!Q4</f>
        <v>Cuadro N°10: Promedio de caudales en diciembe</v>
      </c>
      <c r="D32" s="137"/>
      <c r="E32" s="137"/>
      <c r="F32" s="137"/>
      <c r="G32" s="137"/>
      <c r="H32" s="25"/>
      <c r="I32" s="6"/>
      <c r="L32" s="520">
        <v>29</v>
      </c>
      <c r="M32" s="634">
        <v>13.666428565978956</v>
      </c>
      <c r="N32" s="634">
        <v>24.422333717346149</v>
      </c>
      <c r="O32" s="634">
        <v>10.173999945322651</v>
      </c>
    </row>
    <row r="33" spans="1:15" ht="6" customHeight="1">
      <c r="A33" s="137"/>
      <c r="B33" s="137"/>
      <c r="C33" s="137"/>
      <c r="D33" s="137"/>
      <c r="E33" s="137"/>
      <c r="F33" s="137"/>
      <c r="G33" s="137"/>
      <c r="H33" s="25"/>
      <c r="I33" s="6"/>
      <c r="L33" s="520">
        <v>30</v>
      </c>
      <c r="M33" s="634">
        <v>13.392857142857142</v>
      </c>
      <c r="N33" s="634">
        <v>24.086666666666662</v>
      </c>
      <c r="O33" s="634">
        <v>9.1716666666666669</v>
      </c>
    </row>
    <row r="34" spans="1:15" ht="4.95" customHeight="1">
      <c r="A34" s="137"/>
      <c r="B34" s="137"/>
      <c r="C34" s="137"/>
      <c r="D34" s="137"/>
      <c r="E34" s="137"/>
      <c r="F34" s="137"/>
      <c r="G34" s="137"/>
      <c r="H34" s="25"/>
      <c r="I34" s="6"/>
      <c r="L34" s="520">
        <v>31</v>
      </c>
      <c r="M34" s="634">
        <v>13.098428589999999</v>
      </c>
      <c r="N34" s="634">
        <v>22.471285411428575</v>
      </c>
      <c r="O34" s="634">
        <v>8.5915715354285727</v>
      </c>
    </row>
    <row r="35" spans="1:15" ht="17.25" customHeight="1">
      <c r="A35" s="881" t="s">
        <v>374</v>
      </c>
      <c r="B35" s="881"/>
      <c r="C35" s="881"/>
      <c r="D35" s="881"/>
      <c r="E35" s="881"/>
      <c r="F35" s="881"/>
      <c r="G35" s="881"/>
      <c r="H35" s="25"/>
      <c r="I35" s="6"/>
      <c r="L35" s="520">
        <v>32</v>
      </c>
      <c r="M35" s="634">
        <v>12.228285654285713</v>
      </c>
      <c r="N35" s="634">
        <v>25.212714058571429</v>
      </c>
      <c r="O35" s="634">
        <v>6.6260000637142857</v>
      </c>
    </row>
    <row r="36" spans="1:15" ht="11.25" customHeight="1">
      <c r="A36" s="137"/>
      <c r="B36" s="137"/>
      <c r="C36" s="137"/>
      <c r="D36" s="137"/>
      <c r="E36" s="137"/>
      <c r="F36" s="137"/>
      <c r="G36" s="137"/>
      <c r="H36" s="25"/>
      <c r="I36" s="6"/>
      <c r="L36" s="520">
        <v>33</v>
      </c>
      <c r="M36" s="634">
        <v>12.838714327142856</v>
      </c>
      <c r="N36" s="634">
        <v>28.061000278571431</v>
      </c>
      <c r="O36" s="634">
        <v>5.9311428751428581</v>
      </c>
    </row>
    <row r="37" spans="1:15" ht="11.25" customHeight="1">
      <c r="A37" s="136"/>
      <c r="B37" s="138"/>
      <c r="C37" s="138"/>
      <c r="D37" s="138"/>
      <c r="E37" s="138"/>
      <c r="F37" s="138"/>
      <c r="G37" s="138"/>
      <c r="H37" s="26"/>
      <c r="I37" s="6"/>
      <c r="K37" s="520">
        <v>34</v>
      </c>
      <c r="L37" s="520">
        <v>34</v>
      </c>
      <c r="M37" s="634">
        <v>12.37928554</v>
      </c>
      <c r="N37" s="634">
        <v>28.455856868571431</v>
      </c>
      <c r="O37" s="634">
        <v>5.2604285648571434</v>
      </c>
    </row>
    <row r="38" spans="1:15" ht="11.25" customHeight="1">
      <c r="A38" s="74"/>
      <c r="B38" s="73"/>
      <c r="C38" s="73"/>
      <c r="D38" s="73"/>
      <c r="E38" s="73"/>
      <c r="F38" s="73"/>
      <c r="G38" s="73"/>
      <c r="H38" s="3"/>
      <c r="I38" s="6"/>
      <c r="L38" s="520">
        <v>35</v>
      </c>
      <c r="M38" s="634">
        <v>11.92371409142857</v>
      </c>
      <c r="N38" s="634">
        <v>26.646000226666668</v>
      </c>
      <c r="O38" s="634">
        <v>4.7316666444999997</v>
      </c>
    </row>
    <row r="39" spans="1:15" ht="11.25" customHeight="1">
      <c r="A39" s="74"/>
      <c r="B39" s="73"/>
      <c r="C39" s="73"/>
      <c r="D39" s="73"/>
      <c r="E39" s="73"/>
      <c r="F39" s="73"/>
      <c r="G39" s="73"/>
      <c r="H39" s="3"/>
      <c r="I39" s="10"/>
      <c r="L39" s="520">
        <v>36</v>
      </c>
      <c r="M39" s="634">
        <v>10.731857162857143</v>
      </c>
      <c r="N39" s="634">
        <v>27.720570974285714</v>
      </c>
      <c r="O39" s="634">
        <v>4.5542856622857144</v>
      </c>
    </row>
    <row r="40" spans="1:15" ht="11.25" customHeight="1">
      <c r="A40" s="74"/>
      <c r="B40" s="73"/>
      <c r="C40" s="73"/>
      <c r="D40" s="73"/>
      <c r="E40" s="73"/>
      <c r="F40" s="73"/>
      <c r="G40" s="73"/>
      <c r="H40" s="3"/>
      <c r="I40" s="10"/>
      <c r="L40" s="520">
        <v>37</v>
      </c>
      <c r="M40" s="634">
        <v>11.481428825714286</v>
      </c>
      <c r="N40" s="634">
        <v>27.967571258571429</v>
      </c>
      <c r="O40" s="634">
        <v>4.1919999124285718</v>
      </c>
    </row>
    <row r="41" spans="1:15" ht="11.25" customHeight="1">
      <c r="A41" s="74"/>
      <c r="B41" s="73"/>
      <c r="C41" s="73"/>
      <c r="D41" s="73"/>
      <c r="E41" s="73"/>
      <c r="F41" s="73"/>
      <c r="G41" s="73"/>
      <c r="H41" s="3"/>
      <c r="I41" s="7"/>
      <c r="L41" s="520">
        <v>38</v>
      </c>
      <c r="M41" s="634">
        <v>12.217142857142859</v>
      </c>
      <c r="N41" s="634">
        <v>31.354000000000003</v>
      </c>
      <c r="O41" s="634">
        <v>4.1759999999999993</v>
      </c>
    </row>
    <row r="42" spans="1:15" ht="11.25" customHeight="1">
      <c r="A42" s="74"/>
      <c r="B42" s="73"/>
      <c r="C42" s="73"/>
      <c r="D42" s="73"/>
      <c r="E42" s="73"/>
      <c r="F42" s="73"/>
      <c r="G42" s="73"/>
      <c r="H42" s="3"/>
      <c r="I42" s="7"/>
      <c r="L42" s="520">
        <v>39</v>
      </c>
      <c r="M42" s="634">
        <v>15.0261430740356</v>
      </c>
      <c r="N42" s="634">
        <v>37.146399307250938</v>
      </c>
      <c r="O42" s="634">
        <v>4.8932001113891559</v>
      </c>
    </row>
    <row r="43" spans="1:15" ht="11.25" customHeight="1">
      <c r="A43" s="74"/>
      <c r="B43" s="73"/>
      <c r="C43" s="73"/>
      <c r="D43" s="73"/>
      <c r="E43" s="73"/>
      <c r="F43" s="73"/>
      <c r="G43" s="73"/>
      <c r="H43" s="3"/>
      <c r="I43" s="7"/>
      <c r="L43" s="520">
        <v>40</v>
      </c>
      <c r="M43" s="634">
        <v>13.292000225714288</v>
      </c>
      <c r="N43" s="634">
        <v>29.934999783333328</v>
      </c>
      <c r="O43" s="634">
        <v>5.3130000431666664</v>
      </c>
    </row>
    <row r="44" spans="1:15" ht="11.25" customHeight="1">
      <c r="A44" s="74"/>
      <c r="B44" s="73"/>
      <c r="C44" s="73"/>
      <c r="D44" s="73"/>
      <c r="E44" s="73"/>
      <c r="F44" s="73"/>
      <c r="G44" s="73"/>
      <c r="H44" s="6"/>
      <c r="I44" s="10"/>
      <c r="L44" s="520">
        <v>41</v>
      </c>
      <c r="M44" s="634">
        <v>15.472143037142859</v>
      </c>
      <c r="N44" s="634">
        <v>31.668000084285715</v>
      </c>
      <c r="O44" s="634">
        <v>8.3924286701428574</v>
      </c>
    </row>
    <row r="45" spans="1:15" ht="11.25" customHeight="1">
      <c r="A45" s="74"/>
      <c r="B45" s="73"/>
      <c r="C45" s="73"/>
      <c r="D45" s="73"/>
      <c r="E45" s="73"/>
      <c r="F45" s="73"/>
      <c r="G45" s="73"/>
      <c r="H45" s="3"/>
      <c r="I45" s="10"/>
      <c r="L45" s="520">
        <v>42</v>
      </c>
      <c r="M45" s="634">
        <v>14.602857142857143</v>
      </c>
      <c r="N45" s="634">
        <v>30.061428571428571</v>
      </c>
      <c r="O45" s="634">
        <v>9.2871428571428574</v>
      </c>
    </row>
    <row r="46" spans="1:15" ht="11.25" customHeight="1">
      <c r="A46" s="74"/>
      <c r="B46" s="73"/>
      <c r="C46" s="73"/>
      <c r="D46" s="73"/>
      <c r="E46" s="73"/>
      <c r="F46" s="73"/>
      <c r="G46" s="73"/>
      <c r="H46" s="3"/>
      <c r="I46" s="10"/>
      <c r="L46" s="520">
        <v>43</v>
      </c>
      <c r="M46" s="634">
        <v>18.763999527142854</v>
      </c>
      <c r="N46" s="634">
        <v>48.129999975714291</v>
      </c>
      <c r="O46" s="634">
        <v>18.153714861428572</v>
      </c>
    </row>
    <row r="47" spans="1:15" ht="11.25" customHeight="1">
      <c r="A47" s="74"/>
      <c r="B47" s="73"/>
      <c r="C47" s="73"/>
      <c r="D47" s="73"/>
      <c r="E47" s="73"/>
      <c r="F47" s="73"/>
      <c r="G47" s="73"/>
      <c r="H47" s="11"/>
      <c r="I47" s="11"/>
      <c r="K47" s="520">
        <v>44</v>
      </c>
      <c r="L47" s="520">
        <v>44</v>
      </c>
      <c r="M47" s="634">
        <v>12.722428322857143</v>
      </c>
      <c r="N47" s="634">
        <v>37.781833011666663</v>
      </c>
      <c r="O47" s="634">
        <v>19.903499760000003</v>
      </c>
    </row>
    <row r="48" spans="1:15" ht="11.25" customHeight="1">
      <c r="A48" s="74"/>
      <c r="B48" s="73"/>
      <c r="C48" s="73"/>
      <c r="D48" s="73"/>
      <c r="E48" s="73"/>
      <c r="F48" s="73"/>
      <c r="G48" s="73"/>
      <c r="H48" s="11"/>
      <c r="I48" s="11"/>
      <c r="L48" s="520">
        <v>45</v>
      </c>
      <c r="M48" s="634">
        <v>22.372000012857146</v>
      </c>
      <c r="N48" s="634">
        <v>60.721429549999996</v>
      </c>
      <c r="O48" s="634">
        <v>69.077428547142844</v>
      </c>
    </row>
    <row r="49" spans="1:15" ht="11.25" customHeight="1">
      <c r="A49" s="74"/>
      <c r="B49" s="73"/>
      <c r="C49" s="73"/>
      <c r="D49" s="73"/>
      <c r="E49" s="73"/>
      <c r="F49" s="73"/>
      <c r="G49" s="73"/>
      <c r="H49" s="11"/>
      <c r="I49" s="11"/>
      <c r="L49" s="520">
        <v>46</v>
      </c>
      <c r="M49" s="634">
        <v>28.101571491428576</v>
      </c>
      <c r="N49" s="634">
        <v>68.569856369999997</v>
      </c>
      <c r="O49" s="634">
        <v>51.190428054285711</v>
      </c>
    </row>
    <row r="50" spans="1:15" ht="11.25" customHeight="1">
      <c r="A50" s="74"/>
      <c r="B50" s="73"/>
      <c r="C50" s="73"/>
      <c r="D50" s="73"/>
      <c r="E50" s="73"/>
      <c r="F50" s="73"/>
      <c r="G50" s="73"/>
      <c r="H50" s="11"/>
      <c r="I50" s="11"/>
      <c r="L50" s="520">
        <v>47</v>
      </c>
      <c r="M50" s="634">
        <v>22.222285951428574</v>
      </c>
      <c r="N50" s="634">
        <v>51.534999302857152</v>
      </c>
      <c r="O50" s="634">
        <v>21.676285608571426</v>
      </c>
    </row>
    <row r="51" spans="1:15" ht="11.25" customHeight="1">
      <c r="A51" s="74"/>
      <c r="B51" s="73"/>
      <c r="C51" s="73"/>
      <c r="D51" s="73"/>
      <c r="E51" s="73"/>
      <c r="F51" s="73"/>
      <c r="G51" s="73"/>
      <c r="H51" s="11"/>
      <c r="I51" s="11"/>
      <c r="L51" s="520">
        <v>48</v>
      </c>
      <c r="M51" s="634">
        <v>18.796428408571426</v>
      </c>
      <c r="N51" s="634">
        <v>45.115714484285718</v>
      </c>
      <c r="O51" s="634">
        <v>19.428714208571428</v>
      </c>
    </row>
    <row r="52" spans="1:15" ht="11.25" customHeight="1">
      <c r="A52" s="74"/>
      <c r="B52" s="73"/>
      <c r="C52" s="73"/>
      <c r="D52" s="73"/>
      <c r="E52" s="73"/>
      <c r="F52" s="73"/>
      <c r="G52" s="73"/>
      <c r="H52" s="11"/>
      <c r="I52" s="11"/>
      <c r="L52" s="520">
        <v>49</v>
      </c>
      <c r="M52" s="634">
        <v>40.459857124285712</v>
      </c>
      <c r="N52" s="634">
        <v>84.846428458571424</v>
      </c>
      <c r="O52" s="634">
        <v>67.787142617142862</v>
      </c>
    </row>
    <row r="53" spans="1:15" ht="11.25" customHeight="1">
      <c r="A53" s="74"/>
      <c r="B53" s="73"/>
      <c r="C53" s="73"/>
      <c r="D53" s="73"/>
      <c r="E53" s="73"/>
      <c r="F53" s="73"/>
      <c r="G53" s="73"/>
      <c r="H53" s="11"/>
      <c r="I53" s="11"/>
      <c r="L53" s="520">
        <v>50</v>
      </c>
      <c r="M53" s="634">
        <v>55.208571570000004</v>
      </c>
      <c r="N53" s="634">
        <v>99.139714364285723</v>
      </c>
      <c r="O53" s="634">
        <v>46.000713344285714</v>
      </c>
    </row>
    <row r="54" spans="1:15" ht="11.25" customHeight="1">
      <c r="A54" s="74"/>
      <c r="B54" s="73"/>
      <c r="C54" s="73"/>
      <c r="D54" s="73"/>
      <c r="E54" s="73"/>
      <c r="F54" s="73"/>
      <c r="G54" s="73"/>
      <c r="H54" s="11"/>
      <c r="I54" s="11"/>
      <c r="L54" s="520">
        <v>51</v>
      </c>
      <c r="M54" s="634">
        <v>84.778857641428559</v>
      </c>
      <c r="N54" s="634">
        <v>201.52657207142857</v>
      </c>
      <c r="O54" s="634">
        <v>43.586286274285712</v>
      </c>
    </row>
    <row r="55" spans="1:15" ht="13.2">
      <c r="A55" s="74"/>
      <c r="B55" s="73"/>
      <c r="C55" s="73"/>
      <c r="D55" s="73"/>
      <c r="E55" s="73"/>
      <c r="F55" s="73"/>
      <c r="G55" s="73"/>
      <c r="H55" s="11"/>
      <c r="I55" s="11"/>
      <c r="K55" s="520">
        <v>52</v>
      </c>
      <c r="L55" s="520">
        <v>52</v>
      </c>
      <c r="M55" s="634">
        <v>90.21400125571428</v>
      </c>
      <c r="N55" s="634">
        <v>224.1094316857143</v>
      </c>
      <c r="O55" s="634">
        <v>50.483570642857153</v>
      </c>
    </row>
    <row r="56" spans="1:15" ht="13.2">
      <c r="A56" s="74"/>
      <c r="B56" s="73"/>
      <c r="C56" s="73"/>
      <c r="D56" s="73"/>
      <c r="E56" s="73"/>
      <c r="F56" s="73"/>
      <c r="G56" s="73"/>
      <c r="H56" s="11"/>
      <c r="I56" s="11"/>
      <c r="L56" s="520">
        <v>53</v>
      </c>
      <c r="M56" s="634">
        <v>80.061285835714287</v>
      </c>
      <c r="N56" s="634">
        <v>205.2461395</v>
      </c>
      <c r="O56" s="634">
        <v>83.637714931428576</v>
      </c>
    </row>
    <row r="57" spans="1:15" ht="13.2">
      <c r="A57" s="74"/>
      <c r="B57" s="73"/>
      <c r="C57" s="73"/>
      <c r="D57" s="73"/>
      <c r="E57" s="73"/>
      <c r="F57" s="73"/>
      <c r="G57" s="73"/>
      <c r="H57" s="11"/>
      <c r="I57" s="11"/>
      <c r="J57" s="276">
        <v>2020</v>
      </c>
      <c r="L57" s="520">
        <v>1</v>
      </c>
      <c r="M57" s="634">
        <v>42.7519994463239</v>
      </c>
      <c r="N57" s="634">
        <v>129.33128356933543</v>
      </c>
      <c r="O57" s="634">
        <v>35.412713732038192</v>
      </c>
    </row>
    <row r="58" spans="1:15" ht="13.2">
      <c r="A58" s="74"/>
      <c r="B58" s="73"/>
      <c r="C58" s="73"/>
      <c r="D58" s="73"/>
      <c r="E58" s="73"/>
      <c r="F58" s="73"/>
      <c r="G58" s="73"/>
      <c r="H58" s="11"/>
      <c r="I58" s="11"/>
      <c r="L58" s="520">
        <v>2</v>
      </c>
      <c r="M58" s="634">
        <v>30.679571151428568</v>
      </c>
      <c r="N58" s="634">
        <v>73.393001012857141</v>
      </c>
      <c r="O58" s="634">
        <v>22.044856754285714</v>
      </c>
    </row>
    <row r="59" spans="1:15" ht="13.2">
      <c r="A59" s="74"/>
      <c r="B59" s="73"/>
      <c r="C59" s="73"/>
      <c r="D59" s="73"/>
      <c r="E59" s="73"/>
      <c r="F59" s="73"/>
      <c r="G59" s="73"/>
      <c r="H59" s="11"/>
      <c r="I59" s="11"/>
      <c r="L59" s="520">
        <v>3</v>
      </c>
      <c r="M59" s="634">
        <v>46.443999700000006</v>
      </c>
      <c r="N59" s="634">
        <v>73.092571804285726</v>
      </c>
      <c r="O59" s="634">
        <v>18.210142817142859</v>
      </c>
    </row>
    <row r="60" spans="1:15" ht="13.2">
      <c r="A60" s="74"/>
      <c r="B60" s="73"/>
      <c r="C60" s="73"/>
      <c r="D60" s="73"/>
      <c r="E60" s="73"/>
      <c r="F60" s="73"/>
      <c r="G60" s="73"/>
      <c r="H60" s="11"/>
      <c r="I60" s="11"/>
      <c r="L60" s="520">
        <v>4</v>
      </c>
      <c r="M60" s="634">
        <v>56.559571404285713</v>
      </c>
      <c r="N60" s="634">
        <v>140.69343129999999</v>
      </c>
      <c r="O60" s="634">
        <v>15.934428624285713</v>
      </c>
    </row>
    <row r="61" spans="1:15" ht="13.2">
      <c r="A61" s="264" t="s">
        <v>552</v>
      </c>
      <c r="B61" s="73"/>
      <c r="C61" s="73"/>
      <c r="D61" s="73"/>
      <c r="E61" s="73"/>
      <c r="F61" s="73"/>
      <c r="G61" s="73"/>
      <c r="H61" s="11"/>
      <c r="I61" s="11"/>
      <c r="L61" s="520">
        <v>5</v>
      </c>
      <c r="M61" s="634">
        <v>85.997285015714283</v>
      </c>
      <c r="N61" s="634">
        <v>189.96014404285714</v>
      </c>
      <c r="O61" s="634">
        <v>16.347999845714288</v>
      </c>
    </row>
    <row r="62" spans="1:15">
      <c r="L62" s="520">
        <v>6</v>
      </c>
      <c r="M62" s="634">
        <v>79.643857683454215</v>
      </c>
      <c r="N62" s="634">
        <v>184.55100359235459</v>
      </c>
      <c r="O62" s="634">
        <v>24.545571190970243</v>
      </c>
    </row>
    <row r="63" spans="1:15">
      <c r="L63" s="520">
        <v>7</v>
      </c>
      <c r="M63" s="634">
        <v>62.11542837857143</v>
      </c>
      <c r="N63" s="634">
        <v>141.4891401142857</v>
      </c>
      <c r="O63" s="634">
        <v>17.933714184285712</v>
      </c>
    </row>
    <row r="64" spans="1:15">
      <c r="K64" s="520">
        <v>8</v>
      </c>
      <c r="L64" s="520">
        <v>8</v>
      </c>
      <c r="M64" s="634">
        <v>41.134571620396166</v>
      </c>
      <c r="N64" s="634">
        <v>83.969571794782198</v>
      </c>
      <c r="O64" s="634">
        <v>15.5625712530953</v>
      </c>
    </row>
    <row r="65" spans="11:15">
      <c r="L65" s="520">
        <v>9</v>
      </c>
      <c r="M65" s="634">
        <v>70.027142117142859</v>
      </c>
      <c r="N65" s="634">
        <v>124.34114185428572</v>
      </c>
      <c r="O65" s="634">
        <v>23.340428760000002</v>
      </c>
    </row>
    <row r="66" spans="11:15">
      <c r="L66" s="520">
        <v>10</v>
      </c>
      <c r="M66" s="634">
        <v>51.713285718571434</v>
      </c>
      <c r="N66" s="634">
        <v>110.96499854142857</v>
      </c>
      <c r="O66" s="634">
        <v>51.143429344285714</v>
      </c>
    </row>
    <row r="67" spans="11:15">
      <c r="L67" s="520">
        <v>11</v>
      </c>
      <c r="M67" s="634">
        <v>64.999999455714274</v>
      </c>
      <c r="N67" s="634">
        <v>130.17914037142856</v>
      </c>
      <c r="O67" s="634">
        <v>73.820713587142862</v>
      </c>
    </row>
    <row r="68" spans="11:15">
      <c r="L68" s="520">
        <v>12</v>
      </c>
      <c r="M68" s="634">
        <v>70.530143192836164</v>
      </c>
      <c r="N68" s="634">
        <v>127.86657169886942</v>
      </c>
      <c r="O68" s="634">
        <v>34.1388571602957</v>
      </c>
    </row>
    <row r="69" spans="11:15">
      <c r="L69" s="520">
        <v>13</v>
      </c>
      <c r="M69" s="634">
        <v>73.710714612688278</v>
      </c>
      <c r="N69" s="634">
        <v>138.12900325230143</v>
      </c>
      <c r="O69" s="634">
        <v>66.457714898245612</v>
      </c>
    </row>
    <row r="70" spans="11:15">
      <c r="L70" s="520">
        <v>14</v>
      </c>
      <c r="M70" s="634">
        <v>57.796857017142862</v>
      </c>
      <c r="N70" s="634">
        <v>109.14457049285714</v>
      </c>
      <c r="O70" s="634">
        <v>82.626999985714278</v>
      </c>
    </row>
    <row r="71" spans="11:15">
      <c r="L71" s="520">
        <v>15</v>
      </c>
      <c r="M71" s="634">
        <v>44.430285317142861</v>
      </c>
      <c r="N71" s="634">
        <v>80.133571635714276</v>
      </c>
      <c r="O71" s="634">
        <v>89.91342707714287</v>
      </c>
    </row>
    <row r="72" spans="11:15">
      <c r="K72" s="520">
        <v>16</v>
      </c>
      <c r="L72" s="520">
        <v>16</v>
      </c>
      <c r="M72" s="634">
        <v>30.701856885714285</v>
      </c>
      <c r="N72" s="634">
        <v>57.13714327142857</v>
      </c>
      <c r="O72" s="634">
        <v>73.487428932857142</v>
      </c>
    </row>
    <row r="73" spans="11:15">
      <c r="L73" s="520">
        <v>17</v>
      </c>
      <c r="M73" s="634">
        <v>24.932857240949314</v>
      </c>
      <c r="N73" s="634">
        <v>55.184285845075259</v>
      </c>
      <c r="O73" s="634">
        <v>80.585714067731558</v>
      </c>
    </row>
    <row r="74" spans="11:15">
      <c r="L74" s="520">
        <v>18</v>
      </c>
      <c r="M74" s="634">
        <v>46.867285591428576</v>
      </c>
      <c r="N74" s="634">
        <v>80.201000221428572</v>
      </c>
      <c r="O74" s="634">
        <v>93.131286082857144</v>
      </c>
    </row>
    <row r="75" spans="11:15">
      <c r="L75" s="520">
        <v>19</v>
      </c>
      <c r="M75" s="634">
        <v>39.880857740000003</v>
      </c>
      <c r="N75" s="634">
        <v>73.398713792857151</v>
      </c>
      <c r="O75" s="634">
        <v>43.960427964285714</v>
      </c>
    </row>
    <row r="76" spans="11:15">
      <c r="L76" s="520">
        <v>20</v>
      </c>
      <c r="M76" s="634">
        <v>34.332998821428575</v>
      </c>
      <c r="N76" s="634">
        <v>57.629714421428567</v>
      </c>
      <c r="O76" s="634">
        <v>29.038571492857141</v>
      </c>
    </row>
    <row r="77" spans="11:15">
      <c r="L77" s="520">
        <v>21</v>
      </c>
      <c r="M77" s="634">
        <v>28.39914212908057</v>
      </c>
      <c r="N77" s="634">
        <v>47.208427974155924</v>
      </c>
      <c r="O77" s="634">
        <v>20.747856957571798</v>
      </c>
    </row>
    <row r="78" spans="11:15">
      <c r="L78" s="520">
        <v>22</v>
      </c>
      <c r="M78" s="634">
        <v>19.016142710000004</v>
      </c>
      <c r="N78" s="634">
        <v>39.635571071428572</v>
      </c>
      <c r="O78" s="634">
        <v>28.597570964285715</v>
      </c>
    </row>
    <row r="79" spans="11:15">
      <c r="L79" s="520">
        <v>23</v>
      </c>
      <c r="M79" s="634">
        <v>16.323713982857143</v>
      </c>
      <c r="N79" s="634">
        <v>49.136857168571431</v>
      </c>
      <c r="O79" s="634">
        <v>19.104714530000003</v>
      </c>
    </row>
    <row r="80" spans="11:15">
      <c r="K80" s="520">
        <v>24</v>
      </c>
      <c r="L80" s="520">
        <v>24</v>
      </c>
      <c r="M80" s="634">
        <v>14.458999906267413</v>
      </c>
      <c r="N80" s="634">
        <v>34.150428227015844</v>
      </c>
      <c r="O80" s="634">
        <v>14.211285591125442</v>
      </c>
    </row>
    <row r="81" spans="11:15">
      <c r="L81" s="520">
        <v>25</v>
      </c>
      <c r="M81" s="634">
        <v>13.476999827142858</v>
      </c>
      <c r="N81" s="634">
        <v>32.288857598571425</v>
      </c>
      <c r="O81" s="634">
        <v>11.628714288571429</v>
      </c>
    </row>
    <row r="82" spans="11:15">
      <c r="L82" s="520">
        <v>26</v>
      </c>
      <c r="M82" s="634">
        <v>14.175142699999999</v>
      </c>
      <c r="N82" s="634">
        <v>29.45585686714286</v>
      </c>
      <c r="O82" s="634">
        <v>11.67571422</v>
      </c>
    </row>
    <row r="83" spans="11:15">
      <c r="L83" s="520">
        <v>27</v>
      </c>
      <c r="M83" s="634">
        <v>12.859571456909155</v>
      </c>
      <c r="N83" s="634">
        <v>27.986428669520745</v>
      </c>
      <c r="O83" s="634">
        <v>27.48885754176543</v>
      </c>
    </row>
    <row r="84" spans="11:15">
      <c r="L84" s="520">
        <v>28</v>
      </c>
      <c r="M84" s="634">
        <v>11.472142902857144</v>
      </c>
      <c r="N84" s="634">
        <v>24.371857235714284</v>
      </c>
      <c r="O84" s="634">
        <v>32.395143782857147</v>
      </c>
    </row>
    <row r="85" spans="11:15">
      <c r="L85" s="520">
        <v>29</v>
      </c>
      <c r="M85" s="634">
        <v>11.32885715142857</v>
      </c>
      <c r="N85" s="634">
        <v>23.620857238571428</v>
      </c>
      <c r="O85" s="634">
        <v>14.974999971428572</v>
      </c>
    </row>
    <row r="86" spans="11:15">
      <c r="L86" s="520">
        <v>30</v>
      </c>
      <c r="M86" s="634">
        <v>11.152000155714285</v>
      </c>
      <c r="N86" s="634">
        <v>26.757428577142853</v>
      </c>
      <c r="O86" s="634">
        <v>14.12842846</v>
      </c>
    </row>
    <row r="87" spans="11:15">
      <c r="L87" s="520">
        <v>31</v>
      </c>
      <c r="M87" s="634">
        <v>10.852571488571428</v>
      </c>
      <c r="N87" s="634">
        <v>26.481285638571428</v>
      </c>
      <c r="O87" s="634">
        <v>10.121857098285714</v>
      </c>
    </row>
    <row r="88" spans="11:15">
      <c r="K88" s="520">
        <v>32</v>
      </c>
      <c r="L88" s="520">
        <v>32</v>
      </c>
      <c r="M88" s="634">
        <v>10.338285718645329</v>
      </c>
      <c r="N88" s="634">
        <v>25.506571633475126</v>
      </c>
      <c r="O88" s="634">
        <v>7.7241428239004906</v>
      </c>
    </row>
    <row r="89" spans="11:15">
      <c r="L89" s="520">
        <v>33</v>
      </c>
      <c r="M89" s="634">
        <v>11.413999967142857</v>
      </c>
      <c r="N89" s="634">
        <v>31.441428594285707</v>
      </c>
      <c r="O89" s="634">
        <v>8.5772858349999996</v>
      </c>
    </row>
    <row r="90" spans="11:15">
      <c r="L90" s="520">
        <v>34</v>
      </c>
      <c r="M90" s="634">
        <v>11.662143027142859</v>
      </c>
      <c r="N90" s="634">
        <v>33.365713935714282</v>
      </c>
      <c r="O90" s="634">
        <v>6.7090001108571427</v>
      </c>
    </row>
    <row r="91" spans="11:15">
      <c r="L91" s="520">
        <v>35</v>
      </c>
      <c r="M91" s="634">
        <v>11.541428702218141</v>
      </c>
      <c r="N91" s="634">
        <v>29.068999699183816</v>
      </c>
      <c r="O91" s="634">
        <v>5.7295714105878517</v>
      </c>
    </row>
    <row r="92" spans="11:15">
      <c r="L92" s="520">
        <v>36</v>
      </c>
      <c r="M92" s="634">
        <v>13.286857196262856</v>
      </c>
      <c r="N92" s="634">
        <v>26.005428859165701</v>
      </c>
      <c r="O92" s="634">
        <v>5.6865714618137853</v>
      </c>
    </row>
    <row r="93" spans="11:15">
      <c r="L93" s="520">
        <v>37</v>
      </c>
      <c r="M93" s="634">
        <v>15.49071434565947</v>
      </c>
      <c r="N93" s="634">
        <v>25.021857125418485</v>
      </c>
      <c r="O93" s="634">
        <v>5.3568570954459016</v>
      </c>
    </row>
    <row r="94" spans="11:15">
      <c r="L94" s="520">
        <v>38</v>
      </c>
      <c r="M94" s="634">
        <v>16.166143281119158</v>
      </c>
      <c r="N94" s="634">
        <v>27.854714257376486</v>
      </c>
      <c r="O94" s="634">
        <v>6.9268571308680906</v>
      </c>
    </row>
    <row r="95" spans="11:15">
      <c r="L95" s="520">
        <v>39</v>
      </c>
      <c r="M95" s="634">
        <v>16.810999734285712</v>
      </c>
      <c r="N95" s="634">
        <v>27.986571175714282</v>
      </c>
      <c r="O95" s="634">
        <v>9.9768571861428565</v>
      </c>
    </row>
    <row r="96" spans="11:15">
      <c r="K96" s="520">
        <v>40</v>
      </c>
      <c r="L96" s="520">
        <v>40</v>
      </c>
      <c r="M96" s="634">
        <v>14.579285758571428</v>
      </c>
      <c r="N96" s="634">
        <v>25.258999961428572</v>
      </c>
      <c r="O96" s="634">
        <v>7.1328571184285705</v>
      </c>
    </row>
    <row r="97" spans="10:15">
      <c r="L97" s="520">
        <v>41</v>
      </c>
      <c r="M97" s="634">
        <v>13.048857279999998</v>
      </c>
      <c r="N97" s="634">
        <v>25.185571671428566</v>
      </c>
      <c r="O97" s="634">
        <v>4.9102856772857146</v>
      </c>
    </row>
    <row r="98" spans="10:15">
      <c r="L98" s="520">
        <v>42</v>
      </c>
      <c r="M98" s="634">
        <v>14.871000289916955</v>
      </c>
      <c r="N98" s="634">
        <v>33.125999450683558</v>
      </c>
      <c r="O98" s="634">
        <v>6.3367142677306969</v>
      </c>
    </row>
    <row r="99" spans="10:15">
      <c r="L99" s="520">
        <v>43</v>
      </c>
      <c r="M99" s="634">
        <v>21.991714477142857</v>
      </c>
      <c r="N99" s="634">
        <v>41.127143314285711</v>
      </c>
      <c r="O99" s="634">
        <v>11.867142950714285</v>
      </c>
    </row>
    <row r="100" spans="10:15">
      <c r="L100" s="520">
        <v>44</v>
      </c>
      <c r="M100" s="634">
        <v>13.904857091428573</v>
      </c>
      <c r="N100" s="634">
        <v>33.038428169999996</v>
      </c>
      <c r="O100" s="634">
        <v>5.2337141718571427</v>
      </c>
    </row>
    <row r="101" spans="10:15">
      <c r="L101" s="520">
        <v>45</v>
      </c>
      <c r="M101" s="634">
        <v>13.184428621428571</v>
      </c>
      <c r="N101" s="634">
        <v>40.115713391428571</v>
      </c>
      <c r="O101" s="634">
        <v>5.0682858059999996</v>
      </c>
    </row>
    <row r="102" spans="10:15">
      <c r="L102" s="520">
        <v>46</v>
      </c>
      <c r="M102" s="634">
        <v>13.14228561857143</v>
      </c>
      <c r="N102" s="634">
        <v>43.881571090000001</v>
      </c>
      <c r="O102" s="634">
        <v>4.7745714188571426</v>
      </c>
    </row>
    <row r="103" spans="10:15">
      <c r="L103" s="520">
        <v>47</v>
      </c>
      <c r="M103" s="634">
        <v>15.124714305714289</v>
      </c>
      <c r="N103" s="634">
        <v>42.811571392857147</v>
      </c>
      <c r="O103" s="634">
        <v>5.635714394571429</v>
      </c>
    </row>
    <row r="104" spans="10:15">
      <c r="L104" s="520">
        <v>48</v>
      </c>
      <c r="M104" s="634">
        <v>27.692142758571432</v>
      </c>
      <c r="N104" s="634">
        <v>66.262570518571422</v>
      </c>
      <c r="O104" s="634">
        <v>27.02714340957143</v>
      </c>
    </row>
    <row r="105" spans="10:15">
      <c r="L105" s="520">
        <v>49</v>
      </c>
      <c r="M105" s="634">
        <v>64.694000790000004</v>
      </c>
      <c r="N105" s="634">
        <v>122.24228668571428</v>
      </c>
      <c r="O105" s="634">
        <v>80.020142697142845</v>
      </c>
    </row>
    <row r="106" spans="10:15">
      <c r="L106" s="520">
        <v>50</v>
      </c>
      <c r="M106" s="634">
        <v>43.356857299999994</v>
      </c>
      <c r="N106" s="634">
        <v>78.250285555714285</v>
      </c>
      <c r="O106" s="634">
        <v>98.373141695714281</v>
      </c>
    </row>
    <row r="107" spans="10:15">
      <c r="L107" s="520">
        <v>51</v>
      </c>
      <c r="M107" s="634">
        <v>66.695286888571431</v>
      </c>
      <c r="N107" s="634">
        <v>123.13128661428571</v>
      </c>
      <c r="O107" s="634">
        <v>141.80585590000001</v>
      </c>
    </row>
    <row r="108" spans="10:15">
      <c r="K108" s="520">
        <v>52</v>
      </c>
      <c r="L108" s="520">
        <v>52</v>
      </c>
      <c r="M108" s="634">
        <v>79.132000515714282</v>
      </c>
      <c r="N108" s="634">
        <v>151.04400198571429</v>
      </c>
      <c r="O108" s="634">
        <v>62.055856431428573</v>
      </c>
    </row>
    <row r="109" spans="10:15">
      <c r="J109" s="276">
        <v>2021</v>
      </c>
      <c r="L109" s="520">
        <v>1</v>
      </c>
      <c r="M109" s="634">
        <v>93.616000575714295</v>
      </c>
      <c r="N109" s="634">
        <v>194.93985855714286</v>
      </c>
      <c r="O109" s="634">
        <v>38.49128532428572</v>
      </c>
    </row>
    <row r="110" spans="10:15">
      <c r="L110" s="520">
        <v>2</v>
      </c>
      <c r="M110" s="634">
        <v>109.19371577142856</v>
      </c>
      <c r="N110" s="634">
        <v>191.56657192857145</v>
      </c>
      <c r="O110" s="634">
        <v>52.185428618571436</v>
      </c>
    </row>
    <row r="111" spans="10:15">
      <c r="L111" s="520">
        <v>3</v>
      </c>
      <c r="M111" s="634">
        <v>111.32100131428571</v>
      </c>
      <c r="N111" s="634">
        <v>253.28128705714289</v>
      </c>
      <c r="O111" s="634">
        <v>72.971142360000002</v>
      </c>
    </row>
    <row r="112" spans="10:15">
      <c r="L112" s="520">
        <v>4</v>
      </c>
      <c r="M112" s="634">
        <v>111.11885721428568</v>
      </c>
      <c r="N112" s="634">
        <v>244.7925720428571</v>
      </c>
      <c r="O112" s="634">
        <v>82.663999837142867</v>
      </c>
    </row>
    <row r="113" spans="11:15">
      <c r="L113" s="520">
        <v>5</v>
      </c>
      <c r="M113" s="634">
        <v>108.66071318571429</v>
      </c>
      <c r="N113" s="634">
        <v>220.6247188142857</v>
      </c>
      <c r="O113" s="634">
        <v>54.198429654285711</v>
      </c>
    </row>
    <row r="114" spans="11:15">
      <c r="L114" s="520">
        <v>6</v>
      </c>
      <c r="M114" s="634">
        <v>90.469143462857147</v>
      </c>
      <c r="N114" s="634">
        <v>163.06042698571429</v>
      </c>
      <c r="O114" s="634">
        <v>42.827428274285715</v>
      </c>
    </row>
    <row r="115" spans="11:15">
      <c r="L115" s="520">
        <v>7</v>
      </c>
      <c r="M115" s="634">
        <v>58.4</v>
      </c>
      <c r="N115" s="634">
        <v>104.39303571428574</v>
      </c>
      <c r="O115" s="634">
        <v>28.153690476190491</v>
      </c>
    </row>
    <row r="116" spans="11:15">
      <c r="L116" s="520">
        <v>8</v>
      </c>
      <c r="M116" s="634">
        <v>45.103515238095234</v>
      </c>
      <c r="N116" s="634">
        <v>61.820178571428535</v>
      </c>
      <c r="O116" s="634">
        <v>19.304999999999993</v>
      </c>
    </row>
    <row r="117" spans="11:15">
      <c r="L117" s="520">
        <v>9</v>
      </c>
      <c r="M117" s="634">
        <v>56.496856689453068</v>
      </c>
      <c r="N117" s="634">
        <v>85.507331848144418</v>
      </c>
      <c r="O117" s="634">
        <v>82.847664833068805</v>
      </c>
    </row>
    <row r="118" spans="11:15">
      <c r="L118" s="520">
        <v>10</v>
      </c>
      <c r="M118" s="634">
        <v>90.554714198571432</v>
      </c>
      <c r="N118" s="634">
        <v>173.29428537142854</v>
      </c>
      <c r="O118" s="634">
        <v>214.06428527142856</v>
      </c>
    </row>
    <row r="119" spans="11:15">
      <c r="L119" s="520">
        <v>11</v>
      </c>
      <c r="M119" s="634">
        <v>98.085857941428586</v>
      </c>
      <c r="N119" s="634">
        <v>159.83856852857141</v>
      </c>
      <c r="O119" s="634">
        <v>132.61828504285714</v>
      </c>
    </row>
    <row r="120" spans="11:15">
      <c r="L120" s="520">
        <v>12</v>
      </c>
      <c r="M120" s="634">
        <v>87.426713118571428</v>
      </c>
      <c r="N120" s="634">
        <v>160.54285757142858</v>
      </c>
      <c r="O120" s="634">
        <v>87.668715342857141</v>
      </c>
    </row>
    <row r="121" spans="11:15">
      <c r="K121" s="520">
        <v>13</v>
      </c>
      <c r="L121" s="520">
        <v>13</v>
      </c>
      <c r="M121" s="634">
        <v>85.733285082857151</v>
      </c>
      <c r="N121" s="634">
        <v>171.07471574285714</v>
      </c>
      <c r="O121" s="634">
        <v>94.954141882857144</v>
      </c>
    </row>
    <row r="122" spans="11:15">
      <c r="L122" s="520">
        <v>14</v>
      </c>
      <c r="M122" s="634">
        <v>98.095142921428561</v>
      </c>
      <c r="N122" s="634">
        <v>185.56500027142857</v>
      </c>
      <c r="O122" s="634">
        <v>151.11671445714288</v>
      </c>
    </row>
    <row r="123" spans="11:15">
      <c r="L123" s="520">
        <v>15</v>
      </c>
      <c r="M123" s="634">
        <v>83.773572649999991</v>
      </c>
      <c r="N123" s="634">
        <v>151.56014580000002</v>
      </c>
      <c r="O123" s="634">
        <v>111.99457114285714</v>
      </c>
    </row>
    <row r="124" spans="11:15">
      <c r="L124" s="520">
        <v>16</v>
      </c>
      <c r="M124" s="634">
        <v>56.958000185714283</v>
      </c>
      <c r="N124" s="634">
        <v>109.84099905714285</v>
      </c>
      <c r="O124" s="634">
        <v>90.672572548571438</v>
      </c>
    </row>
    <row r="125" spans="11:15">
      <c r="L125" s="520">
        <v>17</v>
      </c>
      <c r="M125" s="634">
        <v>48.746000017142855</v>
      </c>
      <c r="N125" s="634">
        <v>85.840285168571427</v>
      </c>
      <c r="O125" s="634">
        <v>75.281570977142863</v>
      </c>
    </row>
    <row r="126" spans="11:15">
      <c r="L126" s="520">
        <v>18</v>
      </c>
      <c r="M126" s="634">
        <v>40.494427817142864</v>
      </c>
      <c r="N126" s="634">
        <v>69.64942932142857</v>
      </c>
      <c r="O126" s="634">
        <v>93.952999661428592</v>
      </c>
    </row>
    <row r="127" spans="11:15">
      <c r="L127" s="520">
        <v>19</v>
      </c>
      <c r="M127" s="634">
        <v>35.466286249999996</v>
      </c>
      <c r="N127" s="634">
        <v>58.010286058571431</v>
      </c>
      <c r="O127" s="634">
        <v>72.684429168571427</v>
      </c>
    </row>
    <row r="128" spans="11:15">
      <c r="L128" s="520">
        <v>20</v>
      </c>
      <c r="M128" s="634">
        <v>28.18171392</v>
      </c>
      <c r="N128" s="634">
        <v>51.498000008571424</v>
      </c>
      <c r="O128" s="634">
        <v>98.886571605714281</v>
      </c>
    </row>
    <row r="129" spans="11:15">
      <c r="L129" s="520">
        <v>21</v>
      </c>
      <c r="M129" s="634">
        <v>26.549999781428571</v>
      </c>
      <c r="N129" s="634">
        <v>49.923428127142856</v>
      </c>
      <c r="O129" s="634">
        <v>58.580000197142859</v>
      </c>
    </row>
    <row r="130" spans="11:15">
      <c r="L130" s="520">
        <v>22</v>
      </c>
      <c r="M130" s="634">
        <v>21.825286048571424</v>
      </c>
      <c r="N130" s="634">
        <v>43.104427882857138</v>
      </c>
      <c r="O130" s="634">
        <v>38.582285198571427</v>
      </c>
    </row>
    <row r="131" spans="11:15">
      <c r="L131" s="520">
        <v>23</v>
      </c>
      <c r="M131" s="634">
        <v>20.536714282857144</v>
      </c>
      <c r="N131" s="634">
        <v>39.534857068571434</v>
      </c>
      <c r="O131" s="634">
        <v>58.388999669999997</v>
      </c>
    </row>
    <row r="132" spans="11:15">
      <c r="L132" s="520">
        <v>24</v>
      </c>
      <c r="M132" s="634">
        <v>18.521000181428573</v>
      </c>
      <c r="N132" s="634">
        <v>36.393142699999999</v>
      </c>
      <c r="O132" s="634">
        <v>52.608856201428573</v>
      </c>
    </row>
    <row r="133" spans="11:15">
      <c r="L133" s="520">
        <v>25</v>
      </c>
      <c r="M133" s="634">
        <v>17.337857111428569</v>
      </c>
      <c r="N133" s="634">
        <v>33.557857241428572</v>
      </c>
      <c r="O133" s="634">
        <v>30.324857167142856</v>
      </c>
    </row>
    <row r="134" spans="11:15">
      <c r="K134" s="520">
        <v>26</v>
      </c>
      <c r="L134" s="520">
        <v>26</v>
      </c>
      <c r="M134" s="634">
        <v>16.257714270000001</v>
      </c>
      <c r="N134" s="634">
        <v>29.931428365714286</v>
      </c>
      <c r="O134" s="634">
        <v>42.18199975142857</v>
      </c>
    </row>
    <row r="135" spans="11:15">
      <c r="L135" s="520">
        <v>27</v>
      </c>
      <c r="M135" s="634">
        <v>15.06657137</v>
      </c>
      <c r="N135" s="759">
        <v>26.386999947142861</v>
      </c>
      <c r="O135" s="634">
        <v>23.356142859999999</v>
      </c>
    </row>
    <row r="136" spans="11:15">
      <c r="L136" s="520">
        <v>28</v>
      </c>
      <c r="M136" s="634">
        <v>14.248142924285716</v>
      </c>
      <c r="N136" s="759">
        <v>26.172000340000004</v>
      </c>
      <c r="O136" s="634">
        <v>19.029285704285716</v>
      </c>
    </row>
    <row r="137" spans="11:15">
      <c r="L137" s="520">
        <v>29</v>
      </c>
      <c r="M137" s="634">
        <v>13.477857045714286</v>
      </c>
      <c r="N137" s="759">
        <v>25.836714065714286</v>
      </c>
      <c r="O137" s="634">
        <v>17.854285240000003</v>
      </c>
    </row>
    <row r="138" spans="11:15">
      <c r="L138" s="520">
        <v>30</v>
      </c>
      <c r="M138" s="634">
        <v>12.691000122857146</v>
      </c>
      <c r="N138" s="759">
        <v>25.251428605714288</v>
      </c>
      <c r="O138" s="634">
        <v>12.897285600000002</v>
      </c>
    </row>
    <row r="139" spans="11:15">
      <c r="L139" s="520">
        <v>31</v>
      </c>
      <c r="M139" s="634">
        <v>13.016714095714283</v>
      </c>
      <c r="N139" s="759">
        <v>27.221714565714283</v>
      </c>
      <c r="O139" s="634">
        <v>10.959428514999999</v>
      </c>
    </row>
    <row r="140" spans="11:15">
      <c r="L140" s="520">
        <v>32</v>
      </c>
      <c r="M140" s="634">
        <v>11.867571422857141</v>
      </c>
      <c r="N140" s="759">
        <v>26.08357157</v>
      </c>
      <c r="O140" s="634">
        <v>9.4098570685714282</v>
      </c>
    </row>
    <row r="141" spans="11:15">
      <c r="L141" s="520">
        <v>33</v>
      </c>
      <c r="M141" s="634">
        <v>11.566857065714288</v>
      </c>
      <c r="N141" s="759">
        <v>25.724999837142857</v>
      </c>
      <c r="O141" s="634">
        <v>11.666285786000001</v>
      </c>
    </row>
    <row r="142" spans="11:15">
      <c r="L142" s="520">
        <v>34</v>
      </c>
      <c r="M142" s="634">
        <v>13.598856790000001</v>
      </c>
      <c r="N142" s="759">
        <v>26.040285657142856</v>
      </c>
      <c r="O142" s="634">
        <v>14.739857265714283</v>
      </c>
    </row>
    <row r="143" spans="11:15">
      <c r="L143" s="520">
        <v>35</v>
      </c>
      <c r="M143" s="634">
        <v>18.389285224285715</v>
      </c>
      <c r="N143" s="634">
        <v>26.61128562</v>
      </c>
      <c r="O143" s="634">
        <v>23.257428305714285</v>
      </c>
    </row>
    <row r="144" spans="11:15">
      <c r="L144" s="520">
        <v>36</v>
      </c>
      <c r="M144" s="634">
        <v>17.729570935714285</v>
      </c>
      <c r="N144" s="634">
        <v>31.371142795714288</v>
      </c>
      <c r="O144" s="634">
        <v>24.894000052857141</v>
      </c>
    </row>
    <row r="145" spans="11:15">
      <c r="L145" s="520">
        <v>37</v>
      </c>
      <c r="M145" s="634">
        <v>17.365428380000001</v>
      </c>
      <c r="N145" s="634">
        <v>34.193142751428567</v>
      </c>
      <c r="O145" s="634">
        <v>23.149857660000002</v>
      </c>
    </row>
    <row r="146" spans="11:15">
      <c r="L146" s="520">
        <v>38</v>
      </c>
      <c r="M146" s="634">
        <v>17.876142775714285</v>
      </c>
      <c r="N146" s="634">
        <v>24.62042835714286</v>
      </c>
      <c r="O146" s="634">
        <v>13.527142932857144</v>
      </c>
    </row>
    <row r="147" spans="11:15">
      <c r="L147" s="520">
        <v>39</v>
      </c>
      <c r="M147" s="634">
        <v>17.151999882857144</v>
      </c>
      <c r="N147" s="760">
        <v>21.341285980000002</v>
      </c>
      <c r="O147" s="634">
        <v>10.351999963428572</v>
      </c>
    </row>
    <row r="148" spans="11:15">
      <c r="L148" s="520">
        <v>40</v>
      </c>
      <c r="M148" s="634">
        <v>24.65814318</v>
      </c>
      <c r="N148" s="760">
        <v>39.983428410000002</v>
      </c>
      <c r="O148" s="634">
        <v>63.700570922857146</v>
      </c>
    </row>
    <row r="149" spans="11:15">
      <c r="L149" s="520">
        <v>41</v>
      </c>
      <c r="M149" s="634">
        <v>24.683571132857143</v>
      </c>
      <c r="N149" s="760">
        <v>51.178142545714287</v>
      </c>
      <c r="O149" s="634">
        <v>63.922285895714289</v>
      </c>
    </row>
    <row r="150" spans="11:15">
      <c r="L150" s="520">
        <v>42</v>
      </c>
      <c r="M150" s="634">
        <v>30.132285525714284</v>
      </c>
      <c r="N150" s="760">
        <v>58.491857255714294</v>
      </c>
      <c r="O150" s="634">
        <v>72.515429361428573</v>
      </c>
    </row>
    <row r="151" spans="11:15">
      <c r="L151" s="520">
        <v>43</v>
      </c>
      <c r="M151" s="634">
        <v>21.635857172857147</v>
      </c>
      <c r="N151" s="760">
        <v>49.28842871714285</v>
      </c>
      <c r="O151" s="634">
        <v>61.990286690000005</v>
      </c>
    </row>
    <row r="152" spans="11:15">
      <c r="K152" s="520">
        <v>44</v>
      </c>
      <c r="L152" s="520">
        <v>44</v>
      </c>
      <c r="M152" s="634">
        <v>18.680143085714285</v>
      </c>
      <c r="N152" s="634">
        <v>50.456999099999997</v>
      </c>
      <c r="O152" s="634">
        <v>58.057570867142864</v>
      </c>
    </row>
    <row r="153" spans="11:15">
      <c r="L153" s="520">
        <v>45</v>
      </c>
      <c r="M153" s="634">
        <v>19.11199978285714</v>
      </c>
      <c r="N153" s="634">
        <v>55.461713520000004</v>
      </c>
      <c r="O153" s="634">
        <v>51.101286207142849</v>
      </c>
    </row>
    <row r="154" spans="11:15">
      <c r="L154" s="520">
        <v>46</v>
      </c>
      <c r="M154" s="634">
        <v>17.194857187142855</v>
      </c>
      <c r="N154" s="634">
        <v>52.329856329999991</v>
      </c>
      <c r="O154" s="634">
        <v>29.017713818571433</v>
      </c>
    </row>
    <row r="155" spans="11:15">
      <c r="L155" s="520">
        <v>47</v>
      </c>
      <c r="M155" s="634">
        <v>18.301142828571432</v>
      </c>
      <c r="N155" s="634">
        <v>73.723714555714295</v>
      </c>
      <c r="O155" s="634">
        <v>26.885714667142853</v>
      </c>
    </row>
    <row r="156" spans="11:15">
      <c r="L156" s="520">
        <v>48</v>
      </c>
      <c r="M156" s="634">
        <v>48.1</v>
      </c>
      <c r="N156" s="634">
        <v>112.8014285714287</v>
      </c>
      <c r="O156" s="634">
        <v>24.753715515714301</v>
      </c>
    </row>
    <row r="157" spans="11:15">
      <c r="L157" s="520">
        <v>49</v>
      </c>
      <c r="M157" s="634">
        <v>72.532000404285711</v>
      </c>
      <c r="N157" s="634">
        <v>251.49200183333332</v>
      </c>
      <c r="O157" s="634">
        <v>44.843001048333328</v>
      </c>
    </row>
    <row r="158" spans="11:15">
      <c r="L158" s="520">
        <v>50</v>
      </c>
      <c r="M158" s="634">
        <v>52.053428651428568</v>
      </c>
      <c r="N158" s="634">
        <v>142.42614309857143</v>
      </c>
      <c r="O158" s="634">
        <v>60.681712559999994</v>
      </c>
    </row>
    <row r="159" spans="11:15">
      <c r="L159" s="520">
        <v>51</v>
      </c>
      <c r="M159" s="634">
        <v>30.144714355714289</v>
      </c>
      <c r="N159" s="634">
        <v>77.181571959999999</v>
      </c>
      <c r="O159" s="634">
        <v>114.8148585642857</v>
      </c>
    </row>
    <row r="160" spans="11:15">
      <c r="K160" s="520">
        <v>52</v>
      </c>
      <c r="L160" s="520">
        <v>52</v>
      </c>
      <c r="M160" s="634">
        <v>24.471428735714284</v>
      </c>
      <c r="N160" s="634">
        <v>62.12314333285714</v>
      </c>
      <c r="O160" s="634">
        <v>50.073429108571432</v>
      </c>
    </row>
    <row r="161" spans="10:15">
      <c r="J161" s="276">
        <v>2022</v>
      </c>
      <c r="L161" s="520">
        <v>1</v>
      </c>
      <c r="M161" s="634">
        <v>27.003000530000001</v>
      </c>
      <c r="N161" s="634">
        <v>71.095855168571433</v>
      </c>
      <c r="O161" s="634">
        <v>42.987713951428574</v>
      </c>
    </row>
    <row r="162" spans="10:15">
      <c r="L162" s="520">
        <v>2</v>
      </c>
      <c r="M162" s="634">
        <v>21.311000005714284</v>
      </c>
      <c r="N162" s="634">
        <v>56.996714454285716</v>
      </c>
      <c r="O162" s="634">
        <v>27.815714701428572</v>
      </c>
    </row>
    <row r="163" spans="10:15">
      <c r="L163" s="520">
        <v>3</v>
      </c>
      <c r="M163" s="634">
        <v>18.403857367142855</v>
      </c>
      <c r="N163" s="634">
        <v>56.568285805714289</v>
      </c>
      <c r="O163" s="634">
        <v>25.573857171428568</v>
      </c>
    </row>
    <row r="164" spans="10:15">
      <c r="L164" s="520">
        <v>4</v>
      </c>
      <c r="M164" s="634">
        <v>39.156999861428574</v>
      </c>
      <c r="N164" s="634">
        <v>96.856569555714273</v>
      </c>
      <c r="O164" s="634">
        <v>46.27</v>
      </c>
    </row>
    <row r="165" spans="10:15">
      <c r="L165" s="520">
        <v>5</v>
      </c>
      <c r="M165" s="634">
        <v>43.204429082857139</v>
      </c>
      <c r="N165" s="634">
        <v>81.592857355714287</v>
      </c>
      <c r="O165" s="634">
        <v>30.758285522857143</v>
      </c>
    </row>
    <row r="166" spans="10:15">
      <c r="K166" s="520">
        <v>6</v>
      </c>
      <c r="L166" s="520">
        <v>6</v>
      </c>
      <c r="M166" s="634">
        <v>79.27385765999999</v>
      </c>
      <c r="N166" s="634">
        <v>136.49742887285714</v>
      </c>
      <c r="O166" s="634">
        <v>66.892999371428573</v>
      </c>
    </row>
    <row r="167" spans="10:15">
      <c r="L167" s="520">
        <v>7</v>
      </c>
      <c r="M167" s="634">
        <v>82.487914902714195</v>
      </c>
      <c r="N167" s="634">
        <v>140.91017132499999</v>
      </c>
      <c r="O167" s="634">
        <v>69.485213547142905</v>
      </c>
    </row>
    <row r="168" spans="10:15">
      <c r="L168" s="520">
        <v>8</v>
      </c>
      <c r="M168" s="634">
        <v>69.997998918805749</v>
      </c>
      <c r="N168" s="634">
        <v>136.49742889404237</v>
      </c>
      <c r="O168" s="634">
        <v>66.892999376569193</v>
      </c>
    </row>
    <row r="169" spans="10:15">
      <c r="L169" s="520">
        <v>9</v>
      </c>
      <c r="M169" s="634">
        <v>88.40642874285713</v>
      </c>
      <c r="N169" s="634">
        <v>201.53699821428572</v>
      </c>
      <c r="O169" s="634">
        <v>202.43557085714284</v>
      </c>
    </row>
    <row r="170" spans="10:15">
      <c r="L170" s="520">
        <v>10</v>
      </c>
      <c r="M170" s="634">
        <v>97.012568035088606</v>
      </c>
      <c r="N170" s="634">
        <v>203.423558556426</v>
      </c>
      <c r="O170" s="634">
        <v>221.61685711214301</v>
      </c>
    </row>
    <row r="171" spans="10:15">
      <c r="L171" s="520">
        <v>11</v>
      </c>
      <c r="M171" s="634">
        <v>119.25400107247444</v>
      </c>
      <c r="N171" s="634">
        <v>322.04871477399513</v>
      </c>
      <c r="O171" s="634">
        <v>75.359285627092575</v>
      </c>
    </row>
    <row r="172" spans="10:15">
      <c r="L172" s="520">
        <v>12</v>
      </c>
      <c r="M172" s="634">
        <v>87.219570704868829</v>
      </c>
      <c r="N172" s="634">
        <v>190.45399911063015</v>
      </c>
      <c r="O172" s="634">
        <v>126.76628439766976</v>
      </c>
    </row>
    <row r="173" spans="10:15">
      <c r="L173" s="520">
        <v>13</v>
      </c>
      <c r="M173" s="634">
        <v>94.784285714285701</v>
      </c>
      <c r="N173" s="634">
        <v>246.19428571428574</v>
      </c>
      <c r="O173" s="634">
        <v>182.03142857142853</v>
      </c>
    </row>
    <row r="174" spans="10:15">
      <c r="L174" s="520">
        <v>14</v>
      </c>
      <c r="M174" s="634">
        <v>107.18971470424081</v>
      </c>
      <c r="N174" s="634">
        <v>299.53485761369933</v>
      </c>
      <c r="O174" s="634">
        <v>126.58499799455872</v>
      </c>
    </row>
    <row r="175" spans="10:15">
      <c r="L175" s="520">
        <v>15</v>
      </c>
      <c r="M175" s="634">
        <v>81.303429194285712</v>
      </c>
      <c r="N175" s="634">
        <v>161.58600069999997</v>
      </c>
      <c r="O175" s="634">
        <v>108.36571609857143</v>
      </c>
    </row>
    <row r="176" spans="10:15">
      <c r="L176" s="520">
        <v>16</v>
      </c>
      <c r="M176" s="634">
        <v>57.173570905412909</v>
      </c>
      <c r="N176" s="634">
        <v>100.25114222935244</v>
      </c>
      <c r="O176" s="634">
        <v>80.749999999999957</v>
      </c>
    </row>
    <row r="177" spans="11:15">
      <c r="L177" s="520">
        <v>17</v>
      </c>
      <c r="M177" s="634">
        <v>56.173570905412902</v>
      </c>
      <c r="N177" s="634">
        <v>98.251142229351998</v>
      </c>
      <c r="O177" s="634">
        <v>74.78</v>
      </c>
    </row>
    <row r="178" spans="11:15">
      <c r="K178" s="520">
        <v>18</v>
      </c>
      <c r="L178" s="520">
        <v>18</v>
      </c>
      <c r="M178" s="634">
        <v>32.715714285714284</v>
      </c>
      <c r="N178" s="634">
        <v>58.212857142857146</v>
      </c>
      <c r="O178" s="634">
        <v>55.015714285714289</v>
      </c>
    </row>
    <row r="179" spans="11:15">
      <c r="L179" s="520">
        <v>19</v>
      </c>
      <c r="M179" s="634">
        <v>28.384857177734325</v>
      </c>
      <c r="N179" s="634">
        <v>54.184856959751606</v>
      </c>
      <c r="O179" s="634">
        <v>63.114713941301552</v>
      </c>
    </row>
    <row r="180" spans="11:15">
      <c r="L180" s="520">
        <v>20</v>
      </c>
      <c r="M180" s="634">
        <v>29.131428854806028</v>
      </c>
      <c r="N180" s="634">
        <v>62.818143027169334</v>
      </c>
      <c r="O180" s="634">
        <v>74.948570251464801</v>
      </c>
    </row>
    <row r="181" spans="11:15">
      <c r="L181" s="520">
        <v>21</v>
      </c>
      <c r="M181" s="634">
        <v>24.248714174543085</v>
      </c>
      <c r="N181" s="634">
        <v>55.007428305489626</v>
      </c>
      <c r="O181" s="634">
        <v>40.69300024850024</v>
      </c>
    </row>
    <row r="182" spans="11:15">
      <c r="L182" s="520">
        <v>22</v>
      </c>
      <c r="M182" s="634">
        <v>20.351571764285715</v>
      </c>
      <c r="N182" s="634">
        <v>46.462857382857138</v>
      </c>
      <c r="O182" s="634">
        <v>34.15499986857143</v>
      </c>
    </row>
    <row r="183" spans="11:15">
      <c r="L183" s="520">
        <v>23</v>
      </c>
      <c r="M183" s="634">
        <v>18.67642865862161</v>
      </c>
      <c r="N183" s="634">
        <v>44.122500737508098</v>
      </c>
      <c r="O183" s="634">
        <v>38.822832743326785</v>
      </c>
    </row>
    <row r="184" spans="11:15">
      <c r="L184" s="520">
        <v>24</v>
      </c>
      <c r="M184" s="634">
        <v>17.118428638571427</v>
      </c>
      <c r="N184" s="634">
        <v>40.649428780000001</v>
      </c>
      <c r="O184" s="634">
        <v>43.344285420000006</v>
      </c>
    </row>
    <row r="185" spans="11:15">
      <c r="L185" s="520">
        <v>25</v>
      </c>
      <c r="M185" s="634">
        <v>15.889428547142858</v>
      </c>
      <c r="N185" s="634">
        <v>36.63071441571428</v>
      </c>
      <c r="O185" s="634">
        <v>27.371428898571427</v>
      </c>
    </row>
    <row r="186" spans="11:15">
      <c r="K186" s="520">
        <v>26</v>
      </c>
      <c r="L186" s="520">
        <v>26</v>
      </c>
      <c r="M186" s="634">
        <v>14.38928576857143</v>
      </c>
      <c r="N186" s="634">
        <v>34.614857537142861</v>
      </c>
      <c r="O186" s="634">
        <v>25.336999892857143</v>
      </c>
    </row>
    <row r="187" spans="11:15">
      <c r="L187" s="520">
        <v>27</v>
      </c>
      <c r="M187" s="634">
        <v>12.591143065714286</v>
      </c>
      <c r="N187" s="634">
        <v>26.614571161428568</v>
      </c>
      <c r="O187" s="634">
        <v>17.011999948571425</v>
      </c>
    </row>
    <row r="188" spans="11:15">
      <c r="L188" s="520">
        <v>28</v>
      </c>
      <c r="M188" s="634">
        <v>12.568143027142856</v>
      </c>
      <c r="N188" s="634">
        <v>27.269166944999998</v>
      </c>
      <c r="O188" s="634">
        <v>15.456000011666667</v>
      </c>
    </row>
    <row r="189" spans="11:15">
      <c r="L189" s="520">
        <v>29</v>
      </c>
      <c r="M189" s="634">
        <v>12.436285836355987</v>
      </c>
      <c r="N189" s="634">
        <v>27.957999638148667</v>
      </c>
      <c r="O189" s="634">
        <v>12.983142989022358</v>
      </c>
    </row>
    <row r="190" spans="11:15">
      <c r="L190" s="520">
        <v>30</v>
      </c>
      <c r="M190" s="634">
        <v>12.081000189999999</v>
      </c>
      <c r="N190" s="634">
        <v>25.709142960000001</v>
      </c>
      <c r="O190" s="634">
        <v>13.575857162857142</v>
      </c>
    </row>
    <row r="191" spans="11:15">
      <c r="L191" s="520">
        <v>31</v>
      </c>
      <c r="M191" s="634">
        <v>11.596285820007285</v>
      </c>
      <c r="N191" s="634">
        <v>24.763571058000789</v>
      </c>
      <c r="O191" s="634">
        <v>11.669857025146444</v>
      </c>
    </row>
    <row r="192" spans="11:15">
      <c r="L192" s="520">
        <v>32</v>
      </c>
      <c r="M192" s="634">
        <v>11.720571517944299</v>
      </c>
      <c r="N192" s="634">
        <v>24.089857101440373</v>
      </c>
      <c r="O192" s="634">
        <v>19.260286058698341</v>
      </c>
    </row>
    <row r="193" spans="11:15">
      <c r="L193" s="520">
        <v>33</v>
      </c>
      <c r="M193" s="634">
        <v>12.527428762857143</v>
      </c>
      <c r="N193" s="634">
        <v>22.760285514285709</v>
      </c>
      <c r="O193" s="634">
        <v>11.767142841428575</v>
      </c>
    </row>
    <row r="194" spans="11:15">
      <c r="L194" s="520">
        <v>34</v>
      </c>
      <c r="M194" s="634">
        <v>16.307285444285718</v>
      </c>
      <c r="N194" s="634">
        <v>25.360285895714288</v>
      </c>
      <c r="O194" s="634">
        <v>9.6848572311428569</v>
      </c>
    </row>
    <row r="195" spans="11:15">
      <c r="L195" s="520">
        <v>35</v>
      </c>
      <c r="M195" s="634">
        <v>16.3159999847412</v>
      </c>
      <c r="N195" s="634">
        <v>25.920999526977486</v>
      </c>
      <c r="O195" s="634">
        <v>10.140166600545237</v>
      </c>
    </row>
    <row r="196" spans="11:15">
      <c r="L196" s="520">
        <v>36</v>
      </c>
      <c r="M196" s="634">
        <v>16.338571412285699</v>
      </c>
      <c r="N196" s="634">
        <v>27.733714512857141</v>
      </c>
      <c r="O196" s="634">
        <v>7.178428649999999</v>
      </c>
    </row>
    <row r="197" spans="11:15">
      <c r="L197" s="520">
        <v>37</v>
      </c>
      <c r="M197" s="634">
        <v>10.549342727592901</v>
      </c>
      <c r="N197" s="634">
        <v>24.191236087402601</v>
      </c>
      <c r="O197" s="634">
        <v>7.178428649999999</v>
      </c>
    </row>
    <row r="198" spans="11:15">
      <c r="K198" s="520">
        <v>38</v>
      </c>
      <c r="L198" s="520">
        <v>38</v>
      </c>
      <c r="M198" s="634">
        <v>16.446428843906887</v>
      </c>
      <c r="N198" s="634">
        <v>37.008142471313427</v>
      </c>
      <c r="O198" s="634">
        <v>21.733428410121345</v>
      </c>
    </row>
    <row r="199" spans="11:15">
      <c r="L199" s="520">
        <v>39</v>
      </c>
      <c r="M199" s="634">
        <v>16.413428580000001</v>
      </c>
      <c r="N199" s="634">
        <v>43.941286359999992</v>
      </c>
      <c r="O199" s="634">
        <v>13.527142932857144</v>
      </c>
    </row>
    <row r="200" spans="11:15">
      <c r="L200" s="520">
        <v>40</v>
      </c>
      <c r="M200" s="634">
        <v>16.787428447178375</v>
      </c>
      <c r="N200" s="634">
        <v>35.542857851300859</v>
      </c>
      <c r="O200" s="634">
        <v>14.786999974931945</v>
      </c>
    </row>
    <row r="201" spans="11:15">
      <c r="L201" s="520">
        <v>41</v>
      </c>
      <c r="M201" s="634">
        <v>15.8430898672582</v>
      </c>
      <c r="N201" s="634">
        <v>42.2230343138324</v>
      </c>
      <c r="O201" s="634">
        <v>20.704649510407599</v>
      </c>
    </row>
    <row r="202" spans="11:15">
      <c r="L202" s="520">
        <v>42</v>
      </c>
      <c r="M202" s="634">
        <v>5.7759999548571432</v>
      </c>
      <c r="N202" s="634">
        <v>38.873856951428571</v>
      </c>
      <c r="O202" s="634">
        <v>25.138142720000001</v>
      </c>
    </row>
    <row r="203" spans="11:15">
      <c r="L203" s="520">
        <v>43</v>
      </c>
      <c r="M203" s="634">
        <v>11.382285799298913</v>
      </c>
      <c r="N203" s="634">
        <v>37.477428436279276</v>
      </c>
      <c r="O203" s="634">
        <v>25.216714314051995</v>
      </c>
    </row>
    <row r="204" spans="11:15">
      <c r="L204" s="520">
        <v>44</v>
      </c>
      <c r="M204" s="634">
        <v>5.2291429382857144</v>
      </c>
      <c r="N204" s="634">
        <v>41.068570818571423</v>
      </c>
      <c r="O204" s="634">
        <v>14.095285688571428</v>
      </c>
    </row>
    <row r="205" spans="11:15">
      <c r="L205" s="520">
        <v>45</v>
      </c>
      <c r="M205" s="634">
        <v>10.919857297624844</v>
      </c>
      <c r="N205" s="634">
        <v>45.284285954066661</v>
      </c>
      <c r="O205" s="634">
        <v>11.297285897391143</v>
      </c>
    </row>
    <row r="206" spans="11:15">
      <c r="L206" s="520">
        <v>46</v>
      </c>
      <c r="M206" s="634">
        <v>11.464714461428573</v>
      </c>
      <c r="N206" s="634">
        <v>40.058000837142856</v>
      </c>
      <c r="O206" s="634">
        <v>9.971571377428571</v>
      </c>
    </row>
    <row r="207" spans="11:15">
      <c r="L207" s="520">
        <v>47</v>
      </c>
      <c r="M207" s="634">
        <v>11.333428791591084</v>
      </c>
      <c r="N207" s="634">
        <v>46.268857138497467</v>
      </c>
      <c r="O207" s="634">
        <v>9.063428674425392</v>
      </c>
    </row>
    <row r="208" spans="11:15">
      <c r="L208" s="520">
        <v>48</v>
      </c>
      <c r="M208" s="634">
        <v>11.195143154689243</v>
      </c>
      <c r="N208" s="634">
        <v>45.240856715611031</v>
      </c>
      <c r="O208" s="634">
        <v>7.7819999286106594</v>
      </c>
    </row>
    <row r="209" spans="11:15">
      <c r="L209" s="520">
        <v>49</v>
      </c>
      <c r="M209" s="634">
        <v>11.129571504285716</v>
      </c>
      <c r="N209" s="634">
        <v>43.306000301428575</v>
      </c>
      <c r="O209" s="634">
        <v>6.0248571805714279</v>
      </c>
    </row>
    <row r="210" spans="11:15">
      <c r="L210" s="520">
        <v>50</v>
      </c>
      <c r="M210" s="634">
        <v>12.79414286142857</v>
      </c>
      <c r="N210" s="634">
        <v>46.609286172857139</v>
      </c>
      <c r="O210" s="634">
        <v>10.802999973571429</v>
      </c>
    </row>
    <row r="211" spans="11:15">
      <c r="L211" s="520">
        <v>51</v>
      </c>
      <c r="M211" s="634">
        <v>21.320999690000001</v>
      </c>
      <c r="N211" s="634">
        <v>70.499713898571443</v>
      </c>
      <c r="O211" s="634">
        <v>13.546999929285715</v>
      </c>
    </row>
    <row r="212" spans="11:15">
      <c r="K212" s="520">
        <v>52</v>
      </c>
      <c r="L212" s="520">
        <v>52</v>
      </c>
      <c r="M212" s="634">
        <v>21.088856832857143</v>
      </c>
      <c r="N212" s="634">
        <v>65.301143102857139</v>
      </c>
      <c r="O212" s="634">
        <v>13.057714190571428</v>
      </c>
    </row>
    <row r="213" spans="11:15">
      <c r="M213" s="634"/>
      <c r="N213" s="634"/>
      <c r="O213" s="634"/>
    </row>
    <row r="214" spans="11:15">
      <c r="M214" s="634"/>
      <c r="N214" s="634"/>
      <c r="O214" s="634"/>
    </row>
    <row r="215" spans="11:15">
      <c r="M215" s="634"/>
      <c r="N215" s="634"/>
      <c r="O215" s="634"/>
    </row>
    <row r="216" spans="11:15">
      <c r="M216" s="634"/>
      <c r="N216" s="634"/>
      <c r="O216" s="634"/>
    </row>
    <row r="217" spans="11:15">
      <c r="M217" s="634"/>
      <c r="N217" s="634"/>
      <c r="O217" s="634"/>
    </row>
    <row r="218" spans="11:15">
      <c r="M218" s="634"/>
      <c r="N218" s="634"/>
      <c r="O218" s="634"/>
    </row>
    <row r="219" spans="11:15">
      <c r="M219" s="634"/>
      <c r="N219" s="634"/>
      <c r="O219" s="634"/>
    </row>
    <row r="220" spans="11:15">
      <c r="M220" s="634"/>
      <c r="N220" s="634"/>
      <c r="O220" s="634"/>
    </row>
    <row r="221" spans="11:15">
      <c r="M221" s="634"/>
      <c r="N221" s="634"/>
      <c r="O221" s="634"/>
    </row>
    <row r="222" spans="11:15">
      <c r="M222" s="634"/>
      <c r="N222" s="634"/>
      <c r="O222" s="634"/>
    </row>
    <row r="223" spans="11:15">
      <c r="M223" s="634"/>
      <c r="N223" s="634"/>
      <c r="O223" s="634"/>
    </row>
    <row r="224" spans="11:15">
      <c r="M224" s="634"/>
      <c r="N224" s="634"/>
      <c r="O224" s="634"/>
    </row>
    <row r="225" spans="13:15">
      <c r="M225" s="634"/>
      <c r="N225" s="634"/>
      <c r="O225" s="634"/>
    </row>
    <row r="226" spans="13:15">
      <c r="M226" s="634"/>
      <c r="N226" s="634"/>
      <c r="O226" s="634"/>
    </row>
    <row r="228" spans="13:15">
      <c r="M228" s="276" t="s">
        <v>257</v>
      </c>
      <c r="N228" s="276" t="s">
        <v>258</v>
      </c>
      <c r="O228" s="276" t="s">
        <v>259</v>
      </c>
    </row>
  </sheetData>
  <mergeCells count="2">
    <mergeCell ref="A3:G3"/>
    <mergeCell ref="A35:G35"/>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8"/>
  <sheetViews>
    <sheetView showGridLines="0" view="pageLayout" zoomScale="115" zoomScaleNormal="100" zoomScaleSheetLayoutView="100" zoomScalePageLayoutView="115" workbookViewId="0">
      <selection activeCell="K58" sqref="K58"/>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57"/>
    <col min="27" max="35" width="9.28515625" style="668"/>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256</v>
      </c>
      <c r="P3" s="584"/>
      <c r="Q3" s="277" t="s">
        <v>622</v>
      </c>
      <c r="R3" s="277" t="s">
        <v>623</v>
      </c>
      <c r="S3" s="277" t="s">
        <v>262</v>
      </c>
      <c r="T3" s="277" t="s">
        <v>263</v>
      </c>
      <c r="U3" s="277" t="s">
        <v>264</v>
      </c>
      <c r="V3" s="277" t="s">
        <v>265</v>
      </c>
      <c r="W3" s="277" t="s">
        <v>626</v>
      </c>
      <c r="X3" s="277" t="s">
        <v>627</v>
      </c>
      <c r="Y3" s="277" t="s">
        <v>628</v>
      </c>
    </row>
    <row r="4" spans="1:25" ht="11.25" customHeight="1">
      <c r="A4" s="132"/>
      <c r="B4" s="132"/>
      <c r="C4" s="132"/>
      <c r="D4" s="132"/>
      <c r="E4" s="132"/>
      <c r="F4" s="132"/>
      <c r="G4" s="138"/>
      <c r="H4" s="138"/>
      <c r="I4" s="138"/>
      <c r="J4" s="148"/>
      <c r="K4" s="148"/>
      <c r="L4" s="148"/>
      <c r="N4" s="277">
        <v>2019</v>
      </c>
      <c r="O4" s="277">
        <v>1</v>
      </c>
      <c r="P4" s="584">
        <v>1</v>
      </c>
      <c r="Q4" s="761">
        <v>8.992857251428573</v>
      </c>
      <c r="R4" s="761">
        <v>4.4642857141428571</v>
      </c>
      <c r="S4" s="761">
        <v>57.514999934285704</v>
      </c>
      <c r="T4" s="761">
        <v>79.871427261428579</v>
      </c>
      <c r="U4" s="761">
        <v>13.115714484285716</v>
      </c>
      <c r="V4" s="761">
        <v>11.571904317142856</v>
      </c>
      <c r="W4" s="761">
        <v>1.2999999520000001</v>
      </c>
      <c r="X4" s="761">
        <v>121.75642612857142</v>
      </c>
      <c r="Y4" s="761">
        <v>64.398429325714275</v>
      </c>
    </row>
    <row r="5" spans="1:25" ht="11.25" customHeight="1">
      <c r="A5" s="176"/>
      <c r="B5" s="176"/>
      <c r="C5" s="176"/>
      <c r="D5" s="176"/>
      <c r="E5" s="176"/>
      <c r="F5" s="176"/>
      <c r="G5" s="176"/>
      <c r="H5" s="176"/>
      <c r="I5" s="176"/>
      <c r="J5" s="24"/>
      <c r="K5" s="24"/>
      <c r="L5" s="131"/>
      <c r="P5" s="584">
        <v>2</v>
      </c>
      <c r="Q5" s="761">
        <v>7.4904285157142843</v>
      </c>
      <c r="R5" s="761">
        <v>3.3685714177142856</v>
      </c>
      <c r="S5" s="761">
        <v>63.363856724285711</v>
      </c>
      <c r="T5" s="761">
        <v>84.184571402857145</v>
      </c>
      <c r="U5" s="761">
        <v>16.11014284285714</v>
      </c>
      <c r="V5" s="761">
        <v>11.570298602857141</v>
      </c>
      <c r="W5" s="761">
        <v>1.2999999520000001</v>
      </c>
      <c r="X5" s="761">
        <v>180.32999965714288</v>
      </c>
      <c r="Y5" s="761">
        <v>70.997858864285703</v>
      </c>
    </row>
    <row r="6" spans="1:25" ht="11.25" customHeight="1">
      <c r="A6" s="132"/>
      <c r="B6" s="291"/>
      <c r="C6" s="292"/>
      <c r="D6" s="293"/>
      <c r="E6" s="293"/>
      <c r="F6" s="177"/>
      <c r="G6" s="178"/>
      <c r="H6" s="178"/>
      <c r="I6" s="179"/>
      <c r="J6" s="24"/>
      <c r="K6" s="24"/>
      <c r="L6" s="19"/>
      <c r="P6" s="584">
        <v>3</v>
      </c>
      <c r="Q6" s="761">
        <v>14.36</v>
      </c>
      <c r="R6" s="761">
        <v>10.74</v>
      </c>
      <c r="S6" s="761">
        <v>80.75</v>
      </c>
      <c r="T6" s="761">
        <v>149.30000000000001</v>
      </c>
      <c r="U6" s="761">
        <v>29.23</v>
      </c>
      <c r="V6" s="761">
        <v>11.28</v>
      </c>
      <c r="W6" s="761">
        <v>1.33</v>
      </c>
      <c r="X6" s="761">
        <v>167.22</v>
      </c>
      <c r="Y6" s="761">
        <v>68.83</v>
      </c>
    </row>
    <row r="7" spans="1:25" ht="11.25" customHeight="1">
      <c r="A7" s="132"/>
      <c r="B7" s="180"/>
      <c r="C7" s="180"/>
      <c r="D7" s="181"/>
      <c r="E7" s="181"/>
      <c r="F7" s="177"/>
      <c r="G7" s="178"/>
      <c r="H7" s="178"/>
      <c r="I7" s="179"/>
      <c r="J7" s="25"/>
      <c r="K7" s="25"/>
      <c r="L7" s="22"/>
      <c r="P7" s="584">
        <v>4</v>
      </c>
      <c r="Q7" s="761">
        <v>17.131428719999999</v>
      </c>
      <c r="R7" s="761">
        <v>11.155714580142858</v>
      </c>
      <c r="S7" s="761">
        <v>85.689570837142853</v>
      </c>
      <c r="T7" s="761">
        <v>168.80999974285714</v>
      </c>
      <c r="U7" s="761">
        <v>36.200000218571425</v>
      </c>
      <c r="V7" s="761">
        <v>11.843988554285716</v>
      </c>
      <c r="W7" s="761">
        <v>3.0287143159999999</v>
      </c>
      <c r="X7" s="761">
        <v>185.51500375714286</v>
      </c>
      <c r="Y7" s="761">
        <v>70.089428494285713</v>
      </c>
    </row>
    <row r="8" spans="1:25" ht="11.25" customHeight="1">
      <c r="A8" s="132"/>
      <c r="B8" s="182"/>
      <c r="C8" s="132"/>
      <c r="D8" s="156"/>
      <c r="E8" s="156"/>
      <c r="F8" s="177"/>
      <c r="G8" s="178"/>
      <c r="H8" s="178"/>
      <c r="I8" s="179"/>
      <c r="J8" s="23"/>
      <c r="K8" s="23"/>
      <c r="L8" s="24"/>
      <c r="P8" s="584">
        <v>5</v>
      </c>
      <c r="Q8" s="761">
        <v>30.592286245714288</v>
      </c>
      <c r="R8" s="761">
        <v>16.463000024285716</v>
      </c>
      <c r="S8" s="761">
        <v>416.48700821428571</v>
      </c>
      <c r="T8" s="761">
        <v>195.24999782857142</v>
      </c>
      <c r="U8" s="761">
        <v>36.703999928571427</v>
      </c>
      <c r="V8" s="761">
        <v>12.496724401428571</v>
      </c>
      <c r="W8" s="761">
        <v>6.6928571292857146</v>
      </c>
      <c r="X8" s="761">
        <v>199.03571430000002</v>
      </c>
      <c r="Y8" s="761">
        <v>74.655428748571438</v>
      </c>
    </row>
    <row r="9" spans="1:25" ht="11.25" customHeight="1">
      <c r="A9" s="132"/>
      <c r="B9" s="182"/>
      <c r="C9" s="132"/>
      <c r="D9" s="156"/>
      <c r="E9" s="156"/>
      <c r="F9" s="177"/>
      <c r="G9" s="178"/>
      <c r="H9" s="178"/>
      <c r="I9" s="179"/>
      <c r="J9" s="25"/>
      <c r="K9" s="26"/>
      <c r="L9" s="22"/>
      <c r="P9" s="584">
        <v>6</v>
      </c>
      <c r="Q9" s="761">
        <v>20.372857142857146</v>
      </c>
      <c r="R9" s="761">
        <v>17.05857142857143</v>
      </c>
      <c r="S9" s="761">
        <v>426.67142857142863</v>
      </c>
      <c r="T9" s="761">
        <v>265.28000000000003</v>
      </c>
      <c r="U9" s="761">
        <v>51.29</v>
      </c>
      <c r="V9" s="761">
        <v>12.744285714285715</v>
      </c>
      <c r="W9" s="761">
        <v>14.464285714285714</v>
      </c>
      <c r="X9" s="761">
        <v>338.89857142857142</v>
      </c>
      <c r="Y9" s="761">
        <v>117.82857142857142</v>
      </c>
    </row>
    <row r="10" spans="1:25" ht="11.25" customHeight="1">
      <c r="A10" s="132"/>
      <c r="B10" s="182"/>
      <c r="C10" s="132"/>
      <c r="D10" s="156"/>
      <c r="E10" s="156"/>
      <c r="F10" s="177"/>
      <c r="G10" s="178"/>
      <c r="H10" s="178"/>
      <c r="I10" s="179"/>
      <c r="J10" s="25"/>
      <c r="K10" s="25"/>
      <c r="L10" s="22"/>
      <c r="P10" s="584">
        <v>7</v>
      </c>
      <c r="Q10" s="761">
        <v>28.837571554285717</v>
      </c>
      <c r="R10" s="761">
        <v>18.065285818571429</v>
      </c>
      <c r="S10" s="761">
        <v>581.62514822857145</v>
      </c>
      <c r="T10" s="761">
        <v>230.7322888857143</v>
      </c>
      <c r="U10" s="761">
        <v>46.224000658571427</v>
      </c>
      <c r="V10" s="761">
        <v>23.841369902857146</v>
      </c>
      <c r="W10" s="761">
        <v>21.059571402857141</v>
      </c>
      <c r="X10" s="761">
        <v>288.0957205571429</v>
      </c>
      <c r="Y10" s="761">
        <v>118.07871352857144</v>
      </c>
    </row>
    <row r="11" spans="1:25" ht="11.25" customHeight="1">
      <c r="A11" s="132"/>
      <c r="B11" s="156"/>
      <c r="C11" s="132"/>
      <c r="D11" s="156"/>
      <c r="E11" s="156"/>
      <c r="F11" s="177"/>
      <c r="G11" s="178"/>
      <c r="H11" s="178"/>
      <c r="I11" s="179"/>
      <c r="J11" s="25"/>
      <c r="K11" s="25"/>
      <c r="L11" s="22"/>
      <c r="O11" s="277">
        <v>8</v>
      </c>
      <c r="P11" s="584">
        <v>8</v>
      </c>
      <c r="Q11" s="761">
        <v>20.077857700000003</v>
      </c>
      <c r="R11" s="761">
        <v>14.531571660571432</v>
      </c>
      <c r="S11" s="761">
        <v>439.74099729999995</v>
      </c>
      <c r="T11" s="761">
        <v>219.37485614285717</v>
      </c>
      <c r="U11" s="761">
        <v>42.94585745571429</v>
      </c>
      <c r="V11" s="761">
        <v>23.894881112857146</v>
      </c>
      <c r="W11" s="761">
        <v>6.8928571428571432</v>
      </c>
      <c r="X11" s="761">
        <v>411.75142995714288</v>
      </c>
      <c r="Y11" s="761">
        <v>98.32</v>
      </c>
    </row>
    <row r="12" spans="1:25" ht="11.25" customHeight="1">
      <c r="A12" s="132"/>
      <c r="B12" s="156"/>
      <c r="C12" s="132"/>
      <c r="D12" s="156"/>
      <c r="E12" s="156"/>
      <c r="F12" s="177"/>
      <c r="G12" s="178"/>
      <c r="H12" s="178"/>
      <c r="I12" s="179"/>
      <c r="J12" s="25"/>
      <c r="K12" s="25"/>
      <c r="L12" s="22"/>
      <c r="P12" s="584">
        <v>9</v>
      </c>
      <c r="Q12" s="761">
        <v>26.317999977142858</v>
      </c>
      <c r="R12" s="761">
        <v>19.520428521428574</v>
      </c>
      <c r="S12" s="761">
        <v>316.26999772857147</v>
      </c>
      <c r="T12" s="761">
        <v>191.17842539999998</v>
      </c>
      <c r="U12" s="761">
        <v>34.696428571428569</v>
      </c>
      <c r="V12" s="761">
        <v>22.406962801428573</v>
      </c>
      <c r="W12" s="761">
        <v>3.3807143142857146</v>
      </c>
      <c r="X12" s="761">
        <v>249.46285358571427</v>
      </c>
      <c r="Y12" s="761">
        <v>120.90099988571428</v>
      </c>
    </row>
    <row r="13" spans="1:25" ht="11.25" customHeight="1">
      <c r="A13" s="132"/>
      <c r="B13" s="156"/>
      <c r="C13" s="132"/>
      <c r="D13" s="156"/>
      <c r="E13" s="156"/>
      <c r="F13" s="177"/>
      <c r="G13" s="178"/>
      <c r="H13" s="178"/>
      <c r="I13" s="179"/>
      <c r="J13" s="23"/>
      <c r="K13" s="23"/>
      <c r="L13" s="24"/>
      <c r="P13" s="584">
        <v>10</v>
      </c>
      <c r="Q13" s="761">
        <v>27.959571565714288</v>
      </c>
      <c r="R13" s="761">
        <v>20.831714628571426</v>
      </c>
      <c r="S13" s="761">
        <v>326.63642664285715</v>
      </c>
      <c r="T13" s="761">
        <v>184.08928571428572</v>
      </c>
      <c r="U13" s="761">
        <v>38.680999754285715</v>
      </c>
      <c r="V13" s="761">
        <v>23.828572680000001</v>
      </c>
      <c r="W13" s="761">
        <v>2.3840000118571427</v>
      </c>
      <c r="X13" s="761">
        <v>225.10000174285716</v>
      </c>
      <c r="Y13" s="761">
        <v>78.177285328571429</v>
      </c>
    </row>
    <row r="14" spans="1:25" ht="11.25" customHeight="1">
      <c r="A14" s="132"/>
      <c r="B14" s="156"/>
      <c r="C14" s="132"/>
      <c r="D14" s="156"/>
      <c r="E14" s="156"/>
      <c r="F14" s="177"/>
      <c r="G14" s="178"/>
      <c r="H14" s="178"/>
      <c r="I14" s="179"/>
      <c r="J14" s="25"/>
      <c r="K14" s="26"/>
      <c r="L14" s="22"/>
      <c r="P14" s="584">
        <v>11</v>
      </c>
      <c r="Q14" s="761">
        <v>27.959571565714288</v>
      </c>
      <c r="R14" s="761">
        <v>22.247142927987216</v>
      </c>
      <c r="S14" s="761">
        <v>416.08099801199745</v>
      </c>
      <c r="T14" s="761">
        <v>226.88085501534573</v>
      </c>
      <c r="U14" s="761">
        <v>42.633285522460888</v>
      </c>
      <c r="V14" s="761">
        <v>23.809881482805473</v>
      </c>
      <c r="W14" s="761">
        <v>1.9291428668158341</v>
      </c>
      <c r="X14" s="761">
        <v>217.45642525809117</v>
      </c>
      <c r="Y14" s="761">
        <v>44.638999938964801</v>
      </c>
    </row>
    <row r="15" spans="1:25" ht="11.25" customHeight="1">
      <c r="A15" s="132"/>
      <c r="B15" s="156"/>
      <c r="C15" s="132"/>
      <c r="D15" s="156"/>
      <c r="E15" s="156"/>
      <c r="F15" s="177"/>
      <c r="G15" s="178"/>
      <c r="H15" s="178"/>
      <c r="I15" s="179"/>
      <c r="J15" s="25"/>
      <c r="K15" s="26"/>
      <c r="L15" s="22"/>
      <c r="P15" s="584">
        <v>12</v>
      </c>
      <c r="Q15" s="761">
        <v>28.476714270455457</v>
      </c>
      <c r="R15" s="761">
        <v>21.707857131428572</v>
      </c>
      <c r="S15" s="761">
        <v>394.13957431428571</v>
      </c>
      <c r="T15" s="761">
        <v>203.44642857142858</v>
      </c>
      <c r="U15" s="761">
        <v>43.529285431428569</v>
      </c>
      <c r="V15" s="761">
        <v>19.572964258571432</v>
      </c>
      <c r="W15" s="761">
        <v>1.7968571012857144</v>
      </c>
      <c r="X15" s="761">
        <v>327.82142857142861</v>
      </c>
      <c r="Y15" s="761">
        <v>98.4</v>
      </c>
    </row>
    <row r="16" spans="1:25" ht="11.25" customHeight="1">
      <c r="A16" s="132"/>
      <c r="B16" s="156"/>
      <c r="C16" s="132"/>
      <c r="D16" s="156"/>
      <c r="E16" s="156"/>
      <c r="F16" s="177"/>
      <c r="G16" s="178"/>
      <c r="H16" s="178"/>
      <c r="I16" s="179"/>
      <c r="J16" s="25"/>
      <c r="K16" s="26"/>
      <c r="L16" s="22"/>
      <c r="P16" s="584">
        <v>13</v>
      </c>
      <c r="Q16" s="761">
        <v>24.844714028571435</v>
      </c>
      <c r="R16" s="761">
        <v>20.569142751428576</v>
      </c>
      <c r="S16" s="761">
        <v>522.42285592857138</v>
      </c>
      <c r="T16" s="761">
        <v>225.26185825714285</v>
      </c>
      <c r="U16" s="761">
        <v>57.974427901428569</v>
      </c>
      <c r="V16" s="761">
        <v>12.582738467142859</v>
      </c>
      <c r="W16" s="761">
        <v>1.6904285634285714</v>
      </c>
      <c r="X16" s="761">
        <v>339.04356602857143</v>
      </c>
      <c r="Y16" s="761">
        <v>92.103571201428579</v>
      </c>
    </row>
    <row r="17" spans="1:25" ht="11.25" customHeight="1">
      <c r="A17" s="132"/>
      <c r="B17" s="156"/>
      <c r="C17" s="132"/>
      <c r="D17" s="156"/>
      <c r="E17" s="156"/>
      <c r="F17" s="177"/>
      <c r="G17" s="178"/>
      <c r="H17" s="178"/>
      <c r="I17" s="179"/>
      <c r="J17" s="25"/>
      <c r="K17" s="26"/>
      <c r="L17" s="22"/>
      <c r="P17" s="584">
        <v>14</v>
      </c>
      <c r="Q17" s="761">
        <v>29.483285902857141</v>
      </c>
      <c r="R17" s="761">
        <v>18.767857142857142</v>
      </c>
      <c r="S17" s="761">
        <v>316.33943394285717</v>
      </c>
      <c r="T17" s="761">
        <v>152.47643277142856</v>
      </c>
      <c r="U17" s="761">
        <v>55.119428907142868</v>
      </c>
      <c r="V17" s="761">
        <v>21.303751674285714</v>
      </c>
      <c r="W17" s="761">
        <v>1.6808571647142858</v>
      </c>
      <c r="X17" s="761">
        <v>250.08571298571431</v>
      </c>
      <c r="Y17" s="761">
        <v>65.665856497142855</v>
      </c>
    </row>
    <row r="18" spans="1:25" ht="11.25" customHeight="1">
      <c r="A18" s="882" t="s">
        <v>539</v>
      </c>
      <c r="B18" s="882"/>
      <c r="C18" s="882"/>
      <c r="D18" s="882"/>
      <c r="E18" s="882"/>
      <c r="F18" s="882"/>
      <c r="G18" s="882"/>
      <c r="H18" s="882"/>
      <c r="I18" s="882"/>
      <c r="J18" s="882"/>
      <c r="K18" s="882"/>
      <c r="L18" s="882"/>
      <c r="P18" s="584">
        <v>15</v>
      </c>
      <c r="Q18" s="761">
        <v>20.040428705714284</v>
      </c>
      <c r="R18" s="761">
        <v>14.275999887714287</v>
      </c>
      <c r="S18" s="761">
        <v>168.45457024285716</v>
      </c>
      <c r="T18" s="761">
        <v>98.160714291428576</v>
      </c>
      <c r="U18" s="761">
        <v>27.713714872857139</v>
      </c>
      <c r="V18" s="761">
        <v>17.810774395714287</v>
      </c>
      <c r="W18" s="761">
        <v>1.7205714498571432</v>
      </c>
      <c r="X18" s="761">
        <v>148.48785617142858</v>
      </c>
      <c r="Y18" s="761">
        <v>49.633285522857136</v>
      </c>
    </row>
    <row r="19" spans="1:25" ht="11.25" customHeight="1">
      <c r="A19" s="25"/>
      <c r="B19" s="156"/>
      <c r="C19" s="132"/>
      <c r="D19" s="156"/>
      <c r="E19" s="156"/>
      <c r="F19" s="177"/>
      <c r="G19" s="178"/>
      <c r="H19" s="178"/>
      <c r="I19" s="179"/>
      <c r="J19" s="25"/>
      <c r="K19" s="26"/>
      <c r="L19" s="22"/>
      <c r="O19" s="277">
        <v>16</v>
      </c>
      <c r="P19" s="584">
        <v>16</v>
      </c>
      <c r="Q19" s="761">
        <v>16.072142737142858</v>
      </c>
      <c r="R19" s="761">
        <v>10.180143014285713</v>
      </c>
      <c r="S19" s="761">
        <v>131.80142647142856</v>
      </c>
      <c r="T19" s="761">
        <v>98.279714314285712</v>
      </c>
      <c r="U19" s="761">
        <v>22.869143077142859</v>
      </c>
      <c r="V19" s="761">
        <v>12.210951395714286</v>
      </c>
      <c r="W19" s="761">
        <v>1.789857131857143</v>
      </c>
      <c r="X19" s="761">
        <v>105.47928511571429</v>
      </c>
      <c r="Y19" s="761">
        <v>31.291000095714285</v>
      </c>
    </row>
    <row r="20" spans="1:25" ht="11.25" customHeight="1">
      <c r="A20" s="132"/>
      <c r="B20" s="156"/>
      <c r="C20" s="132"/>
      <c r="D20" s="156"/>
      <c r="E20" s="156"/>
      <c r="F20" s="177"/>
      <c r="G20" s="178"/>
      <c r="H20" s="178"/>
      <c r="I20" s="179"/>
      <c r="J20" s="25"/>
      <c r="K20" s="26"/>
      <c r="L20" s="22"/>
      <c r="P20" s="584">
        <v>17</v>
      </c>
      <c r="Q20" s="761">
        <v>15.383999960000001</v>
      </c>
      <c r="R20" s="761">
        <v>12.121571608857142</v>
      </c>
      <c r="S20" s="761">
        <v>143.84128789999997</v>
      </c>
      <c r="T20" s="761">
        <v>83.547571454285716</v>
      </c>
      <c r="U20" s="761">
        <v>20.273857388571425</v>
      </c>
      <c r="V20" s="761">
        <v>12.949641501428573</v>
      </c>
      <c r="W20" s="761">
        <v>1.6648571664285714</v>
      </c>
      <c r="X20" s="761">
        <v>103.81928579571429</v>
      </c>
      <c r="Y20" s="761">
        <v>25.921857015714284</v>
      </c>
    </row>
    <row r="21" spans="1:25" ht="11.25" customHeight="1">
      <c r="A21" s="132"/>
      <c r="B21" s="156"/>
      <c r="C21" s="132"/>
      <c r="D21" s="156"/>
      <c r="E21" s="156"/>
      <c r="F21" s="177"/>
      <c r="G21" s="178"/>
      <c r="H21" s="178"/>
      <c r="I21" s="179"/>
      <c r="J21" s="25"/>
      <c r="K21" s="29"/>
      <c r="L21" s="30"/>
      <c r="P21" s="584">
        <v>18</v>
      </c>
      <c r="Q21" s="761">
        <v>16.026142665714286</v>
      </c>
      <c r="R21" s="761">
        <v>11.996285711571428</v>
      </c>
      <c r="S21" s="761">
        <v>111.12314277285714</v>
      </c>
      <c r="T21" s="761">
        <v>74.392857142857139</v>
      </c>
      <c r="U21" s="761">
        <v>18.103142875714287</v>
      </c>
      <c r="V21" s="761">
        <v>11.493274145714285</v>
      </c>
      <c r="W21" s="761">
        <v>1.55</v>
      </c>
      <c r="X21" s="761">
        <v>91.532855442857141</v>
      </c>
      <c r="Y21" s="761">
        <v>22.190428595714284</v>
      </c>
    </row>
    <row r="22" spans="1:25" ht="11.25" customHeight="1">
      <c r="A22" s="137"/>
      <c r="B22" s="156"/>
      <c r="C22" s="132"/>
      <c r="D22" s="156"/>
      <c r="E22" s="156"/>
      <c r="F22" s="177"/>
      <c r="G22" s="178"/>
      <c r="H22" s="178"/>
      <c r="I22" s="179"/>
      <c r="J22" s="25"/>
      <c r="K22" s="26"/>
      <c r="L22" s="22"/>
      <c r="P22" s="584">
        <v>19</v>
      </c>
      <c r="Q22" s="761">
        <v>14.769714355714287</v>
      </c>
      <c r="R22" s="761">
        <v>10.123285769857144</v>
      </c>
      <c r="S22" s="761">
        <v>89.41828482428572</v>
      </c>
      <c r="T22" s="761">
        <v>60.613000051428571</v>
      </c>
      <c r="U22" s="761">
        <v>15.728999954285714</v>
      </c>
      <c r="V22" s="761">
        <v>10.883738517142858</v>
      </c>
      <c r="W22" s="761">
        <v>1.5914285865714286</v>
      </c>
      <c r="X22" s="761">
        <v>82.45500183</v>
      </c>
      <c r="Y22" s="761">
        <v>20.991285870000006</v>
      </c>
    </row>
    <row r="23" spans="1:25" ht="11.25" customHeight="1">
      <c r="A23" s="137"/>
      <c r="B23" s="156"/>
      <c r="C23" s="132"/>
      <c r="D23" s="156"/>
      <c r="E23" s="156"/>
      <c r="F23" s="177"/>
      <c r="G23" s="178"/>
      <c r="H23" s="178"/>
      <c r="I23" s="179"/>
      <c r="J23" s="25"/>
      <c r="K23" s="26"/>
      <c r="L23" s="22"/>
      <c r="P23" s="584">
        <v>20</v>
      </c>
      <c r="Q23" s="761">
        <v>13.81242861</v>
      </c>
      <c r="R23" s="761">
        <v>9.3731427190000005</v>
      </c>
      <c r="S23" s="761">
        <v>79.212427410000004</v>
      </c>
      <c r="T23" s="761">
        <v>72.321428569999995</v>
      </c>
      <c r="U23" s="761">
        <v>20.647571429999999</v>
      </c>
      <c r="V23" s="761">
        <v>11.153748650000001</v>
      </c>
      <c r="W23" s="761">
        <v>1.5371428389999999</v>
      </c>
      <c r="X23" s="761">
        <v>76.857142859999996</v>
      </c>
      <c r="Y23" s="761">
        <v>23.085714070000002</v>
      </c>
    </row>
    <row r="24" spans="1:25" ht="11.25" customHeight="1">
      <c r="A24" s="137"/>
      <c r="B24" s="156"/>
      <c r="C24" s="132"/>
      <c r="D24" s="156"/>
      <c r="E24" s="156"/>
      <c r="F24" s="177"/>
      <c r="G24" s="178"/>
      <c r="H24" s="178"/>
      <c r="I24" s="179"/>
      <c r="J24" s="26"/>
      <c r="K24" s="26"/>
      <c r="L24" s="22"/>
      <c r="P24" s="584">
        <v>21</v>
      </c>
      <c r="Q24" s="761">
        <v>12.849714414285714</v>
      </c>
      <c r="R24" s="761">
        <v>7.085428442285715</v>
      </c>
      <c r="S24" s="761">
        <v>62.717000688571432</v>
      </c>
      <c r="T24" s="761">
        <v>52.565571377142859</v>
      </c>
      <c r="U24" s="761">
        <v>14.46171447</v>
      </c>
      <c r="V24" s="761">
        <v>12</v>
      </c>
      <c r="W24" s="761">
        <v>1.5128571304285714</v>
      </c>
      <c r="X24" s="761">
        <v>58.057856968571436</v>
      </c>
      <c r="Y24" s="761">
        <v>17.858285902857144</v>
      </c>
    </row>
    <row r="25" spans="1:25" ht="11.25" customHeight="1">
      <c r="A25" s="137"/>
      <c r="B25" s="156"/>
      <c r="C25" s="132"/>
      <c r="D25" s="156"/>
      <c r="E25" s="156"/>
      <c r="F25" s="177"/>
      <c r="G25" s="178"/>
      <c r="H25" s="178"/>
      <c r="I25" s="179"/>
      <c r="J25" s="25"/>
      <c r="K25" s="29"/>
      <c r="L25" s="30"/>
      <c r="P25" s="584">
        <v>22</v>
      </c>
      <c r="Q25" s="761">
        <v>12.105428559999998</v>
      </c>
      <c r="R25" s="761">
        <v>7.3308571058571435</v>
      </c>
      <c r="S25" s="761">
        <v>41.633143151428598</v>
      </c>
      <c r="T25" s="761">
        <v>49.261999948571429</v>
      </c>
      <c r="U25" s="761">
        <v>12.621714454285712</v>
      </c>
      <c r="V25" s="761">
        <v>10.442797251571431</v>
      </c>
      <c r="W25" s="761">
        <v>1.5</v>
      </c>
      <c r="X25" s="761">
        <v>51.520714895714285</v>
      </c>
      <c r="Y25" s="761">
        <v>15.324571202857143</v>
      </c>
    </row>
    <row r="26" spans="1:25" ht="11.25" customHeight="1">
      <c r="A26" s="137"/>
      <c r="B26" s="156"/>
      <c r="C26" s="132"/>
      <c r="D26" s="156"/>
      <c r="E26" s="156"/>
      <c r="F26" s="138"/>
      <c r="G26" s="138"/>
      <c r="H26" s="138"/>
      <c r="I26" s="138"/>
      <c r="J26" s="23"/>
      <c r="K26" s="26"/>
      <c r="L26" s="22"/>
      <c r="P26" s="584">
        <v>23</v>
      </c>
      <c r="Q26" s="761">
        <v>11.272714207142856</v>
      </c>
      <c r="R26" s="761">
        <v>7.7242857718571427</v>
      </c>
      <c r="S26" s="761">
        <v>41.633143151428598</v>
      </c>
      <c r="T26" s="761">
        <v>40.500142779999997</v>
      </c>
      <c r="U26" s="761">
        <v>10.571857179142857</v>
      </c>
      <c r="V26" s="761">
        <v>10.979225701428572</v>
      </c>
      <c r="W26" s="761">
        <v>1.5</v>
      </c>
      <c r="X26" s="761">
        <v>46.520714351428573</v>
      </c>
      <c r="Y26" s="761">
        <v>13.868142808571431</v>
      </c>
    </row>
    <row r="27" spans="1:25" ht="11.25" customHeight="1">
      <c r="A27" s="137"/>
      <c r="B27" s="156"/>
      <c r="C27" s="132"/>
      <c r="D27" s="156"/>
      <c r="E27" s="156"/>
      <c r="F27" s="138"/>
      <c r="G27" s="138"/>
      <c r="H27" s="138"/>
      <c r="I27" s="138"/>
      <c r="J27" s="23"/>
      <c r="K27" s="26"/>
      <c r="L27" s="22"/>
      <c r="P27" s="584">
        <v>24</v>
      </c>
      <c r="Q27" s="761">
        <v>10.867999894285715</v>
      </c>
      <c r="R27" s="761">
        <v>8.8337143495714301</v>
      </c>
      <c r="S27" s="761">
        <v>78.434000150000003</v>
      </c>
      <c r="T27" s="761">
        <v>35.785857065714289</v>
      </c>
      <c r="U27" s="761">
        <v>9.2180000031428584</v>
      </c>
      <c r="V27" s="761">
        <v>11.096784181428571</v>
      </c>
      <c r="W27" s="761">
        <v>1.5</v>
      </c>
      <c r="X27" s="761">
        <v>42.473571777142858</v>
      </c>
      <c r="Y27" s="761">
        <v>12.512571334285715</v>
      </c>
    </row>
    <row r="28" spans="1:25" ht="11.25" customHeight="1">
      <c r="A28" s="136"/>
      <c r="B28" s="138"/>
      <c r="C28" s="138"/>
      <c r="D28" s="138"/>
      <c r="E28" s="138"/>
      <c r="F28" s="138"/>
      <c r="G28" s="138"/>
      <c r="H28" s="138"/>
      <c r="I28" s="138"/>
      <c r="J28" s="25"/>
      <c r="K28" s="26"/>
      <c r="L28" s="22"/>
      <c r="P28" s="584">
        <v>25</v>
      </c>
      <c r="Q28" s="761">
        <v>10.167285918857143</v>
      </c>
      <c r="R28" s="761">
        <v>7.6592858184285708</v>
      </c>
      <c r="S28" s="761">
        <v>77.872000559999989</v>
      </c>
      <c r="T28" s="761">
        <v>33.357000077142857</v>
      </c>
      <c r="U28" s="761">
        <v>8.9321429390000002</v>
      </c>
      <c r="V28" s="761">
        <v>10.461965969999998</v>
      </c>
      <c r="W28" s="761">
        <v>1.5</v>
      </c>
      <c r="X28" s="761">
        <v>43.729285104285715</v>
      </c>
      <c r="Y28" s="761">
        <v>11.450428658571429</v>
      </c>
    </row>
    <row r="29" spans="1:25" ht="11.25" customHeight="1">
      <c r="A29" s="136"/>
      <c r="B29" s="138"/>
      <c r="C29" s="138"/>
      <c r="D29" s="138"/>
      <c r="E29" s="138"/>
      <c r="F29" s="138"/>
      <c r="G29" s="138"/>
      <c r="H29" s="138"/>
      <c r="I29" s="138"/>
      <c r="J29" s="25"/>
      <c r="K29" s="26"/>
      <c r="L29" s="22"/>
      <c r="O29" s="277">
        <v>26</v>
      </c>
      <c r="P29" s="584">
        <v>26</v>
      </c>
      <c r="Q29" s="761">
        <v>9.3535717554285718</v>
      </c>
      <c r="R29" s="761">
        <v>6.2751428064285708</v>
      </c>
      <c r="S29" s="761">
        <v>76.447856358571428</v>
      </c>
      <c r="T29" s="761">
        <v>29.154571531428569</v>
      </c>
      <c r="U29" s="761">
        <v>8.3007144928571428</v>
      </c>
      <c r="V29" s="761">
        <v>11.259941372857144</v>
      </c>
      <c r="W29" s="761">
        <v>1.5</v>
      </c>
      <c r="X29" s="761">
        <v>44.616428919999997</v>
      </c>
      <c r="Y29" s="761">
        <v>9.6660000944285702</v>
      </c>
    </row>
    <row r="30" spans="1:25" ht="11.25" customHeight="1">
      <c r="A30" s="136"/>
      <c r="B30" s="138"/>
      <c r="C30" s="138"/>
      <c r="D30" s="138"/>
      <c r="E30" s="138"/>
      <c r="F30" s="138"/>
      <c r="G30" s="138"/>
      <c r="H30" s="138"/>
      <c r="I30" s="138"/>
      <c r="J30" s="25"/>
      <c r="K30" s="26"/>
      <c r="L30" s="22"/>
      <c r="P30" s="584">
        <v>27</v>
      </c>
      <c r="Q30" s="761">
        <v>8.86</v>
      </c>
      <c r="R30" s="761">
        <v>7.15</v>
      </c>
      <c r="S30" s="761">
        <v>77.430000000000007</v>
      </c>
      <c r="T30" s="761">
        <v>30.35</v>
      </c>
      <c r="U30" s="761">
        <v>8.59</v>
      </c>
      <c r="V30" s="761">
        <v>10.758154460361988</v>
      </c>
      <c r="W30" s="761">
        <v>1.59</v>
      </c>
      <c r="X30" s="761">
        <v>43.84</v>
      </c>
      <c r="Y30" s="761">
        <v>8.27</v>
      </c>
    </row>
    <row r="31" spans="1:25" ht="11.25" customHeight="1">
      <c r="A31" s="136"/>
      <c r="B31" s="138"/>
      <c r="C31" s="138"/>
      <c r="D31" s="138"/>
      <c r="E31" s="138"/>
      <c r="F31" s="138"/>
      <c r="G31" s="138"/>
      <c r="H31" s="138"/>
      <c r="I31" s="138"/>
      <c r="J31" s="25"/>
      <c r="K31" s="26"/>
      <c r="L31" s="22"/>
      <c r="P31" s="584">
        <v>28</v>
      </c>
      <c r="Q31" s="761">
        <v>8.9135712215714289</v>
      </c>
      <c r="R31" s="761">
        <v>5.7058570728571425</v>
      </c>
      <c r="S31" s="761">
        <v>76.24514443428572</v>
      </c>
      <c r="T31" s="761">
        <v>27.702285765714286</v>
      </c>
      <c r="U31" s="761">
        <v>7.8261427880000003</v>
      </c>
      <c r="V31" s="761">
        <v>11.139168601428571</v>
      </c>
      <c r="W31" s="761">
        <v>1.6000000240000001</v>
      </c>
      <c r="X31" s="761">
        <v>39.995714458571435</v>
      </c>
      <c r="Y31" s="761">
        <v>7.4899999752857136</v>
      </c>
    </row>
    <row r="32" spans="1:25" ht="11.25" customHeight="1">
      <c r="A32" s="136"/>
      <c r="B32" s="138"/>
      <c r="C32" s="138"/>
      <c r="D32" s="138"/>
      <c r="E32" s="138"/>
      <c r="F32" s="138"/>
      <c r="G32" s="138"/>
      <c r="H32" s="138"/>
      <c r="I32" s="138"/>
      <c r="J32" s="26"/>
      <c r="K32" s="26"/>
      <c r="L32" s="22"/>
      <c r="P32" s="584">
        <v>29</v>
      </c>
      <c r="Q32" s="761">
        <v>9.1244284766060932</v>
      </c>
      <c r="R32" s="761">
        <v>6.4564285959516052</v>
      </c>
      <c r="S32" s="761">
        <v>66.31271307809007</v>
      </c>
      <c r="T32" s="761">
        <v>29.940428597586454</v>
      </c>
      <c r="U32" s="761">
        <v>7.6488569804600273</v>
      </c>
      <c r="V32" s="761">
        <v>10.810358456202879</v>
      </c>
      <c r="W32" s="761">
        <v>1.6000000238418504</v>
      </c>
      <c r="X32" s="761">
        <v>42.704285757882197</v>
      </c>
      <c r="Y32" s="761">
        <v>6.46428571428571</v>
      </c>
    </row>
    <row r="33" spans="1:25" ht="11.25" customHeight="1">
      <c r="A33" s="136"/>
      <c r="B33" s="138"/>
      <c r="C33" s="138"/>
      <c r="D33" s="138"/>
      <c r="E33" s="138"/>
      <c r="F33" s="138"/>
      <c r="G33" s="138"/>
      <c r="H33" s="138"/>
      <c r="I33" s="138"/>
      <c r="J33" s="25"/>
      <c r="K33" s="26"/>
      <c r="L33" s="22"/>
      <c r="P33" s="584">
        <v>30</v>
      </c>
      <c r="Q33" s="761">
        <v>8.5528571428571407</v>
      </c>
      <c r="R33" s="761">
        <v>4.6828571428571433</v>
      </c>
      <c r="S33" s="761">
        <v>72.048571428571435</v>
      </c>
      <c r="T33" s="761">
        <v>36.729999999999997</v>
      </c>
      <c r="U33" s="761">
        <v>8.18</v>
      </c>
      <c r="V33" s="761">
        <v>12.61</v>
      </c>
      <c r="W33" s="761">
        <v>1.6285714285714283</v>
      </c>
      <c r="X33" s="761">
        <v>44.611428571428576</v>
      </c>
      <c r="Y33" s="761">
        <v>8.2285714285714295</v>
      </c>
    </row>
    <row r="34" spans="1:25" ht="11.25" customHeight="1">
      <c r="A34" s="136"/>
      <c r="B34" s="138"/>
      <c r="C34" s="138"/>
      <c r="D34" s="138"/>
      <c r="E34" s="138"/>
      <c r="F34" s="138"/>
      <c r="G34" s="138"/>
      <c r="H34" s="138"/>
      <c r="I34" s="138"/>
      <c r="J34" s="25"/>
      <c r="K34" s="34"/>
      <c r="L34" s="22"/>
      <c r="P34" s="584">
        <v>31</v>
      </c>
      <c r="Q34" s="761">
        <v>8.6655714172857152</v>
      </c>
      <c r="R34" s="761">
        <v>6.0697142064285714</v>
      </c>
      <c r="S34" s="761">
        <v>71.543143134285714</v>
      </c>
      <c r="T34" s="761">
        <v>31.720428468571431</v>
      </c>
      <c r="U34" s="761">
        <v>7.0618571554285712</v>
      </c>
      <c r="V34" s="761">
        <v>12.322975702857141</v>
      </c>
      <c r="W34" s="761">
        <v>1.7000000479999999</v>
      </c>
      <c r="X34" s="761">
        <v>43.444999694285706</v>
      </c>
      <c r="Y34" s="761">
        <v>6.7562857354285706</v>
      </c>
    </row>
    <row r="35" spans="1:25" ht="11.25" customHeight="1">
      <c r="A35" s="136"/>
      <c r="B35" s="138"/>
      <c r="C35" s="138"/>
      <c r="D35" s="138"/>
      <c r="E35" s="138"/>
      <c r="F35" s="138"/>
      <c r="G35" s="138"/>
      <c r="H35" s="138"/>
      <c r="I35" s="138"/>
      <c r="J35" s="25"/>
      <c r="K35" s="34"/>
      <c r="L35" s="38"/>
      <c r="P35" s="584">
        <v>32</v>
      </c>
      <c r="Q35" s="761">
        <v>8.8231430052857132</v>
      </c>
      <c r="R35" s="761">
        <v>7.5088570807142858</v>
      </c>
      <c r="S35" s="761">
        <v>73.754999434285722</v>
      </c>
      <c r="T35" s="761">
        <v>23.255857194285714</v>
      </c>
      <c r="U35" s="761">
        <v>6.2595714159999991</v>
      </c>
      <c r="V35" s="761">
        <v>12.551451548571427</v>
      </c>
      <c r="W35" s="761">
        <v>1.7214285988571427</v>
      </c>
      <c r="X35" s="761">
        <v>38.432857512857147</v>
      </c>
      <c r="Y35" s="761">
        <v>6.4201429230000002</v>
      </c>
    </row>
    <row r="36" spans="1:25" ht="11.25" customHeight="1">
      <c r="A36" s="136"/>
      <c r="B36" s="138"/>
      <c r="C36" s="138"/>
      <c r="D36" s="138"/>
      <c r="E36" s="138"/>
      <c r="F36" s="138"/>
      <c r="G36" s="138"/>
      <c r="H36" s="138"/>
      <c r="I36" s="138"/>
      <c r="J36" s="25"/>
      <c r="K36" s="29"/>
      <c r="L36" s="22"/>
      <c r="P36" s="584">
        <v>33</v>
      </c>
      <c r="Q36" s="761">
        <v>7.5077142715714285</v>
      </c>
      <c r="R36" s="761">
        <v>3.2121428764285715</v>
      </c>
      <c r="S36" s="761">
        <v>68.878572191428574</v>
      </c>
      <c r="T36" s="761">
        <v>21.297428674285715</v>
      </c>
      <c r="U36" s="761">
        <v>6.3691428730000004</v>
      </c>
      <c r="V36" s="761">
        <v>12.137084417142857</v>
      </c>
      <c r="W36" s="761">
        <v>1.7482857022857143</v>
      </c>
      <c r="X36" s="761">
        <v>36.690713608571421</v>
      </c>
      <c r="Y36" s="761">
        <v>4.7154285567142855</v>
      </c>
    </row>
    <row r="37" spans="1:25" ht="11.25" customHeight="1">
      <c r="A37" s="136"/>
      <c r="B37" s="138"/>
      <c r="C37" s="138"/>
      <c r="D37" s="138"/>
      <c r="E37" s="138"/>
      <c r="F37" s="138"/>
      <c r="G37" s="138"/>
      <c r="H37" s="138"/>
      <c r="I37" s="138"/>
      <c r="J37" s="25"/>
      <c r="K37" s="29"/>
      <c r="L37" s="22"/>
      <c r="P37" s="584">
        <v>34</v>
      </c>
      <c r="Q37" s="761">
        <v>7.6147142817142859</v>
      </c>
      <c r="R37" s="761">
        <v>3.3949999810000002</v>
      </c>
      <c r="S37" s="761">
        <v>65.663999831428569</v>
      </c>
      <c r="T37" s="761">
        <v>20.922428674285715</v>
      </c>
      <c r="U37" s="761">
        <v>6.115428584</v>
      </c>
      <c r="V37" s="761">
        <v>12.034524235714285</v>
      </c>
      <c r="W37" s="761">
        <v>1.7482857022857143</v>
      </c>
      <c r="X37" s="761">
        <v>34.872856138571429</v>
      </c>
      <c r="Y37" s="761">
        <v>5.7421428814285713</v>
      </c>
    </row>
    <row r="38" spans="1:25" ht="11.25" customHeight="1">
      <c r="A38" s="136"/>
      <c r="B38" s="138"/>
      <c r="C38" s="138"/>
      <c r="D38" s="138"/>
      <c r="E38" s="138"/>
      <c r="F38" s="138"/>
      <c r="G38" s="138"/>
      <c r="H38" s="138"/>
      <c r="I38" s="138"/>
      <c r="J38" s="25"/>
      <c r="K38" s="29"/>
      <c r="L38" s="22"/>
      <c r="P38" s="584">
        <v>35</v>
      </c>
      <c r="Q38" s="761">
        <v>8.7815715245714294</v>
      </c>
      <c r="R38" s="761">
        <v>7.1025714534285722</v>
      </c>
      <c r="S38" s="761">
        <v>65.224427905714279</v>
      </c>
      <c r="T38" s="761">
        <v>19.458285740000001</v>
      </c>
      <c r="U38" s="761">
        <v>6.3137143680000003</v>
      </c>
      <c r="V38" s="761">
        <v>12.041607177142856</v>
      </c>
      <c r="W38" s="761">
        <v>1.75</v>
      </c>
      <c r="X38" s="761">
        <v>34.16142872428572</v>
      </c>
      <c r="Y38" s="761">
        <v>6.5945714541428577</v>
      </c>
    </row>
    <row r="39" spans="1:25" ht="11.25" customHeight="1">
      <c r="O39" s="277">
        <v>36</v>
      </c>
      <c r="P39" s="584">
        <v>36</v>
      </c>
      <c r="Q39" s="761">
        <v>8.2851428302857144</v>
      </c>
      <c r="R39" s="761">
        <v>6.7619999824285708</v>
      </c>
      <c r="S39" s="761">
        <v>60.719142914285719</v>
      </c>
      <c r="T39" s="761">
        <v>25.369000025714286</v>
      </c>
      <c r="U39" s="761">
        <v>5.8737142427142857</v>
      </c>
      <c r="V39" s="761">
        <v>12.055594308571429</v>
      </c>
      <c r="W39" s="761">
        <v>1.6425714154285713</v>
      </c>
      <c r="X39" s="761">
        <v>35.968571799999999</v>
      </c>
      <c r="Y39" s="761">
        <v>4.9847143037142851</v>
      </c>
    </row>
    <row r="40" spans="1:25" ht="11.25" customHeight="1">
      <c r="A40" s="882" t="s">
        <v>540</v>
      </c>
      <c r="B40" s="882"/>
      <c r="C40" s="882"/>
      <c r="D40" s="882"/>
      <c r="E40" s="882"/>
      <c r="F40" s="882"/>
      <c r="G40" s="882"/>
      <c r="H40" s="882"/>
      <c r="I40" s="882"/>
      <c r="J40" s="882"/>
      <c r="K40" s="882"/>
      <c r="L40" s="882"/>
      <c r="P40" s="584">
        <v>37</v>
      </c>
      <c r="Q40" s="761">
        <v>7.6475714954285712</v>
      </c>
      <c r="R40" s="761">
        <v>6.5272856442857137</v>
      </c>
      <c r="S40" s="761">
        <v>62.679428645714289</v>
      </c>
      <c r="T40" s="761">
        <v>28.136857168571428</v>
      </c>
      <c r="U40" s="761">
        <v>6.1154285838571436</v>
      </c>
      <c r="V40" s="761">
        <v>12.130952835714286</v>
      </c>
      <c r="W40" s="761">
        <v>1.6457142658571429</v>
      </c>
      <c r="X40" s="761">
        <v>34.324999674285714</v>
      </c>
      <c r="Y40" s="761">
        <v>5.502714293285714</v>
      </c>
    </row>
    <row r="41" spans="1:25" ht="11.25" customHeight="1">
      <c r="P41" s="584">
        <v>38</v>
      </c>
      <c r="Q41" s="761">
        <v>7.6971428571428575</v>
      </c>
      <c r="R41" s="761">
        <v>5.444285714285714</v>
      </c>
      <c r="S41" s="761">
        <v>65.47</v>
      </c>
      <c r="T41" s="761">
        <v>29.351428571428567</v>
      </c>
      <c r="U41" s="761">
        <v>6.8328571428571419</v>
      </c>
      <c r="V41" s="761">
        <v>12.194285714285716</v>
      </c>
      <c r="W41" s="761">
        <v>1.6014285714285712</v>
      </c>
      <c r="X41" s="761">
        <v>33.131428571428572</v>
      </c>
      <c r="Y41" s="761">
        <v>6.8414285714285716</v>
      </c>
    </row>
    <row r="42" spans="1:25" ht="11.25" customHeight="1">
      <c r="A42" s="136"/>
      <c r="B42" s="138"/>
      <c r="C42" s="138"/>
      <c r="D42" s="138"/>
      <c r="E42" s="138"/>
      <c r="F42" s="138"/>
      <c r="G42" s="138"/>
      <c r="H42" s="138"/>
      <c r="I42" s="138"/>
      <c r="P42" s="584">
        <v>39</v>
      </c>
      <c r="Q42" s="761">
        <v>7.6702859061104887</v>
      </c>
      <c r="R42" s="761">
        <v>5.896142857415323</v>
      </c>
      <c r="S42" s="761">
        <v>72.930715288434641</v>
      </c>
      <c r="T42" s="761">
        <v>26.470285688127774</v>
      </c>
      <c r="U42" s="761">
        <v>9.2337144442966927</v>
      </c>
      <c r="V42" s="761">
        <v>12.167024339948341</v>
      </c>
      <c r="W42" s="761">
        <v>1.4285714115415273</v>
      </c>
      <c r="X42" s="761">
        <v>32.532142911638481</v>
      </c>
      <c r="Y42" s="761">
        <v>5.5879999569484111</v>
      </c>
    </row>
    <row r="43" spans="1:25" ht="11.25" customHeight="1">
      <c r="A43" s="136"/>
      <c r="B43" s="138"/>
      <c r="C43" s="138"/>
      <c r="D43" s="138"/>
      <c r="E43" s="138"/>
      <c r="F43" s="138"/>
      <c r="G43" s="138"/>
      <c r="H43" s="138"/>
      <c r="I43" s="138"/>
      <c r="P43" s="584">
        <v>40</v>
      </c>
      <c r="Q43" s="761">
        <v>6.5494285314285721</v>
      </c>
      <c r="R43" s="761">
        <v>3.8238571030000004</v>
      </c>
      <c r="S43" s="761">
        <v>70.661287578571418</v>
      </c>
      <c r="T43" s="761">
        <v>28.190571377142856</v>
      </c>
      <c r="U43" s="761">
        <v>9.6928569934285722</v>
      </c>
      <c r="V43" s="761">
        <v>12.594642775714282</v>
      </c>
      <c r="W43" s="761">
        <v>1.3999999759999999</v>
      </c>
      <c r="X43" s="761">
        <v>36.384999957142853</v>
      </c>
      <c r="Y43" s="761">
        <v>8.0550000327142861</v>
      </c>
    </row>
    <row r="44" spans="1:25" ht="11.25" customHeight="1">
      <c r="A44" s="136"/>
      <c r="B44" s="138"/>
      <c r="C44" s="138"/>
      <c r="D44" s="138"/>
      <c r="E44" s="138"/>
      <c r="F44" s="138"/>
      <c r="G44" s="138"/>
      <c r="H44" s="138"/>
      <c r="I44" s="138"/>
      <c r="P44" s="584">
        <v>41</v>
      </c>
      <c r="Q44" s="761">
        <v>8.096428529999999</v>
      </c>
      <c r="R44" s="761">
        <v>4.0404286040000006</v>
      </c>
      <c r="S44" s="761">
        <v>65.047571455714291</v>
      </c>
      <c r="T44" s="761">
        <v>47.010571615714284</v>
      </c>
      <c r="U44" s="761">
        <v>10.709857054714286</v>
      </c>
      <c r="V44" s="761">
        <v>13.274107117142858</v>
      </c>
      <c r="W44" s="761">
        <v>1.3785714251428571</v>
      </c>
      <c r="X44" s="761">
        <v>40.987143380000006</v>
      </c>
      <c r="Y44" s="761">
        <v>6.9969999451428562</v>
      </c>
    </row>
    <row r="45" spans="1:25" ht="11.25" customHeight="1">
      <c r="A45" s="136"/>
      <c r="B45" s="138"/>
      <c r="C45" s="138"/>
      <c r="D45" s="138"/>
      <c r="E45" s="138"/>
      <c r="F45" s="138"/>
      <c r="G45" s="138"/>
      <c r="H45" s="138"/>
      <c r="I45" s="138"/>
      <c r="P45" s="584">
        <v>42</v>
      </c>
      <c r="Q45" s="761">
        <v>7.4685714285714289</v>
      </c>
      <c r="R45" s="761">
        <v>4.8257142857142856</v>
      </c>
      <c r="S45" s="761">
        <v>67.597142857142856</v>
      </c>
      <c r="T45" s="761">
        <v>47.291428571428575</v>
      </c>
      <c r="U45" s="761">
        <v>8.5642857142857132</v>
      </c>
      <c r="V45" s="761">
        <v>13.001428571428571</v>
      </c>
      <c r="W45" s="761">
        <v>1.3499999999999999</v>
      </c>
      <c r="X45" s="761">
        <v>37.554285714285712</v>
      </c>
      <c r="Y45" s="761">
        <v>6.2985714285714289</v>
      </c>
    </row>
    <row r="46" spans="1:25" ht="11.25" customHeight="1">
      <c r="A46" s="136"/>
      <c r="B46" s="138"/>
      <c r="C46" s="138"/>
      <c r="D46" s="138"/>
      <c r="E46" s="138"/>
      <c r="F46" s="138"/>
      <c r="G46" s="138"/>
      <c r="H46" s="138"/>
      <c r="I46" s="138"/>
      <c r="P46" s="584">
        <v>43</v>
      </c>
      <c r="Q46" s="761">
        <v>8.9041427881428579</v>
      </c>
      <c r="R46" s="761">
        <v>7.354714223857143</v>
      </c>
      <c r="S46" s="761">
        <v>80.445570807142857</v>
      </c>
      <c r="T46" s="761">
        <v>71.934570317142857</v>
      </c>
      <c r="U46" s="761">
        <v>12.279142925142859</v>
      </c>
      <c r="V46" s="761">
        <v>13.139822822857143</v>
      </c>
      <c r="W46" s="761">
        <v>1.2642857177142857</v>
      </c>
      <c r="X46" s="761">
        <v>52.87071446142857</v>
      </c>
      <c r="Y46" s="761">
        <v>11.989999907285712</v>
      </c>
    </row>
    <row r="47" spans="1:25" ht="11.25" customHeight="1">
      <c r="A47" s="136"/>
      <c r="B47" s="138"/>
      <c r="C47" s="138"/>
      <c r="D47" s="138"/>
      <c r="E47" s="138"/>
      <c r="F47" s="138"/>
      <c r="G47" s="138"/>
      <c r="H47" s="138"/>
      <c r="I47" s="138"/>
      <c r="O47" s="277">
        <v>44</v>
      </c>
      <c r="P47" s="584">
        <v>44</v>
      </c>
      <c r="Q47" s="761">
        <v>7.8245713370000001</v>
      </c>
      <c r="R47" s="761">
        <v>6.0929999348571409</v>
      </c>
      <c r="S47" s="761">
        <v>68.079284669999993</v>
      </c>
      <c r="T47" s="761">
        <v>33.011999948571429</v>
      </c>
      <c r="U47" s="761">
        <v>8.685571329857142</v>
      </c>
      <c r="V47" s="761">
        <v>13.275356975714287</v>
      </c>
      <c r="W47" s="761">
        <v>1.1857142621428574</v>
      </c>
      <c r="X47" s="761">
        <v>36.208572388571426</v>
      </c>
      <c r="Y47" s="761">
        <v>7.9394285338571438</v>
      </c>
    </row>
    <row r="48" spans="1:25">
      <c r="A48" s="136"/>
      <c r="B48" s="138"/>
      <c r="C48" s="138"/>
      <c r="D48" s="138"/>
      <c r="E48" s="138"/>
      <c r="F48" s="138"/>
      <c r="G48" s="138"/>
      <c r="H48" s="138"/>
      <c r="I48" s="138"/>
      <c r="P48" s="584">
        <v>45</v>
      </c>
      <c r="Q48" s="761">
        <v>9.4607142031428566</v>
      </c>
      <c r="R48" s="761">
        <v>6.8107141777142859</v>
      </c>
      <c r="S48" s="761">
        <v>71.555715832857132</v>
      </c>
      <c r="T48" s="761">
        <v>77.119000028571435</v>
      </c>
      <c r="U48" s="761">
        <v>11.169571467285715</v>
      </c>
      <c r="V48" s="761">
        <v>14</v>
      </c>
      <c r="W48" s="761">
        <v>1.1200000049999999</v>
      </c>
      <c r="X48" s="761">
        <v>61.867856707142856</v>
      </c>
      <c r="Y48" s="761">
        <v>10.621285710571428</v>
      </c>
    </row>
    <row r="49" spans="1:25">
      <c r="A49" s="136"/>
      <c r="B49" s="138"/>
      <c r="C49" s="138"/>
      <c r="D49" s="138"/>
      <c r="E49" s="138"/>
      <c r="F49" s="138"/>
      <c r="G49" s="138"/>
      <c r="H49" s="138"/>
      <c r="I49" s="138"/>
      <c r="P49" s="584">
        <v>46</v>
      </c>
      <c r="Q49" s="761">
        <v>9.3077141910000005</v>
      </c>
      <c r="R49" s="761">
        <v>7.0327142307142854</v>
      </c>
      <c r="S49" s="761">
        <v>91.077428547142858</v>
      </c>
      <c r="T49" s="761">
        <v>102.37485722571429</v>
      </c>
      <c r="U49" s="761">
        <v>13.601000102857142</v>
      </c>
      <c r="V49" s="761">
        <v>14.050535747142858</v>
      </c>
      <c r="W49" s="761">
        <v>1.1085714441428569</v>
      </c>
      <c r="X49" s="761">
        <v>108.26642826857143</v>
      </c>
      <c r="Y49" s="761">
        <v>19.484428541428574</v>
      </c>
    </row>
    <row r="50" spans="1:25">
      <c r="A50" s="136"/>
      <c r="B50" s="138"/>
      <c r="C50" s="138"/>
      <c r="D50" s="138"/>
      <c r="E50" s="138"/>
      <c r="F50" s="138"/>
      <c r="G50" s="138"/>
      <c r="H50" s="138"/>
      <c r="I50" s="138"/>
      <c r="P50" s="584">
        <v>47</v>
      </c>
      <c r="Q50" s="761">
        <v>9.4625713492857138</v>
      </c>
      <c r="R50" s="761">
        <v>5.5844285494285719</v>
      </c>
      <c r="S50" s="761">
        <v>81.972856794285704</v>
      </c>
      <c r="T50" s="761">
        <v>82.511857174285723</v>
      </c>
      <c r="U50" s="761">
        <v>10.628571509714286</v>
      </c>
      <c r="V50" s="761">
        <v>13.985775811428573</v>
      </c>
      <c r="W50" s="761">
        <v>1.1000000240000001</v>
      </c>
      <c r="X50" s="761">
        <v>123.16000039999999</v>
      </c>
      <c r="Y50" s="761">
        <v>19.475428171428575</v>
      </c>
    </row>
    <row r="51" spans="1:25">
      <c r="A51" s="136"/>
      <c r="B51" s="138"/>
      <c r="C51" s="138"/>
      <c r="D51" s="138"/>
      <c r="E51" s="138"/>
      <c r="F51" s="138"/>
      <c r="G51" s="138"/>
      <c r="H51" s="138"/>
      <c r="I51" s="138"/>
      <c r="P51" s="584">
        <v>48</v>
      </c>
      <c r="Q51" s="761">
        <v>10.788142817999999</v>
      </c>
      <c r="R51" s="761">
        <v>7.5644286014285722</v>
      </c>
      <c r="S51" s="761">
        <v>84.626999989999987</v>
      </c>
      <c r="T51" s="761">
        <v>67.75</v>
      </c>
      <c r="U51" s="761">
        <v>8.4404285975714277</v>
      </c>
      <c r="V51" s="761">
        <v>13.781128474285714</v>
      </c>
      <c r="W51" s="761">
        <v>1.1000000240000001</v>
      </c>
      <c r="X51" s="761">
        <v>94.382143292857137</v>
      </c>
      <c r="Y51" s="761">
        <v>16.918428555714282</v>
      </c>
    </row>
    <row r="52" spans="1:25">
      <c r="A52" s="136"/>
      <c r="B52" s="138"/>
      <c r="C52" s="138"/>
      <c r="D52" s="138"/>
      <c r="E52" s="138"/>
      <c r="F52" s="138"/>
      <c r="G52" s="138"/>
      <c r="H52" s="138"/>
      <c r="I52" s="138"/>
      <c r="P52" s="584">
        <v>49</v>
      </c>
      <c r="Q52" s="761">
        <v>12.195857184142856</v>
      </c>
      <c r="R52" s="761">
        <v>8.7971429828571424</v>
      </c>
      <c r="S52" s="761">
        <v>127.52371543</v>
      </c>
      <c r="T52" s="761">
        <v>92.821572431428564</v>
      </c>
      <c r="U52" s="761">
        <v>12.563142707428572</v>
      </c>
      <c r="V52" s="761">
        <v>13.148691448571428</v>
      </c>
      <c r="W52" s="761">
        <v>1.1000000000000001</v>
      </c>
      <c r="X52" s="761">
        <v>134.38285718142859</v>
      </c>
      <c r="Y52" s="761">
        <v>23.580285755714289</v>
      </c>
    </row>
    <row r="53" spans="1:25">
      <c r="A53" s="136"/>
      <c r="B53" s="138"/>
      <c r="C53" s="138"/>
      <c r="D53" s="138"/>
      <c r="E53" s="138"/>
      <c r="F53" s="138"/>
      <c r="G53" s="138"/>
      <c r="H53" s="138"/>
      <c r="I53" s="138"/>
      <c r="P53" s="584">
        <v>50</v>
      </c>
      <c r="Q53" s="761">
        <v>12.195857184142856</v>
      </c>
      <c r="R53" s="761">
        <v>8.7971429828571424</v>
      </c>
      <c r="S53" s="761">
        <v>183.5428575857143</v>
      </c>
      <c r="T53" s="761">
        <v>117.73200008285714</v>
      </c>
      <c r="U53" s="761">
        <v>21.506999832857144</v>
      </c>
      <c r="V53" s="761">
        <v>12.61392865857143</v>
      </c>
      <c r="W53" s="761">
        <v>1.1014285939999999</v>
      </c>
      <c r="X53" s="761">
        <v>210.99928282857144</v>
      </c>
      <c r="Y53" s="761">
        <v>41.892142702857143</v>
      </c>
    </row>
    <row r="54" spans="1:25">
      <c r="A54" s="136"/>
      <c r="B54" s="138"/>
      <c r="C54" s="138"/>
      <c r="D54" s="138"/>
      <c r="E54" s="138"/>
      <c r="F54" s="138"/>
      <c r="G54" s="138"/>
      <c r="H54" s="138"/>
      <c r="I54" s="138"/>
      <c r="P54" s="584">
        <v>51</v>
      </c>
      <c r="Q54" s="761">
        <v>18.622142792857144</v>
      </c>
      <c r="R54" s="761">
        <v>18.057571141428571</v>
      </c>
      <c r="S54" s="761">
        <v>292.95071844285718</v>
      </c>
      <c r="T54" s="761">
        <v>180.44057028571427</v>
      </c>
      <c r="U54" s="761">
        <v>47.032857078571432</v>
      </c>
      <c r="V54" s="761">
        <v>12.600475584285714</v>
      </c>
      <c r="W54" s="761">
        <v>1.1000000240000001</v>
      </c>
      <c r="X54" s="761">
        <v>166.85428727142857</v>
      </c>
      <c r="Y54" s="761">
        <v>39.827428544285716</v>
      </c>
    </row>
    <row r="55" spans="1:25">
      <c r="A55" s="136"/>
      <c r="B55" s="138"/>
      <c r="C55" s="138"/>
      <c r="D55" s="138"/>
      <c r="E55" s="138"/>
      <c r="F55" s="138"/>
      <c r="G55" s="138"/>
      <c r="H55" s="138"/>
      <c r="I55" s="138"/>
      <c r="P55" s="584">
        <v>52</v>
      </c>
      <c r="Q55" s="761">
        <v>29.98</v>
      </c>
      <c r="R55" s="761">
        <v>19.592142921428572</v>
      </c>
      <c r="S55" s="761">
        <v>381.11599999999993</v>
      </c>
      <c r="T55" s="761">
        <v>222.82728794285717</v>
      </c>
      <c r="U55" s="761">
        <v>45.963714052857135</v>
      </c>
      <c r="V55" s="761">
        <v>12.617798667142859</v>
      </c>
      <c r="W55" s="761">
        <v>1.4000000274285713</v>
      </c>
      <c r="X55" s="761">
        <v>293.28928701428578</v>
      </c>
      <c r="Y55" s="761">
        <v>62.57285690285714</v>
      </c>
    </row>
    <row r="56" spans="1:25">
      <c r="A56" s="136"/>
      <c r="B56" s="138"/>
      <c r="C56" s="138"/>
      <c r="D56" s="138"/>
      <c r="E56" s="138"/>
      <c r="F56" s="138"/>
      <c r="G56" s="138"/>
      <c r="H56" s="138"/>
      <c r="I56" s="138"/>
      <c r="O56" s="277">
        <v>53</v>
      </c>
      <c r="P56" s="584">
        <v>53</v>
      </c>
      <c r="Q56" s="761">
        <v>16.182714325714286</v>
      </c>
      <c r="R56" s="761">
        <v>8.7855713015714283</v>
      </c>
      <c r="S56" s="761">
        <v>271.83385794285715</v>
      </c>
      <c r="T56" s="761">
        <v>172.15485925714285</v>
      </c>
      <c r="U56" s="761">
        <v>29.933428355714284</v>
      </c>
      <c r="V56" s="761">
        <v>12.85226127</v>
      </c>
      <c r="W56" s="761">
        <v>1.4571428811428571</v>
      </c>
      <c r="X56" s="761">
        <v>278.16286141428571</v>
      </c>
      <c r="Y56" s="761">
        <v>97.806430279999987</v>
      </c>
    </row>
    <row r="57" spans="1:25">
      <c r="A57" s="136"/>
      <c r="B57" s="138"/>
      <c r="C57" s="138"/>
      <c r="D57" s="138"/>
      <c r="E57" s="138"/>
      <c r="F57" s="138"/>
      <c r="G57" s="138"/>
      <c r="H57" s="138"/>
      <c r="I57" s="138"/>
      <c r="N57" s="277">
        <v>2020</v>
      </c>
      <c r="P57" s="584">
        <v>1</v>
      </c>
      <c r="Q57" s="761">
        <v>12.763571330479184</v>
      </c>
      <c r="R57" s="761">
        <v>7.4842857292720009</v>
      </c>
      <c r="S57" s="761">
        <v>176.20814078194715</v>
      </c>
      <c r="T57" s="761">
        <v>130.2321406773155</v>
      </c>
      <c r="U57" s="761">
        <v>24.27742849077493</v>
      </c>
      <c r="V57" s="761">
        <v>14.514315741402715</v>
      </c>
      <c r="W57" s="761">
        <v>2.278571367263786</v>
      </c>
      <c r="X57" s="761">
        <v>468.15499877929659</v>
      </c>
      <c r="Y57" s="761">
        <v>152.80385916573601</v>
      </c>
    </row>
    <row r="58" spans="1:25">
      <c r="A58" s="136"/>
      <c r="B58" s="138"/>
      <c r="C58" s="138"/>
      <c r="D58" s="138"/>
      <c r="E58" s="138"/>
      <c r="F58" s="138"/>
      <c r="G58" s="138"/>
      <c r="H58" s="138"/>
      <c r="I58" s="138"/>
      <c r="P58" s="584">
        <v>2</v>
      </c>
      <c r="Q58" s="761">
        <v>13.386285781428571</v>
      </c>
      <c r="R58" s="761">
        <v>6.9174285272857139</v>
      </c>
      <c r="S58" s="761">
        <v>159.75199889999999</v>
      </c>
      <c r="T58" s="761">
        <v>106.97614288285715</v>
      </c>
      <c r="U58" s="761">
        <v>30.680286678571431</v>
      </c>
      <c r="V58" s="761">
        <v>13.21958133142857</v>
      </c>
      <c r="W58" s="761">
        <v>1.8857142757142857</v>
      </c>
      <c r="X58" s="761">
        <v>213.59428187142859</v>
      </c>
      <c r="Y58" s="761">
        <v>97.949856347142855</v>
      </c>
    </row>
    <row r="59" spans="1:25">
      <c r="A59" s="136"/>
      <c r="B59" s="138"/>
      <c r="C59" s="138"/>
      <c r="D59" s="138"/>
      <c r="E59" s="138"/>
      <c r="F59" s="138"/>
      <c r="G59" s="138"/>
      <c r="H59" s="138"/>
      <c r="I59" s="138"/>
      <c r="P59" s="584">
        <v>3</v>
      </c>
      <c r="Q59" s="761">
        <v>15.196428435714285</v>
      </c>
      <c r="R59" s="761">
        <v>11.330428599714283</v>
      </c>
      <c r="S59" s="761">
        <v>243.87700107142857</v>
      </c>
      <c r="T59" s="761">
        <v>137.04186028571428</v>
      </c>
      <c r="U59" s="761">
        <v>40.240000044285715</v>
      </c>
      <c r="V59" s="761">
        <v>16.855534282857143</v>
      </c>
      <c r="W59" s="761">
        <v>6.3075712748571418</v>
      </c>
      <c r="X59" s="761">
        <v>247.26214164285713</v>
      </c>
      <c r="Y59" s="761">
        <v>78.131857190000005</v>
      </c>
    </row>
    <row r="60" spans="1:25">
      <c r="A60" s="136"/>
      <c r="B60" s="138"/>
      <c r="C60" s="138"/>
      <c r="D60" s="138"/>
      <c r="E60" s="138"/>
      <c r="F60" s="138"/>
      <c r="G60" s="138"/>
      <c r="H60" s="138"/>
      <c r="I60" s="138"/>
      <c r="P60" s="584">
        <v>4</v>
      </c>
      <c r="Q60" s="761">
        <v>16.57199968714286</v>
      </c>
      <c r="R60" s="761">
        <v>12.821999958571428</v>
      </c>
      <c r="S60" s="761">
        <v>236.61043005714285</v>
      </c>
      <c r="T60" s="761">
        <v>121.29742760000001</v>
      </c>
      <c r="U60" s="761">
        <v>26.470714297142855</v>
      </c>
      <c r="V60" s="761">
        <v>22.011848449999999</v>
      </c>
      <c r="W60" s="761">
        <v>4.3669999327142861</v>
      </c>
      <c r="X60" s="761">
        <v>212.78856985714287</v>
      </c>
      <c r="Y60" s="761">
        <v>52.875</v>
      </c>
    </row>
    <row r="61" spans="1:25">
      <c r="A61" s="136"/>
      <c r="B61" s="138"/>
      <c r="C61" s="138"/>
      <c r="D61" s="138"/>
      <c r="E61" s="138"/>
      <c r="F61" s="138"/>
      <c r="G61" s="138"/>
      <c r="H61" s="138"/>
      <c r="I61" s="138"/>
      <c r="P61" s="584">
        <v>5</v>
      </c>
      <c r="Q61" s="761">
        <v>25.675428661428576</v>
      </c>
      <c r="R61" s="761">
        <v>18.254856927142857</v>
      </c>
      <c r="S61" s="761">
        <v>392.82542635714287</v>
      </c>
      <c r="T61" s="761">
        <v>216.11300005714287</v>
      </c>
      <c r="U61" s="761">
        <v>48.707714625714289</v>
      </c>
      <c r="V61" s="761">
        <v>14.496191432857142</v>
      </c>
      <c r="W61" s="761">
        <v>2.6891428574285712</v>
      </c>
      <c r="X61" s="761">
        <v>410.15428595714286</v>
      </c>
      <c r="Y61" s="761">
        <v>99.128998899999985</v>
      </c>
    </row>
    <row r="62" spans="1:25" ht="19.2" customHeight="1">
      <c r="A62" s="136"/>
      <c r="B62" s="138"/>
      <c r="C62" s="138"/>
      <c r="D62" s="138"/>
      <c r="E62" s="138"/>
      <c r="F62" s="138"/>
      <c r="G62" s="138"/>
      <c r="H62" s="138"/>
      <c r="I62" s="138"/>
      <c r="P62" s="584">
        <v>6</v>
      </c>
      <c r="Q62" s="761">
        <v>22.638571330479174</v>
      </c>
      <c r="R62" s="761">
        <v>17.332571574619813</v>
      </c>
      <c r="S62" s="761">
        <v>448.59157017299066</v>
      </c>
      <c r="T62" s="761">
        <v>221.35714285714261</v>
      </c>
      <c r="U62" s="761">
        <v>51.925000326974022</v>
      </c>
      <c r="V62" s="761">
        <v>17.659045491899729</v>
      </c>
      <c r="W62" s="761">
        <v>9.7964284079415354</v>
      </c>
      <c r="X62" s="761">
        <v>622.45499965122758</v>
      </c>
      <c r="Y62" s="761">
        <v>151.47385733468144</v>
      </c>
    </row>
    <row r="63" spans="1:25">
      <c r="A63" s="136"/>
      <c r="B63" s="138"/>
      <c r="C63" s="138"/>
      <c r="D63" s="138"/>
      <c r="E63" s="138"/>
      <c r="F63" s="138"/>
      <c r="G63" s="138"/>
      <c r="H63" s="138"/>
      <c r="I63" s="138"/>
      <c r="P63" s="584">
        <v>7</v>
      </c>
      <c r="Q63" s="761">
        <v>24.818285805714286</v>
      </c>
      <c r="R63" s="761">
        <v>19.436000279999998</v>
      </c>
      <c r="S63" s="761">
        <v>374.25799560000002</v>
      </c>
      <c r="T63" s="761">
        <v>142.54771639999998</v>
      </c>
      <c r="U63" s="761">
        <v>37.997142247142854</v>
      </c>
      <c r="V63" s="761">
        <v>23.642735891428568</v>
      </c>
      <c r="W63" s="761">
        <v>10.810714449000001</v>
      </c>
      <c r="X63" s="761">
        <v>434.32357352857144</v>
      </c>
      <c r="Y63" s="761">
        <v>148.12728554285715</v>
      </c>
    </row>
    <row r="64" spans="1:25" ht="6" customHeight="1">
      <c r="A64" s="136"/>
      <c r="B64" s="138"/>
      <c r="C64" s="138"/>
      <c r="D64" s="138"/>
      <c r="E64" s="138"/>
      <c r="F64" s="138"/>
      <c r="G64" s="138"/>
      <c r="H64" s="138"/>
      <c r="I64" s="138"/>
      <c r="O64" s="277">
        <v>8</v>
      </c>
      <c r="P64" s="584">
        <v>8</v>
      </c>
      <c r="Q64" s="761">
        <v>16.877285957336387</v>
      </c>
      <c r="R64" s="761">
        <v>13.084142684936484</v>
      </c>
      <c r="S64" s="761">
        <v>289.19357081821948</v>
      </c>
      <c r="T64" s="761">
        <v>162.01200212751087</v>
      </c>
      <c r="U64" s="761">
        <v>30.780285699026873</v>
      </c>
      <c r="V64" s="761">
        <v>23.681545802525072</v>
      </c>
      <c r="W64" s="761">
        <v>21.290571621486073</v>
      </c>
      <c r="X64" s="761">
        <v>403.40571376255542</v>
      </c>
      <c r="Y64" s="761">
        <v>143.28899928501644</v>
      </c>
    </row>
    <row r="65" spans="1:25" ht="24.75" customHeight="1">
      <c r="A65" s="855" t="s">
        <v>541</v>
      </c>
      <c r="B65" s="855"/>
      <c r="C65" s="855"/>
      <c r="D65" s="855"/>
      <c r="E65" s="855"/>
      <c r="F65" s="855"/>
      <c r="G65" s="855"/>
      <c r="H65" s="855"/>
      <c r="I65" s="855"/>
      <c r="J65" s="855"/>
      <c r="K65" s="855"/>
      <c r="L65" s="855"/>
      <c r="P65" s="584">
        <v>9</v>
      </c>
      <c r="Q65" s="761">
        <v>20.463000162857146</v>
      </c>
      <c r="R65" s="761">
        <v>16.131428717142857</v>
      </c>
      <c r="S65" s="761">
        <v>302.38613892857137</v>
      </c>
      <c r="T65" s="761">
        <v>174.72028894285717</v>
      </c>
      <c r="U65" s="761">
        <v>36.13400023285714</v>
      </c>
      <c r="V65" s="761">
        <v>23.625475747142854</v>
      </c>
      <c r="W65" s="761">
        <v>11.064000130142858</v>
      </c>
      <c r="X65" s="761">
        <v>388.35356794285718</v>
      </c>
      <c r="Y65" s="761">
        <v>84.357999531428575</v>
      </c>
    </row>
    <row r="66" spans="1:25" ht="20.25" customHeight="1">
      <c r="P66" s="584">
        <v>10</v>
      </c>
      <c r="Q66" s="761">
        <v>20.001714159999999</v>
      </c>
      <c r="R66" s="761">
        <v>16.133428572857145</v>
      </c>
      <c r="S66" s="761">
        <v>219.49971445714283</v>
      </c>
      <c r="T66" s="761">
        <v>118.91071428571429</v>
      </c>
      <c r="U66" s="761">
        <v>22.61842863857143</v>
      </c>
      <c r="V66" s="761">
        <v>23.72583552857143</v>
      </c>
      <c r="W66" s="761">
        <v>5.0324285712857142</v>
      </c>
      <c r="X66" s="761">
        <v>317.96785625714284</v>
      </c>
      <c r="Y66" s="761">
        <v>76.472572329999977</v>
      </c>
    </row>
    <row r="67" spans="1:25">
      <c r="P67" s="584">
        <v>11</v>
      </c>
      <c r="Q67" s="761">
        <v>20.464285714285715</v>
      </c>
      <c r="R67" s="761">
        <v>16.275285719999999</v>
      </c>
      <c r="S67" s="761">
        <v>210.39014761428572</v>
      </c>
      <c r="T67" s="761">
        <v>145.36899785714286</v>
      </c>
      <c r="U67" s="761">
        <v>39.343428748571434</v>
      </c>
      <c r="V67" s="761">
        <v>23.714347295714287</v>
      </c>
      <c r="W67" s="761">
        <v>12.165999821428571</v>
      </c>
      <c r="X67" s="761">
        <v>377.62500435714281</v>
      </c>
      <c r="Y67" s="761">
        <v>110.78628649857141</v>
      </c>
    </row>
    <row r="68" spans="1:25">
      <c r="P68" s="584">
        <v>12</v>
      </c>
      <c r="Q68" s="761">
        <v>23.032714026314846</v>
      </c>
      <c r="R68" s="761">
        <v>20.180714198521169</v>
      </c>
      <c r="S68" s="761">
        <v>335.19785417829189</v>
      </c>
      <c r="T68" s="761">
        <v>171.26185716901472</v>
      </c>
      <c r="U68" s="761">
        <v>46.286999838692772</v>
      </c>
      <c r="V68" s="761">
        <v>23.623331614903002</v>
      </c>
      <c r="W68" s="761">
        <v>11.119714055742502</v>
      </c>
      <c r="X68" s="761">
        <v>380.85929216657314</v>
      </c>
      <c r="Y68" s="761">
        <v>113.32999965122723</v>
      </c>
    </row>
    <row r="69" spans="1:25">
      <c r="P69" s="584">
        <v>13</v>
      </c>
      <c r="Q69" s="761">
        <v>27.558857236589642</v>
      </c>
      <c r="R69" s="761">
        <v>21.319143022809669</v>
      </c>
      <c r="S69" s="761">
        <v>569.31741768973188</v>
      </c>
      <c r="T69" s="761">
        <v>241.59529113769531</v>
      </c>
      <c r="U69" s="761">
        <v>63.414285387311629</v>
      </c>
      <c r="V69" s="761">
        <v>22.128154209681874</v>
      </c>
      <c r="W69" s="761">
        <v>6.0048571995326432</v>
      </c>
      <c r="X69" s="761">
        <v>332.15285818917374</v>
      </c>
      <c r="Y69" s="761">
        <v>97.158571515764294</v>
      </c>
    </row>
    <row r="70" spans="1:25">
      <c r="P70" s="584">
        <v>14</v>
      </c>
      <c r="Q70" s="761">
        <v>18.795857294285714</v>
      </c>
      <c r="R70" s="761">
        <v>18.168000220000003</v>
      </c>
      <c r="S70" s="761">
        <v>298.48543221428571</v>
      </c>
      <c r="T70" s="761">
        <v>156.28586031428571</v>
      </c>
      <c r="U70" s="761">
        <v>40.567142485714285</v>
      </c>
      <c r="V70" s="761">
        <v>21.36</v>
      </c>
      <c r="W70" s="761">
        <v>4.6619999238571435</v>
      </c>
      <c r="X70" s="761">
        <v>272.16142927142863</v>
      </c>
      <c r="Y70" s="761">
        <v>87.023999895714283</v>
      </c>
    </row>
    <row r="71" spans="1:25">
      <c r="P71" s="584">
        <v>15</v>
      </c>
      <c r="Q71" s="761">
        <v>16.380999974285714</v>
      </c>
      <c r="R71" s="761">
        <v>14.786285537142858</v>
      </c>
      <c r="S71" s="761">
        <v>196.30642698571427</v>
      </c>
      <c r="T71" s="761">
        <v>126.20242854857143</v>
      </c>
      <c r="U71" s="761">
        <v>27.609000341428576</v>
      </c>
      <c r="V71" s="761">
        <v>23.601429802857144</v>
      </c>
      <c r="W71" s="761">
        <v>2.5870000464285714</v>
      </c>
      <c r="X71" s="761">
        <v>174.17928642857143</v>
      </c>
      <c r="Y71" s="761">
        <v>56.692000798571428</v>
      </c>
    </row>
    <row r="72" spans="1:25">
      <c r="O72" s="277">
        <v>16</v>
      </c>
      <c r="P72" s="584">
        <v>16</v>
      </c>
      <c r="Q72" s="761">
        <v>15.142857142857142</v>
      </c>
      <c r="R72" s="761">
        <v>11.113285608857142</v>
      </c>
      <c r="S72" s="761">
        <v>144.25785718571427</v>
      </c>
      <c r="T72" s="761">
        <v>112.32742854857143</v>
      </c>
      <c r="U72" s="761">
        <v>23.319143022857144</v>
      </c>
      <c r="V72" s="761">
        <v>16.145714351428573</v>
      </c>
      <c r="W72" s="761">
        <v>1.9568571534285717</v>
      </c>
      <c r="X72" s="761">
        <v>124.01500048571428</v>
      </c>
      <c r="Y72" s="761">
        <v>41.578285762857142</v>
      </c>
    </row>
    <row r="73" spans="1:25">
      <c r="P73" s="584">
        <v>17</v>
      </c>
      <c r="Q73" s="761">
        <v>14.535142626081141</v>
      </c>
      <c r="R73" s="761">
        <v>7.95871441704886</v>
      </c>
      <c r="S73" s="761">
        <v>118.61742946079741</v>
      </c>
      <c r="T73" s="761">
        <v>86.636999947684131</v>
      </c>
      <c r="U73" s="761">
        <v>19.662570953369116</v>
      </c>
      <c r="V73" s="761">
        <v>14.007261548723459</v>
      </c>
      <c r="W73" s="761">
        <v>2.0897142546517471</v>
      </c>
      <c r="X73" s="761">
        <v>109.72071402413471</v>
      </c>
      <c r="Y73" s="761">
        <v>32.277857099260544</v>
      </c>
    </row>
    <row r="74" spans="1:25">
      <c r="P74" s="584">
        <v>18</v>
      </c>
      <c r="Q74" s="761">
        <v>15.919285638571427</v>
      </c>
      <c r="R74" s="761">
        <v>12.133857388142859</v>
      </c>
      <c r="S74" s="761">
        <v>119.46943012857146</v>
      </c>
      <c r="T74" s="761">
        <v>95.79771531714286</v>
      </c>
      <c r="U74" s="761">
        <v>21.329571314285715</v>
      </c>
      <c r="V74" s="761">
        <v>12.484048571428572</v>
      </c>
      <c r="W74" s="761">
        <v>2.074857081857143</v>
      </c>
      <c r="X74" s="761">
        <v>121.69785745714287</v>
      </c>
      <c r="Y74" s="761">
        <v>27.218570980000003</v>
      </c>
    </row>
    <row r="75" spans="1:25">
      <c r="P75" s="584">
        <v>19</v>
      </c>
      <c r="Q75" s="761">
        <v>16.148714472857144</v>
      </c>
      <c r="R75" s="761">
        <v>14.776714189999998</v>
      </c>
      <c r="S75" s="761">
        <v>179.62085941428572</v>
      </c>
      <c r="T75" s="761">
        <v>63.654857091428575</v>
      </c>
      <c r="U75" s="761">
        <v>18.961428234285709</v>
      </c>
      <c r="V75" s="761">
        <v>11.436902861999998</v>
      </c>
      <c r="W75" s="761">
        <v>1.6491428614285712</v>
      </c>
      <c r="X75" s="761">
        <v>98.23285565285714</v>
      </c>
      <c r="Y75" s="761">
        <v>23.996714454285712</v>
      </c>
    </row>
    <row r="76" spans="1:25">
      <c r="P76" s="584">
        <v>20</v>
      </c>
      <c r="Q76" s="761">
        <v>13.91285719</v>
      </c>
      <c r="R76" s="761">
        <v>10.484285559</v>
      </c>
      <c r="S76" s="761">
        <v>132.41042655714287</v>
      </c>
      <c r="T76" s="761">
        <v>63.017857142857146</v>
      </c>
      <c r="U76" s="761">
        <v>17.724285941428572</v>
      </c>
      <c r="V76" s="761">
        <v>12.01881</v>
      </c>
      <c r="W76" s="761">
        <v>1.6491428614285712</v>
      </c>
      <c r="X76" s="761">
        <v>74.486427307142861</v>
      </c>
      <c r="Y76" s="761">
        <v>27.218570980000003</v>
      </c>
    </row>
    <row r="77" spans="1:25">
      <c r="P77" s="584">
        <v>21</v>
      </c>
      <c r="Q77" s="761">
        <v>12.832571710859</v>
      </c>
      <c r="R77" s="761">
        <v>8.7072857448032899</v>
      </c>
      <c r="S77" s="761">
        <v>118.96285901750787</v>
      </c>
      <c r="T77" s="761">
        <v>55.553428649902308</v>
      </c>
      <c r="U77" s="761">
        <v>14.547714369637587</v>
      </c>
      <c r="V77" s="761">
        <v>11.963334356035457</v>
      </c>
      <c r="W77" s="761">
        <v>1.6175714560917398</v>
      </c>
      <c r="X77" s="761">
        <v>66.354285648890865</v>
      </c>
      <c r="Y77" s="761">
        <v>17.639571326119512</v>
      </c>
    </row>
    <row r="78" spans="1:25">
      <c r="P78" s="584">
        <v>22</v>
      </c>
      <c r="Q78" s="761">
        <v>11.589857237142857</v>
      </c>
      <c r="R78" s="761">
        <v>7.6087141037142851</v>
      </c>
      <c r="S78" s="761">
        <v>92.527713229999989</v>
      </c>
      <c r="T78" s="761">
        <v>48.85114288285714</v>
      </c>
      <c r="U78" s="761">
        <v>12.851142882857143</v>
      </c>
      <c r="V78" s="761">
        <v>11.972144264285713</v>
      </c>
      <c r="W78" s="761">
        <v>1.7258571555714286</v>
      </c>
      <c r="X78" s="761">
        <v>60.742857795714293</v>
      </c>
      <c r="Y78" s="761">
        <v>13.389714241428573</v>
      </c>
    </row>
    <row r="79" spans="1:25">
      <c r="P79" s="584">
        <v>23</v>
      </c>
      <c r="Q79" s="761">
        <v>10.866000038571428</v>
      </c>
      <c r="R79" s="761">
        <v>6.6898570742857144</v>
      </c>
      <c r="S79" s="761">
        <v>86.262142725714284</v>
      </c>
      <c r="T79" s="761">
        <v>49.02971431142857</v>
      </c>
      <c r="U79" s="761">
        <v>13.300571305714286</v>
      </c>
      <c r="V79" s="761">
        <v>12.060297148571431</v>
      </c>
      <c r="W79" s="761">
        <v>2.2755714314285713</v>
      </c>
      <c r="X79" s="761">
        <v>60.932143074285719</v>
      </c>
      <c r="Y79" s="761">
        <v>13.06000001</v>
      </c>
    </row>
    <row r="80" spans="1:25">
      <c r="O80" s="277">
        <v>24</v>
      </c>
      <c r="P80" s="584">
        <v>24</v>
      </c>
      <c r="Q80" s="761">
        <v>10.893428530011814</v>
      </c>
      <c r="R80" s="761">
        <v>6.3937142235892095</v>
      </c>
      <c r="S80" s="761">
        <v>80.154999869210343</v>
      </c>
      <c r="T80" s="761">
        <v>39.363000052315797</v>
      </c>
      <c r="U80" s="761">
        <v>11.205857140677287</v>
      </c>
      <c r="V80" s="761">
        <v>12.025059972490542</v>
      </c>
      <c r="W80" s="761">
        <v>2.2755714314324473</v>
      </c>
      <c r="X80" s="761">
        <v>56.771429334367994</v>
      </c>
      <c r="Y80" s="761">
        <v>10.094714164733857</v>
      </c>
    </row>
    <row r="81" spans="15:25">
      <c r="P81" s="584">
        <v>25</v>
      </c>
      <c r="Q81" s="761">
        <v>9.7685713087142858</v>
      </c>
      <c r="R81" s="761">
        <v>5.4858571460000007</v>
      </c>
      <c r="S81" s="761">
        <v>71.438000270000003</v>
      </c>
      <c r="T81" s="761">
        <v>31.88514287142857</v>
      </c>
      <c r="U81" s="761">
        <v>9.1724285395714276</v>
      </c>
      <c r="V81" s="761">
        <v>11.867550168571428</v>
      </c>
      <c r="W81" s="761">
        <v>1.7577142885714285</v>
      </c>
      <c r="X81" s="761">
        <v>51.780714305714291</v>
      </c>
      <c r="Y81" s="761">
        <v>9.1595716474285691</v>
      </c>
    </row>
    <row r="82" spans="15:25">
      <c r="P82" s="584">
        <v>26</v>
      </c>
      <c r="Q82" s="761">
        <v>9.3011428291428579</v>
      </c>
      <c r="R82" s="761">
        <v>5.6422856875714285</v>
      </c>
      <c r="S82" s="761">
        <v>70.798141479999998</v>
      </c>
      <c r="T82" s="761">
        <v>29.80342864857143</v>
      </c>
      <c r="U82" s="761">
        <v>8.6642858641428564</v>
      </c>
      <c r="V82" s="761">
        <v>11.961507115714285</v>
      </c>
      <c r="W82" s="761">
        <v>1.7387143204285713</v>
      </c>
      <c r="X82" s="761">
        <v>47.265713828571435</v>
      </c>
      <c r="Y82" s="761">
        <v>8.8348572594285706</v>
      </c>
    </row>
    <row r="83" spans="15:25">
      <c r="P83" s="584">
        <v>27</v>
      </c>
      <c r="Q83" s="761">
        <v>9.0898572376796078</v>
      </c>
      <c r="R83" s="761">
        <v>4.8411428587777223</v>
      </c>
      <c r="S83" s="761">
        <v>72.323284694126613</v>
      </c>
      <c r="T83" s="761">
        <v>28.875142778669062</v>
      </c>
      <c r="U83" s="761">
        <v>8.3150001253400507</v>
      </c>
      <c r="V83" s="761">
        <v>12.125935554504371</v>
      </c>
      <c r="W83" s="761">
        <v>2.0545714242117699</v>
      </c>
      <c r="X83" s="761">
        <v>44.601428440638877</v>
      </c>
      <c r="Y83" s="761">
        <v>8.4665715353829452</v>
      </c>
    </row>
    <row r="84" spans="15:25">
      <c r="P84" s="584">
        <v>28</v>
      </c>
      <c r="Q84" s="761">
        <v>8.3315715788571421</v>
      </c>
      <c r="R84" s="761">
        <v>4.0902857780000001</v>
      </c>
      <c r="S84" s="761">
        <v>70.352427891428562</v>
      </c>
      <c r="T84" s="761">
        <v>27.071428571428573</v>
      </c>
      <c r="U84" s="761">
        <v>7.9792855807142846</v>
      </c>
      <c r="V84" s="761">
        <v>12.036131450000001</v>
      </c>
      <c r="W84" s="761">
        <v>1.862857103571429</v>
      </c>
      <c r="X84" s="761">
        <v>42.742857252857149</v>
      </c>
      <c r="Y84" s="761">
        <v>7.6952857290000001</v>
      </c>
    </row>
    <row r="85" spans="15:25">
      <c r="P85" s="584">
        <v>29</v>
      </c>
      <c r="Q85" s="761">
        <v>8.7399999755714273</v>
      </c>
      <c r="R85" s="761">
        <v>3.3690000857142857</v>
      </c>
      <c r="S85" s="761">
        <v>69.363000051428585</v>
      </c>
      <c r="T85" s="761">
        <v>26.369142805714286</v>
      </c>
      <c r="U85" s="761">
        <v>7.2952857698571441</v>
      </c>
      <c r="V85" s="761">
        <v>12.01250158142857</v>
      </c>
      <c r="W85" s="761">
        <v>2.1428571427142855</v>
      </c>
      <c r="X85" s="761">
        <v>40.262857164285712</v>
      </c>
      <c r="Y85" s="761">
        <v>7.1297142847142867</v>
      </c>
    </row>
    <row r="86" spans="15:25">
      <c r="P86" s="584">
        <v>30</v>
      </c>
      <c r="Q86" s="761">
        <v>8.2612857819999999</v>
      </c>
      <c r="R86" s="761">
        <v>3.9334286622857135</v>
      </c>
      <c r="S86" s="761">
        <v>68.101856775714282</v>
      </c>
      <c r="T86" s="761">
        <v>23.077571325714285</v>
      </c>
      <c r="U86" s="761">
        <v>7.5452858379999999</v>
      </c>
      <c r="V86" s="761">
        <v>12.065415654285715</v>
      </c>
      <c r="W86" s="761">
        <v>2.0148571899999999</v>
      </c>
      <c r="X86" s="761">
        <v>39.827141895714291</v>
      </c>
      <c r="Y86" s="761">
        <v>8.1214285577142853</v>
      </c>
    </row>
    <row r="87" spans="15:25">
      <c r="P87" s="584">
        <v>31</v>
      </c>
      <c r="Q87" s="761">
        <v>7.5295715331428577</v>
      </c>
      <c r="R87" s="761">
        <v>3.8718570981428577</v>
      </c>
      <c r="S87" s="761">
        <v>66.163572037142856</v>
      </c>
      <c r="T87" s="761">
        <v>20.36314283098493</v>
      </c>
      <c r="U87" s="761">
        <v>7.1267142297142865</v>
      </c>
      <c r="V87" s="761">
        <v>12.064045632857143</v>
      </c>
      <c r="W87" s="761">
        <v>2.0708571672857143</v>
      </c>
      <c r="X87" s="761">
        <v>37.761428834285709</v>
      </c>
      <c r="Y87" s="761">
        <v>8.1097143717142863</v>
      </c>
    </row>
    <row r="88" spans="15:25">
      <c r="O88" s="277">
        <v>32</v>
      </c>
      <c r="P88" s="584">
        <v>32</v>
      </c>
      <c r="Q88" s="761">
        <v>7.1332857268197154</v>
      </c>
      <c r="R88" s="761">
        <v>3.9694285733359158</v>
      </c>
      <c r="S88" s="761">
        <v>69.589143480573355</v>
      </c>
      <c r="T88" s="761">
        <v>20.36</v>
      </c>
      <c r="U88" s="761">
        <v>6.828428472791396</v>
      </c>
      <c r="V88" s="761">
        <v>11.89809417724604</v>
      </c>
      <c r="W88" s="761">
        <v>1.7728571551186658</v>
      </c>
      <c r="X88" s="761">
        <v>37.760714394705587</v>
      </c>
      <c r="Y88" s="761">
        <v>10.538714272635294</v>
      </c>
    </row>
    <row r="89" spans="15:25">
      <c r="P89" s="584">
        <v>33</v>
      </c>
      <c r="Q89" s="761">
        <v>7.307000092</v>
      </c>
      <c r="R89" s="761">
        <v>4.0542857307142848</v>
      </c>
      <c r="S89" s="761">
        <v>67.52914374142857</v>
      </c>
      <c r="T89" s="761">
        <v>23.369000025714286</v>
      </c>
      <c r="U89" s="761">
        <v>6.6690000125714279</v>
      </c>
      <c r="V89" s="761">
        <v>11.954105787142856</v>
      </c>
      <c r="W89" s="761">
        <v>1.7154285907142857</v>
      </c>
      <c r="X89" s="761">
        <v>38.402142115714284</v>
      </c>
      <c r="Y89" s="761">
        <v>6.1292857952857149</v>
      </c>
    </row>
    <row r="90" spans="15:25">
      <c r="P90" s="584">
        <v>34</v>
      </c>
      <c r="Q90" s="761">
        <v>6.8864285605714288</v>
      </c>
      <c r="R90" s="761">
        <v>3.8852857181428568</v>
      </c>
      <c r="S90" s="761">
        <v>67.307859692857136</v>
      </c>
      <c r="T90" s="761">
        <v>24.434428622857144</v>
      </c>
      <c r="U90" s="761">
        <v>6.6477142742857138</v>
      </c>
      <c r="V90" s="761">
        <v>11.958392961428572</v>
      </c>
      <c r="W90" s="761">
        <v>2.26100002</v>
      </c>
      <c r="X90" s="761">
        <v>36.792856487142856</v>
      </c>
      <c r="Y90" s="761">
        <v>6.0765714645714288</v>
      </c>
    </row>
    <row r="91" spans="15:25">
      <c r="P91" s="584">
        <v>35</v>
      </c>
      <c r="Q91" s="761">
        <v>6.9537143707275364</v>
      </c>
      <c r="R91" s="761">
        <v>3.3560000147138283</v>
      </c>
      <c r="S91" s="761">
        <v>62.870428357805473</v>
      </c>
      <c r="T91" s="761">
        <v>21.077428545270632</v>
      </c>
      <c r="U91" s="761">
        <v>6.0071428843906904</v>
      </c>
      <c r="V91" s="761">
        <v>12.309941428048228</v>
      </c>
      <c r="W91" s="761">
        <v>1.5178571258272411</v>
      </c>
      <c r="X91" s="761">
        <v>37.991428375244077</v>
      </c>
      <c r="Y91" s="761">
        <v>5.9287142923900031</v>
      </c>
    </row>
    <row r="92" spans="15:25">
      <c r="P92" s="584">
        <v>36</v>
      </c>
      <c r="Q92" s="761">
        <v>6.8990000316074882</v>
      </c>
      <c r="R92" s="761">
        <v>3.1212857110159686</v>
      </c>
      <c r="S92" s="761">
        <v>65.621286119733483</v>
      </c>
      <c r="T92" s="761">
        <v>23.857142857142815</v>
      </c>
      <c r="U92" s="761">
        <v>6.0528572627476231</v>
      </c>
      <c r="V92" s="761">
        <v>12.697084290640644</v>
      </c>
      <c r="W92" s="761">
        <v>1.0650000040020247</v>
      </c>
      <c r="X92" s="761">
        <v>40.24999999999995</v>
      </c>
      <c r="Y92" s="761">
        <v>6.6625714302062962</v>
      </c>
    </row>
    <row r="93" spans="15:25">
      <c r="P93" s="584">
        <v>37</v>
      </c>
      <c r="Q93" s="761">
        <v>6.6838571003505107</v>
      </c>
      <c r="R93" s="761">
        <v>3.6978571414947474</v>
      </c>
      <c r="S93" s="761">
        <v>65.927430289132204</v>
      </c>
      <c r="T93" s="761">
        <v>21.696428571428545</v>
      </c>
      <c r="U93" s="761">
        <v>5.992857115609298</v>
      </c>
      <c r="V93" s="761">
        <v>12.722499983651257</v>
      </c>
      <c r="W93" s="761">
        <v>1.5737142903464156</v>
      </c>
      <c r="X93" s="761">
        <v>41.220714024135006</v>
      </c>
      <c r="Y93" s="761">
        <v>6.7525714465549971</v>
      </c>
    </row>
    <row r="94" spans="15:25">
      <c r="P94" s="584">
        <v>38</v>
      </c>
      <c r="Q94" s="761">
        <v>7.5399999618530247</v>
      </c>
      <c r="R94" s="761">
        <v>4.336428608285714</v>
      </c>
      <c r="S94" s="761">
        <v>68.259427751813561</v>
      </c>
      <c r="T94" s="761">
        <v>32.958285740443614</v>
      </c>
      <c r="U94" s="761">
        <v>6.3054285049438423</v>
      </c>
      <c r="V94" s="761">
        <v>12.757261548723429</v>
      </c>
      <c r="W94" s="761">
        <v>1.6808571304593714</v>
      </c>
      <c r="X94" s="761">
        <v>38.451428549630243</v>
      </c>
      <c r="Y94" s="761">
        <v>6.3287143026079411</v>
      </c>
    </row>
    <row r="95" spans="15:25">
      <c r="P95" s="584">
        <v>39</v>
      </c>
      <c r="Q95" s="761">
        <v>6.875</v>
      </c>
      <c r="R95" s="761">
        <v>3.7</v>
      </c>
      <c r="S95" s="761">
        <v>75.159429278571437</v>
      </c>
      <c r="T95" s="761">
        <v>41.827428545714284</v>
      </c>
      <c r="U95" s="761">
        <v>7.6855713981428568</v>
      </c>
      <c r="V95" s="761">
        <v>12.744882855714284</v>
      </c>
      <c r="W95" s="761">
        <v>1.6871428661428571</v>
      </c>
      <c r="X95" s="761">
        <v>41.307143075714286</v>
      </c>
      <c r="Y95" s="761">
        <v>7.4534285069999999</v>
      </c>
    </row>
    <row r="96" spans="15:25">
      <c r="O96" s="277">
        <v>40</v>
      </c>
      <c r="P96" s="584">
        <v>40</v>
      </c>
      <c r="Q96" s="761">
        <v>6.0911429268571426</v>
      </c>
      <c r="R96" s="761">
        <v>3.501428569857143</v>
      </c>
      <c r="S96" s="761">
        <v>73.523286004285723</v>
      </c>
      <c r="T96" s="761">
        <v>30.178571428571427</v>
      </c>
      <c r="U96" s="761">
        <v>7.8047143392857157</v>
      </c>
      <c r="V96" s="761">
        <v>13.59601129857143</v>
      </c>
      <c r="W96" s="761">
        <v>1.6130000010000001</v>
      </c>
      <c r="X96" s="761">
        <v>45.036428724285713</v>
      </c>
      <c r="Y96" s="761">
        <v>6.0369999748571432</v>
      </c>
    </row>
    <row r="97" spans="14:25">
      <c r="P97" s="584">
        <v>41</v>
      </c>
      <c r="Q97" s="761">
        <v>5.8652857372857152</v>
      </c>
      <c r="R97" s="761">
        <v>4.2169999735714283</v>
      </c>
      <c r="S97" s="761">
        <v>67.761285509999993</v>
      </c>
      <c r="T97" s="761">
        <v>24.547571454285713</v>
      </c>
      <c r="U97" s="761">
        <v>6.762428624428571</v>
      </c>
      <c r="V97" s="761">
        <v>13.258037294285714</v>
      </c>
      <c r="W97" s="761">
        <v>1.8452857051428571</v>
      </c>
      <c r="X97" s="761">
        <v>44.255714417142862</v>
      </c>
      <c r="Y97" s="761">
        <v>6.8767141612857143</v>
      </c>
    </row>
    <row r="98" spans="14:25">
      <c r="P98" s="584">
        <v>42</v>
      </c>
      <c r="Q98" s="761">
        <v>6.6280000550406255</v>
      </c>
      <c r="R98" s="761">
        <v>4.7599999564034556</v>
      </c>
      <c r="S98" s="761">
        <v>71.132857186453606</v>
      </c>
      <c r="T98" s="761">
        <v>41.773857116699205</v>
      </c>
      <c r="U98" s="761">
        <v>7.8334286553519048</v>
      </c>
      <c r="V98" s="761">
        <v>12.748987061636742</v>
      </c>
      <c r="W98" s="761">
        <v>1.9990000043596503</v>
      </c>
      <c r="X98" s="761">
        <v>49.407857077462303</v>
      </c>
      <c r="Y98" s="761">
        <v>6.4478571755545433</v>
      </c>
    </row>
    <row r="99" spans="14:25">
      <c r="P99" s="584">
        <v>43</v>
      </c>
      <c r="Q99" s="761">
        <v>7.1351429394285715</v>
      </c>
      <c r="R99" s="761">
        <v>5.693714175857143</v>
      </c>
      <c r="S99" s="761">
        <v>76.869857788571409</v>
      </c>
      <c r="T99" s="761">
        <v>39.60114288285714</v>
      </c>
      <c r="U99" s="761">
        <v>6.4934286387142857</v>
      </c>
      <c r="V99" s="761">
        <v>12.771309988571426</v>
      </c>
      <c r="W99" s="761">
        <v>1.5481428758571429</v>
      </c>
      <c r="X99" s="761">
        <v>49.056428090000004</v>
      </c>
      <c r="Y99" s="761">
        <v>6.2457143240000006</v>
      </c>
    </row>
    <row r="100" spans="14:25">
      <c r="P100" s="584">
        <v>44</v>
      </c>
      <c r="Q100" s="761">
        <v>6.1070000102857147</v>
      </c>
      <c r="R100" s="761">
        <v>4.3958570957142857</v>
      </c>
      <c r="S100" s="761">
        <v>68.664999825714276</v>
      </c>
      <c r="T100" s="761">
        <v>36.702285765714286</v>
      </c>
      <c r="U100" s="761">
        <v>5.6301428931428577</v>
      </c>
      <c r="V100" s="761">
        <v>13.156308445714286</v>
      </c>
      <c r="W100" s="761">
        <v>1.4392857041428573</v>
      </c>
      <c r="X100" s="761">
        <v>48.241428374285711</v>
      </c>
      <c r="Y100" s="761">
        <v>6.5374285491428568</v>
      </c>
    </row>
    <row r="101" spans="14:25">
      <c r="P101" s="584">
        <v>45</v>
      </c>
      <c r="Q101" s="761">
        <v>5.6735714502857144</v>
      </c>
      <c r="R101" s="761">
        <v>4.5134285178571432</v>
      </c>
      <c r="S101" s="761">
        <v>62.049999781428575</v>
      </c>
      <c r="T101" s="761">
        <v>27.797571454285713</v>
      </c>
      <c r="U101" s="761">
        <v>5.3054286411428562</v>
      </c>
      <c r="V101" s="761">
        <v>12.687737055714285</v>
      </c>
      <c r="W101" s="761">
        <v>1.380714297142857</v>
      </c>
      <c r="X101" s="761">
        <v>46.33071463571428</v>
      </c>
      <c r="Y101" s="761">
        <v>6.183142798285715</v>
      </c>
    </row>
    <row r="102" spans="14:25">
      <c r="P102" s="584">
        <v>46</v>
      </c>
      <c r="Q102" s="761">
        <v>5.9637143271428581</v>
      </c>
      <c r="R102" s="761">
        <v>5.3014286587142854</v>
      </c>
      <c r="S102" s="761">
        <v>57.546571460000003</v>
      </c>
      <c r="T102" s="761">
        <v>32.208285740000001</v>
      </c>
      <c r="U102" s="761">
        <v>5.1785714285714288</v>
      </c>
      <c r="V102" s="761">
        <v>13.157975741428572</v>
      </c>
      <c r="W102" s="761">
        <v>1.3845714331428574</v>
      </c>
      <c r="X102" s="761">
        <v>44.693571362857142</v>
      </c>
      <c r="Y102" s="761">
        <v>7.3267143794285712</v>
      </c>
    </row>
    <row r="103" spans="14:25">
      <c r="P103" s="584">
        <v>47</v>
      </c>
      <c r="Q103" s="761">
        <v>6.7792857034285712</v>
      </c>
      <c r="R103" s="761">
        <v>3.8094285555714285</v>
      </c>
      <c r="S103" s="761">
        <v>56.944714135714285</v>
      </c>
      <c r="T103" s="761">
        <v>25.351285662857144</v>
      </c>
      <c r="U103" s="761">
        <v>6.1274285315714279</v>
      </c>
      <c r="V103" s="761">
        <v>12.246785572857144</v>
      </c>
      <c r="W103" s="761">
        <v>1.5065714290000003</v>
      </c>
      <c r="X103" s="761">
        <v>42.967857361428564</v>
      </c>
      <c r="Y103" s="761">
        <v>9.6325714934285713</v>
      </c>
    </row>
    <row r="104" spans="14:25">
      <c r="P104" s="584">
        <v>48</v>
      </c>
      <c r="Q104" s="761">
        <v>8.2138571738571429</v>
      </c>
      <c r="R104" s="761">
        <v>5.0787143024285717</v>
      </c>
      <c r="S104" s="761">
        <v>56.829999651428572</v>
      </c>
      <c r="T104" s="761">
        <v>37.994142805714283</v>
      </c>
      <c r="U104" s="761">
        <v>8.188285623714286</v>
      </c>
      <c r="V104" s="761">
        <v>13.367501529999998</v>
      </c>
      <c r="W104" s="761">
        <v>1.0268571504285715</v>
      </c>
      <c r="X104" s="761">
        <v>63.644285474285716</v>
      </c>
      <c r="Y104" s="761">
        <v>13.102857045714286</v>
      </c>
    </row>
    <row r="105" spans="14:25">
      <c r="P105" s="584">
        <v>49</v>
      </c>
      <c r="Q105" s="761">
        <v>17.68042864142857</v>
      </c>
      <c r="R105" s="761">
        <v>12.998142924285714</v>
      </c>
      <c r="S105" s="761">
        <v>90.966000160000007</v>
      </c>
      <c r="T105" s="761">
        <v>88.630856108571422</v>
      </c>
      <c r="U105" s="761">
        <v>14.530285971857142</v>
      </c>
      <c r="V105" s="761">
        <v>13.053452899999998</v>
      </c>
      <c r="W105" s="761">
        <v>1.0737142817142857</v>
      </c>
      <c r="X105" s="761">
        <v>90.734285625714293</v>
      </c>
      <c r="Y105" s="761">
        <v>17.667142595714285</v>
      </c>
    </row>
    <row r="106" spans="14:25">
      <c r="P106" s="584">
        <v>50</v>
      </c>
      <c r="Q106" s="761">
        <v>12.617142812857141</v>
      </c>
      <c r="R106" s="761">
        <v>11.908142771714285</v>
      </c>
      <c r="S106" s="761">
        <v>83.198000225714296</v>
      </c>
      <c r="T106" s="761">
        <v>44.297571454285716</v>
      </c>
      <c r="U106" s="761">
        <v>9.220428467142856</v>
      </c>
      <c r="V106" s="761">
        <v>13.068511554285712</v>
      </c>
      <c r="W106" s="761">
        <v>1.2921428212857144</v>
      </c>
      <c r="X106" s="761">
        <v>57.20714296714285</v>
      </c>
      <c r="Y106" s="761">
        <v>14.238999775714285</v>
      </c>
    </row>
    <row r="107" spans="14:25">
      <c r="P107" s="584">
        <v>51</v>
      </c>
      <c r="Q107" s="761">
        <v>19.502285685714288</v>
      </c>
      <c r="R107" s="761">
        <v>17.91042859142857</v>
      </c>
      <c r="S107" s="761">
        <v>93.582571842857163</v>
      </c>
      <c r="T107" s="761">
        <v>77.60742949714286</v>
      </c>
      <c r="U107" s="761">
        <v>9.7118571817142847</v>
      </c>
      <c r="V107" s="761">
        <v>12.987917082857143</v>
      </c>
      <c r="W107" s="761">
        <v>1.2780000142857142</v>
      </c>
      <c r="X107" s="761">
        <v>76.025713785714288</v>
      </c>
      <c r="Y107" s="761">
        <v>17.224714688571428</v>
      </c>
    </row>
    <row r="108" spans="14:25">
      <c r="O108" s="277">
        <v>52</v>
      </c>
      <c r="P108" s="584">
        <v>52</v>
      </c>
      <c r="Q108" s="761">
        <v>24.478714262857146</v>
      </c>
      <c r="R108" s="761">
        <v>20.052142824285713</v>
      </c>
      <c r="S108" s="761">
        <v>198.89756992857141</v>
      </c>
      <c r="T108" s="761">
        <v>158.34513965714288</v>
      </c>
      <c r="U108" s="761">
        <v>34.910285677142852</v>
      </c>
      <c r="V108" s="761">
        <v>18.967856814285714</v>
      </c>
      <c r="W108" s="761">
        <v>7.1757142371428566</v>
      </c>
      <c r="X108" s="761">
        <v>180.25785610000003</v>
      </c>
      <c r="Y108" s="761">
        <v>54.019857132857133</v>
      </c>
    </row>
    <row r="109" spans="14:25">
      <c r="N109" s="277">
        <v>2021</v>
      </c>
      <c r="P109" s="584">
        <v>1</v>
      </c>
      <c r="Q109" s="761">
        <v>32.471142904285713</v>
      </c>
      <c r="R109" s="761">
        <v>23.040428705714284</v>
      </c>
      <c r="S109" s="761">
        <v>363.19999692857135</v>
      </c>
      <c r="T109" s="761">
        <v>212.58328465714288</v>
      </c>
      <c r="U109" s="761">
        <v>44.205428261428565</v>
      </c>
      <c r="V109" s="761">
        <v>22.357858387142851</v>
      </c>
      <c r="W109" s="761">
        <v>6.7241427552857145</v>
      </c>
      <c r="X109" s="761">
        <v>233.42357307142856</v>
      </c>
      <c r="Y109" s="761">
        <v>70.259001594285721</v>
      </c>
    </row>
    <row r="110" spans="14:25">
      <c r="P110" s="584">
        <v>2</v>
      </c>
      <c r="Q110" s="761">
        <v>29.357571737142859</v>
      </c>
      <c r="R110" s="761">
        <v>22.506999971428574</v>
      </c>
      <c r="S110" s="761">
        <v>323.79400198571426</v>
      </c>
      <c r="T110" s="761">
        <v>154.41086031428571</v>
      </c>
      <c r="U110" s="761">
        <v>27.91428565857143</v>
      </c>
      <c r="V110" s="761">
        <v>16.044107027142857</v>
      </c>
      <c r="W110" s="761">
        <v>3.2384286270000002</v>
      </c>
      <c r="X110" s="761">
        <v>199.51214380000002</v>
      </c>
      <c r="Y110" s="761">
        <v>58.126999447142857</v>
      </c>
    </row>
    <row r="111" spans="14:25">
      <c r="P111" s="584">
        <v>3</v>
      </c>
      <c r="Q111" s="761">
        <v>27.718428745714288</v>
      </c>
      <c r="R111" s="761">
        <v>21.345142638571424</v>
      </c>
      <c r="S111" s="761">
        <v>401.6544320142857</v>
      </c>
      <c r="T111" s="761">
        <v>185.14285714285714</v>
      </c>
      <c r="U111" s="761">
        <v>39.37385668142857</v>
      </c>
      <c r="V111" s="761">
        <v>18.835116929999998</v>
      </c>
      <c r="W111" s="761">
        <v>6.560571466571429</v>
      </c>
      <c r="X111" s="761">
        <v>380.69428361428572</v>
      </c>
      <c r="Y111" s="761">
        <v>74.927428108571434</v>
      </c>
    </row>
    <row r="112" spans="14:25">
      <c r="P112" s="584">
        <v>4</v>
      </c>
      <c r="Q112" s="761">
        <v>30.739285877142859</v>
      </c>
      <c r="R112" s="761">
        <v>24.126143047142854</v>
      </c>
      <c r="S112" s="761">
        <v>367.00971765714274</v>
      </c>
      <c r="T112" s="761">
        <v>156.14856614285716</v>
      </c>
      <c r="U112" s="761">
        <v>23.497714179999999</v>
      </c>
      <c r="V112" s="761">
        <v>16.004641395714284</v>
      </c>
      <c r="W112" s="761">
        <v>5.1067142825714296</v>
      </c>
      <c r="X112" s="761">
        <v>322.4650006857143</v>
      </c>
      <c r="Y112" s="761">
        <v>68.394571574285706</v>
      </c>
    </row>
    <row r="113" spans="15:25">
      <c r="P113" s="584">
        <v>5</v>
      </c>
      <c r="Q113" s="761">
        <v>25.584571565714288</v>
      </c>
      <c r="R113" s="761">
        <v>22.874571391428567</v>
      </c>
      <c r="S113" s="761">
        <v>260.95085362857145</v>
      </c>
      <c r="T113" s="761">
        <v>108.66671425714286</v>
      </c>
      <c r="U113" s="761">
        <v>21.321428571428573</v>
      </c>
      <c r="V113" s="761">
        <v>16.024463924285715</v>
      </c>
      <c r="W113" s="761">
        <v>3.1654285022857147</v>
      </c>
      <c r="X113" s="761">
        <v>203.94785854285715</v>
      </c>
      <c r="Y113" s="761">
        <v>56.864572254285704</v>
      </c>
    </row>
    <row r="114" spans="15:25">
      <c r="P114" s="584">
        <v>6</v>
      </c>
      <c r="Q114" s="761">
        <v>18.677976190476191</v>
      </c>
      <c r="R114" s="761">
        <v>19.115142824285716</v>
      </c>
      <c r="S114" s="761">
        <v>266.1391427142857</v>
      </c>
      <c r="T114" s="761">
        <v>132.98228671428572</v>
      </c>
      <c r="U114" s="761">
        <v>30.396999359999999</v>
      </c>
      <c r="V114" s="761">
        <v>15.963094302857142</v>
      </c>
      <c r="W114" s="761">
        <v>5.8411428927142861</v>
      </c>
      <c r="X114" s="761">
        <v>317.90785435714287</v>
      </c>
      <c r="Y114" s="761">
        <v>60.405000412857149</v>
      </c>
    </row>
    <row r="115" spans="15:25">
      <c r="P115" s="584">
        <v>7</v>
      </c>
      <c r="Q115" s="761">
        <v>18.677976190476191</v>
      </c>
      <c r="R115" s="761">
        <v>18.677976190476191</v>
      </c>
      <c r="S115" s="761">
        <v>231.286666666667</v>
      </c>
      <c r="T115" s="761">
        <v>91.321428571428569</v>
      </c>
      <c r="U115" s="761">
        <v>18.5625</v>
      </c>
      <c r="V115" s="761">
        <v>14.07</v>
      </c>
      <c r="W115" s="761">
        <v>3.3580000000000001</v>
      </c>
      <c r="X115" s="761">
        <v>339.78</v>
      </c>
      <c r="Y115" s="761">
        <v>76.87</v>
      </c>
    </row>
    <row r="116" spans="15:25">
      <c r="P116" s="584">
        <v>8</v>
      </c>
      <c r="Q116" s="761">
        <v>15.895833333333314</v>
      </c>
      <c r="R116" s="761">
        <v>8.1069999999999993</v>
      </c>
      <c r="S116" s="761">
        <v>131.62660714285707</v>
      </c>
      <c r="T116" s="761">
        <v>104.375</v>
      </c>
      <c r="U116" s="761">
        <v>21.619</v>
      </c>
      <c r="V116" s="761">
        <v>13.162619047619055</v>
      </c>
      <c r="W116" s="761">
        <v>2.181</v>
      </c>
      <c r="X116" s="761">
        <v>264.85700000000003</v>
      </c>
      <c r="Y116" s="761">
        <v>119.958</v>
      </c>
    </row>
    <row r="117" spans="15:25">
      <c r="P117" s="584">
        <v>9</v>
      </c>
      <c r="Q117" s="761">
        <v>16.03157152448377</v>
      </c>
      <c r="R117" s="761">
        <v>10.70885712759833</v>
      </c>
      <c r="S117" s="761">
        <v>115.81614358084498</v>
      </c>
      <c r="T117" s="761">
        <v>81.571428571428527</v>
      </c>
      <c r="U117" s="761">
        <v>19.778999873570012</v>
      </c>
      <c r="V117" s="761">
        <v>11.839642660958372</v>
      </c>
      <c r="W117" s="761">
        <v>2.5798570939472714</v>
      </c>
      <c r="X117" s="761">
        <v>195.40928431919602</v>
      </c>
      <c r="Y117" s="761">
        <v>71.76285661969861</v>
      </c>
    </row>
    <row r="118" spans="15:25">
      <c r="P118" s="584">
        <v>10</v>
      </c>
      <c r="Q118" s="761">
        <v>28.276142392857142</v>
      </c>
      <c r="R118" s="761">
        <v>21.731714248571429</v>
      </c>
      <c r="S118" s="761">
        <v>254.39099884285716</v>
      </c>
      <c r="T118" s="761">
        <v>146.17256928571427</v>
      </c>
      <c r="U118" s="761">
        <v>29.352285658571429</v>
      </c>
      <c r="V118" s="761">
        <v>10.568511418142858</v>
      </c>
      <c r="W118" s="761">
        <v>2.1962857415714288</v>
      </c>
      <c r="X118" s="761">
        <v>212.2000013</v>
      </c>
      <c r="Y118" s="761">
        <v>56.04871422714286</v>
      </c>
    </row>
    <row r="119" spans="15:25">
      <c r="P119" s="584">
        <v>11</v>
      </c>
      <c r="Q119" s="761">
        <v>28.634571619999999</v>
      </c>
      <c r="R119" s="761">
        <v>21.524857657142856</v>
      </c>
      <c r="S119" s="761">
        <v>320.82542418571427</v>
      </c>
      <c r="T119" s="761">
        <v>138.12514602857144</v>
      </c>
      <c r="U119" s="761">
        <v>28.100000654285715</v>
      </c>
      <c r="V119" s="761">
        <v>11.367022922857142</v>
      </c>
      <c r="W119" s="761">
        <v>2.7152857098571426</v>
      </c>
      <c r="X119" s="761">
        <v>229.93857247142856</v>
      </c>
      <c r="Y119" s="761">
        <v>63.309571402857145</v>
      </c>
    </row>
    <row r="120" spans="15:25">
      <c r="P120" s="584">
        <v>12</v>
      </c>
      <c r="Q120" s="761">
        <v>28.223285404285715</v>
      </c>
      <c r="R120" s="761">
        <v>22.087285995714286</v>
      </c>
      <c r="S120" s="761">
        <v>295.67700197142852</v>
      </c>
      <c r="T120" s="761">
        <v>176.22028785714286</v>
      </c>
      <c r="U120" s="761">
        <v>43.393999101428577</v>
      </c>
      <c r="V120" s="761">
        <v>14.060239925714285</v>
      </c>
      <c r="W120" s="761">
        <v>3.625</v>
      </c>
      <c r="X120" s="761">
        <v>287.37429152857146</v>
      </c>
      <c r="Y120" s="761">
        <v>68.27</v>
      </c>
    </row>
    <row r="121" spans="15:25">
      <c r="O121" s="277">
        <v>13</v>
      </c>
      <c r="P121" s="584">
        <v>13</v>
      </c>
      <c r="Q121" s="761">
        <v>27.516571317142855</v>
      </c>
      <c r="R121" s="761">
        <v>23.321285792857143</v>
      </c>
      <c r="S121" s="761">
        <v>358.4028538428571</v>
      </c>
      <c r="T121" s="761">
        <v>161.61914497142857</v>
      </c>
      <c r="U121" s="761">
        <v>39.082286288571431</v>
      </c>
      <c r="V121" s="761">
        <v>20.107797215142853</v>
      </c>
      <c r="W121" s="761">
        <v>4.0744285582857147</v>
      </c>
      <c r="X121" s="761">
        <v>292.37857055714284</v>
      </c>
      <c r="Y121" s="761">
        <v>61.654713765714291</v>
      </c>
    </row>
    <row r="122" spans="15:25">
      <c r="P122" s="584">
        <v>14</v>
      </c>
      <c r="Q122" s="761">
        <v>29.126714707142856</v>
      </c>
      <c r="R122" s="761">
        <v>26.810000011428574</v>
      </c>
      <c r="S122" s="761">
        <v>415.37771607142855</v>
      </c>
      <c r="T122" s="761">
        <v>180.97614180000002</v>
      </c>
      <c r="U122" s="761">
        <v>40.325571332857145</v>
      </c>
      <c r="V122" s="761">
        <v>23.453333172857139</v>
      </c>
      <c r="W122" s="761">
        <v>2.8194285800000003</v>
      </c>
      <c r="X122" s="761">
        <v>281.81714740000001</v>
      </c>
      <c r="Y122" s="761">
        <v>68.710573468571425</v>
      </c>
    </row>
    <row r="123" spans="15:25">
      <c r="P123" s="584">
        <v>15</v>
      </c>
      <c r="Q123" s="585">
        <v>28.420428685714288</v>
      </c>
      <c r="R123" s="585">
        <v>22.159857068571426</v>
      </c>
      <c r="S123" s="585">
        <v>388.02957154285713</v>
      </c>
      <c r="T123" s="585">
        <v>187.79186137142855</v>
      </c>
      <c r="U123" s="585">
        <v>52.19757080285715</v>
      </c>
      <c r="V123" s="585">
        <v>23.194762912857147</v>
      </c>
      <c r="W123" s="585">
        <v>2.7518571105714291</v>
      </c>
      <c r="X123" s="585">
        <v>319.64357211428575</v>
      </c>
      <c r="Y123" s="585">
        <v>74.239000592857138</v>
      </c>
    </row>
    <row r="124" spans="15:25">
      <c r="P124" s="584">
        <v>16</v>
      </c>
      <c r="Q124" s="761">
        <v>21.880999702857146</v>
      </c>
      <c r="R124" s="761">
        <v>20.447000231428571</v>
      </c>
      <c r="S124" s="761">
        <v>189.56900242857142</v>
      </c>
      <c r="T124" s="761">
        <v>107.50585611428572</v>
      </c>
      <c r="U124" s="761">
        <v>28.65042877285714</v>
      </c>
      <c r="V124" s="761">
        <v>18.780238424285709</v>
      </c>
      <c r="W124" s="761">
        <v>1.8839999778571432</v>
      </c>
      <c r="X124" s="761">
        <v>174.665717</v>
      </c>
      <c r="Y124" s="761">
        <v>39.415857042857148</v>
      </c>
    </row>
    <row r="125" spans="15:25">
      <c r="P125" s="584">
        <v>17</v>
      </c>
      <c r="Q125" s="761">
        <v>18.000999994285714</v>
      </c>
      <c r="R125" s="761">
        <v>14.095428602857144</v>
      </c>
      <c r="S125" s="761">
        <v>140.97214290000002</v>
      </c>
      <c r="T125" s="761">
        <v>90.738142825714277</v>
      </c>
      <c r="U125" s="761">
        <v>20.563142504285715</v>
      </c>
      <c r="V125" s="761">
        <v>13.920417241428572</v>
      </c>
      <c r="W125" s="761">
        <v>1.7985714162857143</v>
      </c>
      <c r="X125" s="761">
        <v>112.05499922142857</v>
      </c>
      <c r="Y125" s="761">
        <v>25.886856898571434</v>
      </c>
    </row>
    <row r="126" spans="15:25">
      <c r="P126" s="584">
        <v>18</v>
      </c>
      <c r="Q126" s="761">
        <v>16.076714378571427</v>
      </c>
      <c r="R126" s="761">
        <v>12.509142604285715</v>
      </c>
      <c r="S126" s="761">
        <v>114.69700078571428</v>
      </c>
      <c r="T126" s="761">
        <v>67.130999974285714</v>
      </c>
      <c r="U126" s="761">
        <v>16.68214280285714</v>
      </c>
      <c r="V126" s="761">
        <v>10.773084301857143</v>
      </c>
      <c r="W126" s="761">
        <v>1.8058571475714285</v>
      </c>
      <c r="X126" s="761">
        <v>79.242856705714289</v>
      </c>
      <c r="Y126" s="761">
        <v>19.646428789999998</v>
      </c>
    </row>
    <row r="127" spans="15:25">
      <c r="P127" s="584">
        <v>19</v>
      </c>
      <c r="Q127" s="761">
        <v>15.213571411428573</v>
      </c>
      <c r="R127" s="761">
        <v>8.5715713499999993</v>
      </c>
      <c r="S127" s="761">
        <v>99.656284881428547</v>
      </c>
      <c r="T127" s="761">
        <v>64.428571428571431</v>
      </c>
      <c r="U127" s="761">
        <v>17.039285524285713</v>
      </c>
      <c r="V127" s="761">
        <v>11.989167077142856</v>
      </c>
      <c r="W127" s="761">
        <v>1.8551428488571429</v>
      </c>
      <c r="X127" s="761">
        <v>73.040000915714288</v>
      </c>
      <c r="Y127" s="761">
        <v>16.286999974285717</v>
      </c>
    </row>
    <row r="128" spans="15:25">
      <c r="P128" s="584">
        <v>20</v>
      </c>
      <c r="Q128" s="761">
        <v>14.241714205714286</v>
      </c>
      <c r="R128" s="761">
        <v>7.0702857972857149</v>
      </c>
      <c r="S128" s="761">
        <v>88.480572290000026</v>
      </c>
      <c r="T128" s="761">
        <v>61.482142857142854</v>
      </c>
      <c r="U128" s="761">
        <v>13.813714164285713</v>
      </c>
      <c r="V128" s="761">
        <v>12.071368352857144</v>
      </c>
      <c r="W128" s="761">
        <v>1.7121428761428572</v>
      </c>
      <c r="X128" s="761">
        <v>68.874286108571425</v>
      </c>
      <c r="Y128" s="761">
        <v>14.018428667142857</v>
      </c>
    </row>
    <row r="129" spans="15:26">
      <c r="P129" s="584">
        <v>21</v>
      </c>
      <c r="Q129" s="761">
        <v>14.091571398571428</v>
      </c>
      <c r="R129" s="761">
        <v>7.0830000470000005</v>
      </c>
      <c r="S129" s="761">
        <v>98.34657178714285</v>
      </c>
      <c r="T129" s="761">
        <v>63.72614288285714</v>
      </c>
      <c r="U129" s="761">
        <v>14.927285738571429</v>
      </c>
      <c r="V129" s="761">
        <v>12.066725457142857</v>
      </c>
      <c r="W129" s="761">
        <v>1.9470000094285715</v>
      </c>
      <c r="X129" s="761">
        <v>68.332856858571418</v>
      </c>
      <c r="Y129" s="761">
        <v>14.466285705714286</v>
      </c>
    </row>
    <row r="130" spans="15:26">
      <c r="P130" s="584">
        <v>22</v>
      </c>
      <c r="Q130" s="761">
        <v>12.206428662857144</v>
      </c>
      <c r="R130" s="761">
        <v>6.5260000228571426</v>
      </c>
      <c r="S130" s="761">
        <v>88.19400133428573</v>
      </c>
      <c r="T130" s="761">
        <v>49.041857040000004</v>
      </c>
      <c r="U130" s="761">
        <v>12.11642851</v>
      </c>
      <c r="V130" s="761">
        <v>12.046847342857143</v>
      </c>
      <c r="W130" s="761">
        <v>1.9281428372857143</v>
      </c>
      <c r="X130" s="761">
        <v>60.234999522857144</v>
      </c>
      <c r="Y130" s="761">
        <v>11.637142864285716</v>
      </c>
    </row>
    <row r="131" spans="15:26">
      <c r="P131" s="584">
        <v>23</v>
      </c>
      <c r="Q131" s="761">
        <v>10.714285714285714</v>
      </c>
      <c r="R131" s="761">
        <v>6.0984286581428568</v>
      </c>
      <c r="S131" s="761">
        <v>67.392570495714281</v>
      </c>
      <c r="T131" s="761">
        <v>49.232000077142857</v>
      </c>
      <c r="U131" s="761">
        <v>10.973142897142859</v>
      </c>
      <c r="V131" s="761">
        <v>12.030653000000001</v>
      </c>
      <c r="W131" s="761">
        <v>1.8262857195714286</v>
      </c>
      <c r="X131" s="761">
        <v>55.279285977142862</v>
      </c>
      <c r="Y131" s="761">
        <v>10.373285701857142</v>
      </c>
    </row>
    <row r="132" spans="15:26">
      <c r="P132" s="520">
        <v>24</v>
      </c>
      <c r="Q132" s="761">
        <v>10.648285731428571</v>
      </c>
      <c r="R132" s="761">
        <v>5.3554284574285722</v>
      </c>
      <c r="S132" s="761">
        <v>74.302856445714283</v>
      </c>
      <c r="T132" s="761">
        <v>54.952285765714286</v>
      </c>
      <c r="U132" s="761">
        <v>10.649856976285715</v>
      </c>
      <c r="V132" s="761">
        <v>11.902322768571427</v>
      </c>
      <c r="W132" s="761">
        <v>1.3272857154285713</v>
      </c>
      <c r="X132" s="761">
        <v>49.072856904285722</v>
      </c>
      <c r="Y132" s="761">
        <v>9.3365716934285707</v>
      </c>
    </row>
    <row r="133" spans="15:26">
      <c r="P133" s="520">
        <v>25</v>
      </c>
      <c r="Q133" s="761">
        <v>10.931000164428569</v>
      </c>
      <c r="R133" s="761">
        <v>6.0032857149999996</v>
      </c>
      <c r="S133" s="761">
        <v>70.370715551428574</v>
      </c>
      <c r="T133" s="761">
        <v>39.565571377142859</v>
      </c>
      <c r="U133" s="761">
        <v>8.8067141942857141</v>
      </c>
      <c r="V133" s="761">
        <v>11.966488567142857</v>
      </c>
      <c r="W133" s="761">
        <v>1.2890000087142857</v>
      </c>
      <c r="X133" s="761">
        <v>43.960000174285717</v>
      </c>
      <c r="Y133" s="761">
        <v>8.5024284634285721</v>
      </c>
    </row>
    <row r="134" spans="15:26">
      <c r="O134" s="277">
        <v>26</v>
      </c>
      <c r="P134" s="520">
        <v>26</v>
      </c>
      <c r="Q134" s="761">
        <v>9.871286118714286</v>
      </c>
      <c r="R134" s="761">
        <v>4.9715714455714286</v>
      </c>
      <c r="S134" s="761">
        <v>60.400571005714291</v>
      </c>
      <c r="T134" s="761">
        <v>43.083285740000001</v>
      </c>
      <c r="U134" s="761">
        <v>8.6310001098571423</v>
      </c>
      <c r="V134" s="761">
        <v>11.885477065714285</v>
      </c>
      <c r="W134" s="761">
        <v>1.732857125</v>
      </c>
      <c r="X134" s="761">
        <v>41.416428701428572</v>
      </c>
      <c r="Y134" s="761">
        <v>7.8322857448571428</v>
      </c>
    </row>
    <row r="135" spans="15:26">
      <c r="P135" s="520">
        <v>27</v>
      </c>
      <c r="Q135" s="761">
        <v>9.2658571514285715</v>
      </c>
      <c r="R135" s="761">
        <v>4.8162857462857147</v>
      </c>
      <c r="S135" s="761">
        <v>66.665999275714285</v>
      </c>
      <c r="T135" s="761">
        <v>33.029857091428575</v>
      </c>
      <c r="U135" s="761">
        <v>7.6702857698571432</v>
      </c>
      <c r="V135" s="761">
        <v>11.995894294285714</v>
      </c>
      <c r="W135" s="761">
        <v>1.8799999952857143</v>
      </c>
      <c r="X135" s="761">
        <v>38.669285909999992</v>
      </c>
      <c r="Y135" s="761">
        <v>7.0652857510000002</v>
      </c>
    </row>
    <row r="136" spans="15:26">
      <c r="P136" s="520">
        <v>28</v>
      </c>
      <c r="Q136" s="761">
        <v>8.3581429888571428</v>
      </c>
      <c r="R136" s="761">
        <v>4.1457142830000002</v>
      </c>
      <c r="S136" s="761">
        <v>66.009428840000012</v>
      </c>
      <c r="T136" s="761">
        <v>29.922571454285713</v>
      </c>
      <c r="U136" s="761">
        <v>6.9708570752857142</v>
      </c>
      <c r="V136" s="761">
        <v>11.927797181428572</v>
      </c>
      <c r="W136" s="761">
        <v>1.8718571149999998</v>
      </c>
      <c r="X136" s="761">
        <v>36.412143161428574</v>
      </c>
      <c r="Y136" s="761">
        <v>6.2407143457142853</v>
      </c>
    </row>
    <row r="137" spans="15:26">
      <c r="P137" s="520">
        <v>29</v>
      </c>
      <c r="Q137" s="761">
        <v>8.2642856324285709</v>
      </c>
      <c r="R137" s="761">
        <v>4.2404285498571426</v>
      </c>
      <c r="S137" s="761">
        <v>61.976286207142856</v>
      </c>
      <c r="T137" s="761">
        <v>30.851285662857144</v>
      </c>
      <c r="U137" s="761">
        <v>7.1941427504285702</v>
      </c>
      <c r="V137" s="761">
        <v>12.045535904285714</v>
      </c>
      <c r="W137" s="761">
        <v>1.7868571450000001</v>
      </c>
      <c r="X137" s="761">
        <v>36.787142614285713</v>
      </c>
      <c r="Y137" s="761">
        <v>6.221285752</v>
      </c>
    </row>
    <row r="138" spans="15:26">
      <c r="P138" s="520">
        <v>30</v>
      </c>
      <c r="Q138" s="761">
        <v>7.629714148142857</v>
      </c>
      <c r="R138" s="761">
        <v>3.9339999471428575</v>
      </c>
      <c r="S138" s="761">
        <v>56.385429927142859</v>
      </c>
      <c r="T138" s="761">
        <v>26.327428545714287</v>
      </c>
      <c r="U138" s="761">
        <v>6.6857143130000001</v>
      </c>
      <c r="V138" s="761">
        <v>11.927261488571427</v>
      </c>
      <c r="W138" s="761">
        <v>1.8862856968571431</v>
      </c>
      <c r="X138" s="761">
        <v>39.564285824285712</v>
      </c>
      <c r="Y138" s="761">
        <v>5.7022857667142848</v>
      </c>
    </row>
    <row r="139" spans="15:26">
      <c r="P139" s="520">
        <v>31</v>
      </c>
      <c r="Q139" s="761">
        <v>7.8445713860000001</v>
      </c>
      <c r="R139" s="761">
        <v>4.2642856665714284</v>
      </c>
      <c r="S139" s="761">
        <v>63.196000779999999</v>
      </c>
      <c r="T139" s="761">
        <v>30.940428597142859</v>
      </c>
      <c r="U139" s="761">
        <v>7.3144286019999996</v>
      </c>
      <c r="V139" s="761">
        <v>13.712319918571428</v>
      </c>
      <c r="W139" s="761">
        <v>1.8420000075714285</v>
      </c>
      <c r="X139" s="761">
        <v>41.400714874285711</v>
      </c>
      <c r="Y139" s="761">
        <v>7.1649999617142859</v>
      </c>
    </row>
    <row r="140" spans="15:26">
      <c r="P140" s="520">
        <v>32</v>
      </c>
      <c r="Q140" s="761">
        <v>7.8535714147142865</v>
      </c>
      <c r="R140" s="761">
        <v>4.0602857387142857</v>
      </c>
      <c r="S140" s="761">
        <v>61.839428492857145</v>
      </c>
      <c r="T140" s="761">
        <v>23.267714362857141</v>
      </c>
      <c r="U140" s="761">
        <v>6.1658571107142865</v>
      </c>
      <c r="V140" s="761">
        <v>13.989404405714286</v>
      </c>
      <c r="W140" s="761">
        <v>1.8741428512857143</v>
      </c>
      <c r="X140" s="761">
        <v>39.942857471428567</v>
      </c>
      <c r="Y140" s="761">
        <v>7.2785714695714301</v>
      </c>
    </row>
    <row r="141" spans="15:26">
      <c r="O141" s="277">
        <v>33</v>
      </c>
      <c r="P141" s="520">
        <v>33</v>
      </c>
      <c r="Q141" s="761">
        <v>7.8434285441428573</v>
      </c>
      <c r="R141" s="761">
        <v>3.7991428715714286</v>
      </c>
      <c r="S141" s="761">
        <v>59.987286159999996</v>
      </c>
      <c r="T141" s="761">
        <v>22.755999974285714</v>
      </c>
      <c r="U141" s="761">
        <v>5.9981428554285712</v>
      </c>
      <c r="V141" s="761">
        <v>13.973928587142856</v>
      </c>
      <c r="W141" s="761">
        <v>1.871857132285714</v>
      </c>
      <c r="X141" s="761">
        <v>37.965715135714291</v>
      </c>
      <c r="Y141" s="761">
        <v>5.154142958714286</v>
      </c>
    </row>
    <row r="142" spans="15:26">
      <c r="P142" s="520">
        <v>34</v>
      </c>
      <c r="Q142" s="761">
        <v>8.0232857294285722</v>
      </c>
      <c r="R142" s="761">
        <v>3.6017142020000001</v>
      </c>
      <c r="S142" s="761">
        <v>63.141999381428562</v>
      </c>
      <c r="T142" s="761">
        <v>21.678714208571428</v>
      </c>
      <c r="U142" s="761">
        <v>5.9428571975714277</v>
      </c>
      <c r="V142" s="761">
        <v>14.050774301428572</v>
      </c>
      <c r="W142" s="761">
        <v>1.8375714168571429</v>
      </c>
      <c r="X142" s="761">
        <v>37.97857121285714</v>
      </c>
      <c r="Y142" s="761">
        <v>6.0459999357142857</v>
      </c>
    </row>
    <row r="143" spans="15:26">
      <c r="P143" s="520">
        <v>35</v>
      </c>
      <c r="Q143" s="761">
        <v>9.1238570895714286</v>
      </c>
      <c r="R143" s="761">
        <v>6.7515713490000007</v>
      </c>
      <c r="S143" s="761">
        <v>62.449570247142852</v>
      </c>
      <c r="T143" s="761">
        <v>29.398714337142856</v>
      </c>
      <c r="U143" s="761">
        <v>5.5928570885714288</v>
      </c>
      <c r="V143" s="761">
        <v>13.988035748571429</v>
      </c>
      <c r="W143" s="761">
        <v>1.654571413857143</v>
      </c>
      <c r="X143" s="761">
        <v>37.199285234285711</v>
      </c>
      <c r="Y143" s="761">
        <v>5.7705714702857147</v>
      </c>
      <c r="Z143" s="758"/>
    </row>
    <row r="144" spans="15:26">
      <c r="P144" s="520">
        <v>36</v>
      </c>
      <c r="Q144" s="761">
        <v>8.2869999062857129</v>
      </c>
      <c r="R144" s="761">
        <v>5.5024285997142854</v>
      </c>
      <c r="S144" s="761">
        <v>62.160142081428567</v>
      </c>
      <c r="T144" s="761">
        <v>24.535714285714285</v>
      </c>
      <c r="U144" s="761">
        <v>5.7147143908571421</v>
      </c>
      <c r="V144" s="761">
        <v>13.989464348571429</v>
      </c>
      <c r="W144" s="761">
        <v>1.7275714362857142</v>
      </c>
      <c r="X144" s="761">
        <v>36.553570882857137</v>
      </c>
      <c r="Y144" s="761">
        <v>7.9151426724285718</v>
      </c>
    </row>
    <row r="145" spans="15:25">
      <c r="P145" s="520">
        <v>37</v>
      </c>
      <c r="Q145" s="761">
        <v>7.2742856564285701</v>
      </c>
      <c r="R145" s="761">
        <v>5.7037142345714287</v>
      </c>
      <c r="S145" s="761">
        <v>63.491571698571427</v>
      </c>
      <c r="T145" s="761">
        <v>33.851285662857144</v>
      </c>
      <c r="U145" s="761">
        <v>6.5815715108571435</v>
      </c>
      <c r="V145" s="761">
        <v>13.932678497142856</v>
      </c>
      <c r="W145" s="761">
        <v>1.6434285640000001</v>
      </c>
      <c r="X145" s="761">
        <v>36.635714938571432</v>
      </c>
      <c r="Y145" s="761">
        <v>5.2711429254285713</v>
      </c>
    </row>
    <row r="146" spans="15:25">
      <c r="P146" s="520">
        <v>38</v>
      </c>
      <c r="Q146" s="761">
        <v>5.7302856442857149</v>
      </c>
      <c r="R146" s="761">
        <v>4.6181428091428574</v>
      </c>
      <c r="S146" s="761">
        <v>66.366000039999989</v>
      </c>
      <c r="T146" s="761">
        <v>30.833285740000001</v>
      </c>
      <c r="U146" s="761">
        <v>6.3408571651428574</v>
      </c>
      <c r="V146" s="761">
        <v>14.030597005714284</v>
      </c>
      <c r="W146" s="761">
        <v>1.7824285711428571</v>
      </c>
      <c r="X146" s="761">
        <v>36.422143117142859</v>
      </c>
      <c r="Y146" s="761">
        <v>4.8772857188571432</v>
      </c>
    </row>
    <row r="147" spans="15:25">
      <c r="P147" s="520">
        <v>39</v>
      </c>
      <c r="Q147" s="761">
        <v>5.3494285172857152</v>
      </c>
      <c r="R147" s="761">
        <v>4.7248570578571423</v>
      </c>
      <c r="S147" s="761">
        <v>75.45028468428572</v>
      </c>
      <c r="T147" s="761">
        <v>25.431428635714287</v>
      </c>
      <c r="U147" s="761">
        <v>6.8902856279999991</v>
      </c>
      <c r="V147" s="761">
        <v>14.026608604285714</v>
      </c>
      <c r="W147" s="761">
        <v>1.7897142852857144</v>
      </c>
      <c r="X147" s="761">
        <v>36.457856858571432</v>
      </c>
      <c r="Y147" s="761">
        <v>6.1969999587142857</v>
      </c>
    </row>
    <row r="148" spans="15:25">
      <c r="P148" s="520">
        <v>40</v>
      </c>
      <c r="Q148" s="761">
        <v>5.4815714698571432</v>
      </c>
      <c r="R148" s="761">
        <v>5.3951427595714279</v>
      </c>
      <c r="S148" s="761">
        <v>78.309284754285713</v>
      </c>
      <c r="T148" s="761">
        <v>54.744000025714286</v>
      </c>
      <c r="U148" s="761">
        <v>7.7940000801428573</v>
      </c>
      <c r="V148" s="761">
        <v>14.026192801428573</v>
      </c>
      <c r="W148" s="761">
        <v>1.7887142725714287</v>
      </c>
      <c r="X148" s="761">
        <v>44.888571058571429</v>
      </c>
      <c r="Y148" s="761">
        <v>10.280285493285716</v>
      </c>
    </row>
    <row r="149" spans="15:25">
      <c r="P149" s="520">
        <v>41</v>
      </c>
      <c r="Q149" s="761">
        <v>6.414142881000001</v>
      </c>
      <c r="R149" s="761">
        <v>5.6744286329999998</v>
      </c>
      <c r="S149" s="761">
        <v>79.701571872857144</v>
      </c>
      <c r="T149" s="761">
        <v>50.934571402857145</v>
      </c>
      <c r="U149" s="761">
        <v>8.9731427602857146</v>
      </c>
      <c r="V149" s="761">
        <v>14.020297051428571</v>
      </c>
      <c r="W149" s="761">
        <v>1.4745714322857144</v>
      </c>
      <c r="X149" s="761">
        <v>49.243571144285717</v>
      </c>
      <c r="Y149" s="761">
        <v>7.658571379714286</v>
      </c>
    </row>
    <row r="150" spans="15:25">
      <c r="P150" s="520">
        <v>42</v>
      </c>
      <c r="Q150" s="761">
        <v>7.0597143174285719</v>
      </c>
      <c r="R150" s="761">
        <v>5.6411428450000001</v>
      </c>
      <c r="S150" s="761">
        <v>71.140427727142864</v>
      </c>
      <c r="T150" s="761">
        <v>43.184428622857141</v>
      </c>
      <c r="U150" s="761">
        <v>9.1315714969999995</v>
      </c>
      <c r="V150" s="761">
        <v>13.992498534285714</v>
      </c>
      <c r="W150" s="761">
        <v>1.325428571</v>
      </c>
      <c r="X150" s="761">
        <v>38.599999562857143</v>
      </c>
      <c r="Y150" s="761">
        <v>5.9647143228571426</v>
      </c>
    </row>
    <row r="151" spans="15:25">
      <c r="P151" s="520">
        <v>43</v>
      </c>
      <c r="Q151" s="761">
        <v>6.5518571988571432</v>
      </c>
      <c r="R151" s="761">
        <v>5.278142861428571</v>
      </c>
      <c r="S151" s="761">
        <v>66.382999420000004</v>
      </c>
      <c r="T151" s="761">
        <v>36.916714259999999</v>
      </c>
      <c r="U151" s="761">
        <v>8.3171428948571435</v>
      </c>
      <c r="V151" s="761">
        <v>14.015835900000001</v>
      </c>
      <c r="W151" s="761">
        <v>1.3259999922857142</v>
      </c>
      <c r="X151" s="761">
        <v>35.493572237142857</v>
      </c>
      <c r="Y151" s="761">
        <v>6.7207142624285723</v>
      </c>
    </row>
    <row r="152" spans="15:25">
      <c r="O152" s="277">
        <v>44</v>
      </c>
      <c r="P152" s="520">
        <v>44</v>
      </c>
      <c r="Q152" s="761">
        <v>6.2178571565714282</v>
      </c>
      <c r="R152" s="761">
        <v>3.7729999678571429</v>
      </c>
      <c r="S152" s="761">
        <v>67.872285570000003</v>
      </c>
      <c r="T152" s="761">
        <v>41.726285662857144</v>
      </c>
      <c r="U152" s="761">
        <v>8.7617143898571435</v>
      </c>
      <c r="V152" s="761">
        <v>13.927204130000002</v>
      </c>
      <c r="W152" s="761">
        <v>1.0918571607142857</v>
      </c>
      <c r="X152" s="761">
        <v>46.067856924285714</v>
      </c>
      <c r="Y152" s="761">
        <v>5.8240000180000004</v>
      </c>
    </row>
    <row r="153" spans="15:25">
      <c r="P153" s="520">
        <v>45</v>
      </c>
      <c r="Q153" s="761">
        <v>5.7207142285714285</v>
      </c>
      <c r="R153" s="761">
        <v>4.0865714210000004</v>
      </c>
      <c r="S153" s="761">
        <v>64.557143075714279</v>
      </c>
      <c r="T153" s="761">
        <v>47.85114288285714</v>
      </c>
      <c r="U153" s="761">
        <v>8.1029998912857142</v>
      </c>
      <c r="V153" s="761">
        <v>13.944405964285716</v>
      </c>
      <c r="W153" s="761">
        <v>1.1197142941428571</v>
      </c>
      <c r="X153" s="761">
        <v>41.25857108142857</v>
      </c>
      <c r="Y153" s="761">
        <v>7.255428586571429</v>
      </c>
    </row>
    <row r="154" spans="15:25">
      <c r="P154" s="520">
        <v>46</v>
      </c>
      <c r="Q154" s="761">
        <v>5.8224285672857139</v>
      </c>
      <c r="R154" s="761">
        <v>4.1967142989999999</v>
      </c>
      <c r="S154" s="761">
        <v>48.114428929999988</v>
      </c>
      <c r="T154" s="761">
        <v>58.976285662857144</v>
      </c>
      <c r="U154" s="761">
        <v>7.6644285747142851</v>
      </c>
      <c r="V154" s="761">
        <v>14.053689955714287</v>
      </c>
      <c r="W154" s="761">
        <v>1.2584285650000002</v>
      </c>
      <c r="X154" s="761">
        <v>59.822143555714284</v>
      </c>
      <c r="Y154" s="761">
        <v>7.569857052142857</v>
      </c>
    </row>
    <row r="155" spans="15:25">
      <c r="P155" s="520">
        <v>47</v>
      </c>
      <c r="Q155" s="761">
        <v>8.7129998894285716</v>
      </c>
      <c r="R155" s="761">
        <v>6.8662857328571425</v>
      </c>
      <c r="S155" s="761">
        <v>75.949856894285716</v>
      </c>
      <c r="T155" s="761">
        <v>107.95228576857143</v>
      </c>
      <c r="U155" s="761">
        <v>21.278142930000001</v>
      </c>
      <c r="V155" s="761">
        <v>14.02023874</v>
      </c>
      <c r="W155" s="761">
        <v>1.6037142788571426</v>
      </c>
      <c r="X155" s="761">
        <v>58.205000194285724</v>
      </c>
      <c r="Y155" s="761">
        <v>11.491143022142859</v>
      </c>
    </row>
    <row r="156" spans="15:25">
      <c r="P156" s="520">
        <v>48</v>
      </c>
      <c r="Q156" s="761">
        <v>9.7443332226190496</v>
      </c>
      <c r="R156" s="761">
        <v>7.8295714628095201</v>
      </c>
      <c r="S156" s="761">
        <v>115.94985689428501</v>
      </c>
      <c r="T156" s="761">
        <v>116.577285768571</v>
      </c>
      <c r="U156" s="761">
        <v>25.523666837380901</v>
      </c>
      <c r="V156" s="761">
        <v>14.0819443290476</v>
      </c>
      <c r="W156" s="761">
        <v>1.686999981</v>
      </c>
      <c r="X156" s="761">
        <v>108.646</v>
      </c>
      <c r="Y156" s="761">
        <v>11.491143022142859</v>
      </c>
    </row>
    <row r="157" spans="15:25">
      <c r="P157" s="520">
        <v>49</v>
      </c>
      <c r="Q157" s="761">
        <v>15.740428922857143</v>
      </c>
      <c r="R157" s="761">
        <v>16.272571155571431</v>
      </c>
      <c r="S157" s="761">
        <v>179.40442985714284</v>
      </c>
      <c r="T157" s="761">
        <v>143.97028568571429</v>
      </c>
      <c r="U157" s="761">
        <v>24.464857102857142</v>
      </c>
      <c r="V157" s="761">
        <v>14.414462907142859</v>
      </c>
      <c r="W157" s="761">
        <v>1.509857126857143</v>
      </c>
      <c r="X157" s="761">
        <v>183.08428410000002</v>
      </c>
      <c r="Y157" s="761">
        <v>11.52</v>
      </c>
    </row>
    <row r="158" spans="15:25">
      <c r="P158" s="520">
        <v>50</v>
      </c>
      <c r="Q158" s="761">
        <v>11.458857127</v>
      </c>
      <c r="R158" s="761">
        <v>8.6871428825714272</v>
      </c>
      <c r="S158" s="761">
        <v>180.05014475714285</v>
      </c>
      <c r="T158" s="761">
        <v>105.38685716857142</v>
      </c>
      <c r="U158" s="761">
        <v>15.326142855714284</v>
      </c>
      <c r="V158" s="761">
        <v>14.382619995714284</v>
      </c>
      <c r="W158" s="761">
        <v>1.5802857021428574</v>
      </c>
      <c r="X158" s="761">
        <v>192.18500408571427</v>
      </c>
      <c r="Y158" s="761">
        <v>63.42214257285714</v>
      </c>
    </row>
    <row r="159" spans="15:25">
      <c r="P159" s="520">
        <v>51</v>
      </c>
      <c r="Q159" s="761">
        <v>9.4554285322857137</v>
      </c>
      <c r="R159" s="761">
        <v>4.7284286361428576</v>
      </c>
      <c r="S159" s="761">
        <v>179.9772862142857</v>
      </c>
      <c r="T159" s="761">
        <v>14.57142870857143</v>
      </c>
      <c r="U159" s="761">
        <v>5</v>
      </c>
      <c r="V159" s="761">
        <v>13.809047154285716</v>
      </c>
      <c r="W159" s="761">
        <v>1.0052857144285714</v>
      </c>
      <c r="X159" s="761">
        <v>189.54214041428571</v>
      </c>
      <c r="Y159" s="761">
        <v>105.71028573142858</v>
      </c>
    </row>
    <row r="160" spans="15:25">
      <c r="O160" s="277">
        <v>52</v>
      </c>
      <c r="P160" s="520">
        <v>52</v>
      </c>
      <c r="Q160" s="761">
        <v>10.030285698</v>
      </c>
      <c r="R160" s="761">
        <v>6.3814284807142858</v>
      </c>
      <c r="S160" s="761">
        <v>180.17299980000001</v>
      </c>
      <c r="T160" s="761">
        <v>59.892857142857146</v>
      </c>
      <c r="U160" s="761">
        <v>9.771428653000001</v>
      </c>
      <c r="V160" s="761">
        <v>13.759048734285715</v>
      </c>
      <c r="W160" s="761">
        <v>1.2590000118571429</v>
      </c>
      <c r="X160" s="761">
        <v>169.73285565714286</v>
      </c>
      <c r="Y160" s="761">
        <v>86.07714135142858</v>
      </c>
    </row>
    <row r="161" spans="14:25">
      <c r="N161" s="277">
        <v>2022</v>
      </c>
      <c r="P161" s="584">
        <v>1</v>
      </c>
      <c r="Q161" s="761">
        <v>11.54385730142857</v>
      </c>
      <c r="R161" s="761">
        <v>6.3410000120000003</v>
      </c>
      <c r="S161" s="585">
        <v>180.25871278571432</v>
      </c>
      <c r="T161" s="585">
        <v>53.005857194285717</v>
      </c>
      <c r="U161" s="761">
        <v>8.6221429277142843</v>
      </c>
      <c r="V161" s="761">
        <v>12.151368549999999</v>
      </c>
      <c r="W161" s="761">
        <v>1.4929999965714287</v>
      </c>
      <c r="X161" s="761">
        <v>101.56500134142858</v>
      </c>
      <c r="Y161" s="761">
        <v>45.721570695714284</v>
      </c>
    </row>
    <row r="162" spans="14:25">
      <c r="P162" s="584">
        <v>2</v>
      </c>
      <c r="Q162" s="761">
        <v>10.532571247428569</v>
      </c>
      <c r="R162" s="761">
        <v>5.6152856691428568</v>
      </c>
      <c r="S162" s="585">
        <v>180.17585754285713</v>
      </c>
      <c r="T162" s="585">
        <v>85.154714317142862</v>
      </c>
      <c r="U162" s="761">
        <v>16.483285767857144</v>
      </c>
      <c r="V162" s="761">
        <v>15.379761560000002</v>
      </c>
      <c r="W162" s="761">
        <v>4.383714250142857</v>
      </c>
      <c r="X162" s="761">
        <v>191.4592830114286</v>
      </c>
      <c r="Y162" s="761">
        <v>44.29957117428571</v>
      </c>
    </row>
    <row r="163" spans="14:25">
      <c r="P163" s="584">
        <v>3</v>
      </c>
      <c r="Q163" s="761">
        <v>12.373285701428571</v>
      </c>
      <c r="R163" s="761">
        <v>6.7777144562857146</v>
      </c>
      <c r="S163" s="585">
        <v>180.45157077142858</v>
      </c>
      <c r="T163" s="585">
        <v>79.166570397142863</v>
      </c>
      <c r="U163" s="761">
        <v>14.234428677142859</v>
      </c>
      <c r="V163" s="761">
        <v>13.331011501428572</v>
      </c>
      <c r="W163" s="761">
        <v>3.4292857477142862</v>
      </c>
      <c r="X163" s="761">
        <v>222.21500070000002</v>
      </c>
      <c r="Y163" s="761">
        <v>55.850142344285707</v>
      </c>
    </row>
    <row r="164" spans="14:25">
      <c r="O164" s="762"/>
      <c r="P164" s="584">
        <v>4</v>
      </c>
      <c r="Q164" s="761">
        <v>13.78142860857143</v>
      </c>
      <c r="R164" s="761">
        <v>10.307714326428572</v>
      </c>
      <c r="S164" s="585">
        <v>200.41585867142899</v>
      </c>
      <c r="T164" s="585">
        <v>156.24399677142856</v>
      </c>
      <c r="U164" s="761">
        <v>35.655428067142857</v>
      </c>
      <c r="V164" s="761">
        <v>12.147084100000001</v>
      </c>
      <c r="W164" s="761">
        <v>5.8837143019999996</v>
      </c>
      <c r="X164" s="761">
        <v>439.25357492857148</v>
      </c>
      <c r="Y164" s="761">
        <v>129.95414407142854</v>
      </c>
    </row>
    <row r="165" spans="14:25">
      <c r="O165" s="762"/>
      <c r="P165" s="584">
        <v>5</v>
      </c>
      <c r="Q165" s="761">
        <v>16.13685744</v>
      </c>
      <c r="R165" s="761">
        <v>10.226857389000001</v>
      </c>
      <c r="S165" s="585">
        <v>288.91129194285719</v>
      </c>
      <c r="T165" s="585">
        <v>182</v>
      </c>
      <c r="U165" s="761">
        <v>43.192856380000002</v>
      </c>
      <c r="V165" s="761">
        <v>11.764999934285715</v>
      </c>
      <c r="W165" s="761">
        <v>5.8837143019999996</v>
      </c>
      <c r="X165" s="761">
        <v>404.03070942857141</v>
      </c>
      <c r="Y165" s="761">
        <v>128.39200045714284</v>
      </c>
    </row>
    <row r="166" spans="14:25">
      <c r="O166" s="762">
        <v>6</v>
      </c>
      <c r="P166" s="584">
        <v>6</v>
      </c>
      <c r="Q166" s="761">
        <v>18.235713957142856</v>
      </c>
      <c r="R166" s="761">
        <v>10.726285798285716</v>
      </c>
      <c r="S166" s="585">
        <v>435.79956928571431</v>
      </c>
      <c r="T166" s="585">
        <v>179.08343068571426</v>
      </c>
      <c r="U166" s="761">
        <v>33.553428921428569</v>
      </c>
      <c r="V166" s="761">
        <v>11.749167034285714</v>
      </c>
      <c r="W166" s="761">
        <v>5.6551427840000006</v>
      </c>
      <c r="X166" s="761">
        <v>420.1207101</v>
      </c>
      <c r="Y166" s="761">
        <v>133.21328737142855</v>
      </c>
    </row>
    <row r="167" spans="14:25">
      <c r="O167" s="762"/>
      <c r="P167" s="584">
        <v>7</v>
      </c>
      <c r="Q167" s="761">
        <v>20.117499826428599</v>
      </c>
      <c r="R167" s="761">
        <v>12.450857264642901</v>
      </c>
      <c r="S167" s="585">
        <v>435.79956928571403</v>
      </c>
      <c r="T167" s="585">
        <v>195.28190973333301</v>
      </c>
      <c r="U167" s="761">
        <v>35.365238643809498</v>
      </c>
      <c r="V167" s="761">
        <v>10.9661612507143</v>
      </c>
      <c r="W167" s="761">
        <v>2.0952857050000002</v>
      </c>
      <c r="X167" s="761">
        <v>427.15742450542803</v>
      </c>
      <c r="Y167" s="761">
        <v>133.77895393333301</v>
      </c>
    </row>
    <row r="168" spans="14:25">
      <c r="O168" s="762"/>
      <c r="P168" s="584">
        <v>8</v>
      </c>
      <c r="Q168" s="761">
        <v>25.340999875749826</v>
      </c>
      <c r="R168" s="761">
        <v>18.084142684936488</v>
      </c>
      <c r="S168" s="585">
        <v>441.50872366768942</v>
      </c>
      <c r="T168" s="585">
        <v>167.45813860212002</v>
      </c>
      <c r="U168" s="761">
        <v>52.961428506033734</v>
      </c>
      <c r="V168" s="761">
        <v>11.586785861424</v>
      </c>
      <c r="W168" s="761">
        <v>3.7204570871142901</v>
      </c>
      <c r="X168" s="761">
        <v>294.89857700892827</v>
      </c>
      <c r="Y168" s="761">
        <v>69.417142050606813</v>
      </c>
    </row>
    <row r="169" spans="14:25">
      <c r="O169" s="762"/>
      <c r="P169" s="584">
        <v>9</v>
      </c>
      <c r="Q169" s="761">
        <v>27.784285954285711</v>
      </c>
      <c r="R169" s="761">
        <v>17.056714467142857</v>
      </c>
      <c r="S169" s="585">
        <v>390.83399745714286</v>
      </c>
      <c r="T169" s="585">
        <v>152.44642748571428</v>
      </c>
      <c r="U169" s="761">
        <v>60.130286080000005</v>
      </c>
      <c r="V169" s="761">
        <v>15.540178571428571</v>
      </c>
      <c r="W169" s="761">
        <v>4.1637142385755217</v>
      </c>
      <c r="X169" s="761">
        <v>302.25500487142864</v>
      </c>
      <c r="Y169" s="761">
        <v>186.68128532857142</v>
      </c>
    </row>
    <row r="170" spans="14:25">
      <c r="O170" s="762"/>
      <c r="P170" s="584">
        <v>10</v>
      </c>
      <c r="Q170" s="761">
        <v>28.093753942631899</v>
      </c>
      <c r="R170" s="761">
        <v>19.095928647332201</v>
      </c>
      <c r="S170" s="585">
        <v>377.74852497494402</v>
      </c>
      <c r="T170" s="585">
        <v>177.15485925714287</v>
      </c>
      <c r="U170" s="761">
        <v>62.624940787617</v>
      </c>
      <c r="V170" s="761">
        <v>12.489226658966601</v>
      </c>
      <c r="W170" s="761">
        <v>4.8724285875714282</v>
      </c>
      <c r="X170" s="761">
        <v>288.89999999999998</v>
      </c>
      <c r="Y170" s="761">
        <v>146.131261154827</v>
      </c>
    </row>
    <row r="171" spans="14:25">
      <c r="O171" s="762"/>
      <c r="P171" s="584">
        <v>11</v>
      </c>
      <c r="Q171" s="761">
        <v>33.420857293265151</v>
      </c>
      <c r="R171" s="761">
        <v>21.210571697780029</v>
      </c>
      <c r="S171" s="585">
        <v>559.81058175223166</v>
      </c>
      <c r="T171" s="585">
        <v>223.70857456752233</v>
      </c>
      <c r="U171" s="761">
        <v>65.082142966134157</v>
      </c>
      <c r="V171" s="761">
        <v>15.861725670950701</v>
      </c>
      <c r="W171" s="761">
        <v>3.3848571777343723</v>
      </c>
      <c r="X171" s="761">
        <v>414.23214285714226</v>
      </c>
      <c r="Y171" s="761">
        <v>110.17142813546286</v>
      </c>
    </row>
    <row r="172" spans="14:25">
      <c r="O172" s="762"/>
      <c r="P172" s="584">
        <v>12</v>
      </c>
      <c r="Q172" s="761">
        <v>23.805857249668641</v>
      </c>
      <c r="R172" s="761">
        <v>19.053143092564113</v>
      </c>
      <c r="S172" s="585">
        <v>323.97713797432982</v>
      </c>
      <c r="T172" s="585">
        <v>151.51800210135301</v>
      </c>
      <c r="U172" s="761">
        <v>38.394142695835612</v>
      </c>
      <c r="V172" s="761">
        <v>15.601665633065315</v>
      </c>
      <c r="W172" s="761">
        <v>2.6404285430908159</v>
      </c>
      <c r="X172" s="761">
        <v>293.36786106654517</v>
      </c>
      <c r="Y172" s="761">
        <v>81.900570460728204</v>
      </c>
    </row>
    <row r="173" spans="14:25">
      <c r="O173" s="762">
        <v>13</v>
      </c>
      <c r="P173" s="584">
        <v>13</v>
      </c>
      <c r="Q173" s="761">
        <v>28.491428571428571</v>
      </c>
      <c r="R173" s="761">
        <v>22.648571428571426</v>
      </c>
      <c r="S173" s="585">
        <v>381.44857142857143</v>
      </c>
      <c r="T173" s="585">
        <v>178.99571428571431</v>
      </c>
      <c r="U173" s="761">
        <v>36.35</v>
      </c>
      <c r="V173" s="761">
        <v>14.272857142857143</v>
      </c>
      <c r="W173" s="761">
        <v>2.0657142857142858</v>
      </c>
      <c r="X173" s="761">
        <v>268.19142857142862</v>
      </c>
      <c r="Y173" s="761">
        <v>61.771428571428579</v>
      </c>
    </row>
    <row r="174" spans="14:25">
      <c r="O174" s="762"/>
      <c r="P174" s="584">
        <v>14</v>
      </c>
      <c r="Q174" s="761">
        <v>27.723999840872604</v>
      </c>
      <c r="R174" s="761">
        <v>25.617999758039169</v>
      </c>
      <c r="S174" s="585">
        <v>593.21614728655084</v>
      </c>
      <c r="T174" s="585">
        <v>183.63700212751101</v>
      </c>
      <c r="U174" s="761">
        <v>45.316000257219557</v>
      </c>
      <c r="V174" s="761">
        <v>12.459285599844744</v>
      </c>
      <c r="W174" s="761">
        <v>1.8045714242117685</v>
      </c>
      <c r="X174" s="761">
        <v>229.34857395717026</v>
      </c>
      <c r="Y174" s="761">
        <v>46.260999952043754</v>
      </c>
    </row>
    <row r="175" spans="14:25">
      <c r="O175" s="762"/>
      <c r="P175" s="584">
        <v>15</v>
      </c>
      <c r="Q175" s="761">
        <v>22.026428767142853</v>
      </c>
      <c r="R175" s="761">
        <v>20.249143055714288</v>
      </c>
      <c r="S175" s="585">
        <v>348.80585371428572</v>
      </c>
      <c r="T175" s="585">
        <v>124.73814282857143</v>
      </c>
      <c r="U175" s="761">
        <v>26.343714578571426</v>
      </c>
      <c r="V175" s="761">
        <v>12.322202818571428</v>
      </c>
      <c r="W175" s="761">
        <v>1.5654285974285713</v>
      </c>
      <c r="X175" s="761">
        <v>215.08928787142855</v>
      </c>
      <c r="Y175" s="761">
        <v>36.220571791428576</v>
      </c>
    </row>
    <row r="176" spans="14:25">
      <c r="O176" s="762"/>
      <c r="P176" s="584">
        <v>16</v>
      </c>
      <c r="Q176" s="761">
        <v>15.928285734994029</v>
      </c>
      <c r="R176" s="761">
        <v>13.163428579057927</v>
      </c>
      <c r="S176" s="585">
        <v>176.68314470563573</v>
      </c>
      <c r="T176" s="585">
        <v>78.339428492954767</v>
      </c>
      <c r="U176" s="761">
        <v>19.653713771275072</v>
      </c>
      <c r="V176" s="761">
        <v>12.955415725707971</v>
      </c>
      <c r="W176" s="761">
        <v>1.6847143173217742</v>
      </c>
      <c r="X176" s="761">
        <v>128.73071398053784</v>
      </c>
      <c r="Y176" s="761">
        <v>27.017142704554924</v>
      </c>
    </row>
    <row r="177" spans="15:25">
      <c r="O177" s="762"/>
      <c r="P177" s="584">
        <v>17</v>
      </c>
      <c r="Q177" s="761">
        <v>14.988285734993999</v>
      </c>
      <c r="R177" s="761">
        <v>14.963714392629401</v>
      </c>
      <c r="S177" s="585">
        <v>174.68314470563601</v>
      </c>
      <c r="T177" s="585">
        <v>73.639428492954806</v>
      </c>
      <c r="U177" s="761">
        <v>18.143000000000001</v>
      </c>
      <c r="V177" s="761">
        <v>13.5886286328445</v>
      </c>
      <c r="W177" s="761">
        <v>1.80400003721498</v>
      </c>
      <c r="X177" s="761">
        <v>118.43833195974599</v>
      </c>
      <c r="Y177" s="761">
        <v>26.255714235187</v>
      </c>
    </row>
    <row r="178" spans="15:25">
      <c r="O178" s="762"/>
      <c r="P178" s="584">
        <v>18</v>
      </c>
      <c r="Q178" s="761">
        <v>13.782857142857143</v>
      </c>
      <c r="R178" s="761">
        <v>9.805714285714286</v>
      </c>
      <c r="S178" s="585">
        <v>119.01714285714286</v>
      </c>
      <c r="T178" s="585">
        <v>55.180000000000007</v>
      </c>
      <c r="U178" s="761">
        <v>17.828571428571429</v>
      </c>
      <c r="V178" s="761">
        <v>12.145714285714286</v>
      </c>
      <c r="W178" s="761">
        <v>1.5071428571428569</v>
      </c>
      <c r="X178" s="761">
        <v>73.115714285714276</v>
      </c>
      <c r="Y178" s="761">
        <v>16.581428571428575</v>
      </c>
    </row>
    <row r="179" spans="15:25">
      <c r="O179" s="762"/>
      <c r="P179" s="584">
        <v>19</v>
      </c>
      <c r="Q179" s="761">
        <v>12.89642851693287</v>
      </c>
      <c r="R179" s="761">
        <v>8.2621427263532308</v>
      </c>
      <c r="S179" s="585">
        <v>110.76885659354043</v>
      </c>
      <c r="T179" s="585">
        <v>59.773714338030103</v>
      </c>
      <c r="U179" s="761">
        <v>15.455142838614288</v>
      </c>
      <c r="V179" s="761">
        <v>11.9720828192574</v>
      </c>
      <c r="W179" s="761">
        <v>1.5408571277345884</v>
      </c>
      <c r="X179" s="761">
        <v>69.296428135463117</v>
      </c>
      <c r="Y179" s="761">
        <v>69.459999084472599</v>
      </c>
    </row>
    <row r="180" spans="15:25">
      <c r="O180" s="762"/>
      <c r="P180" s="584">
        <v>20</v>
      </c>
      <c r="Q180" s="761">
        <v>12.223428453717887</v>
      </c>
      <c r="R180" s="761">
        <v>8.1970000267028773</v>
      </c>
      <c r="S180" s="585">
        <v>101.37014225551034</v>
      </c>
      <c r="T180" s="585">
        <v>76.803571428571416</v>
      </c>
      <c r="U180" s="761">
        <v>17.032571247645741</v>
      </c>
      <c r="V180" s="761">
        <v>12.044524329049228</v>
      </c>
      <c r="W180" s="761">
        <v>1.2638571347509076</v>
      </c>
      <c r="X180" s="761">
        <v>62.86000006539475</v>
      </c>
      <c r="Y180" s="761">
        <v>66.260002136230398</v>
      </c>
    </row>
    <row r="181" spans="15:25">
      <c r="O181" s="762"/>
      <c r="P181" s="584">
        <v>21</v>
      </c>
      <c r="Q181" s="761">
        <v>10.884428433009543</v>
      </c>
      <c r="R181" s="761">
        <v>7.9334286281040693</v>
      </c>
      <c r="S181" s="585">
        <v>97.459857395716909</v>
      </c>
      <c r="T181" s="585">
        <v>50.738285609653985</v>
      </c>
      <c r="U181" s="761">
        <v>13.328000204903701</v>
      </c>
      <c r="V181" s="761">
        <v>12.004824365888286</v>
      </c>
      <c r="W181" s="761">
        <v>1.5594285896846185</v>
      </c>
      <c r="X181" s="761">
        <v>54.305714198521159</v>
      </c>
      <c r="Y181" s="761">
        <v>65.75</v>
      </c>
    </row>
    <row r="182" spans="15:25">
      <c r="O182" s="762">
        <v>22</v>
      </c>
      <c r="P182" s="584">
        <v>22</v>
      </c>
      <c r="Q182" s="761">
        <v>10.348285540285715</v>
      </c>
      <c r="R182" s="761">
        <v>7.5271429334285713</v>
      </c>
      <c r="S182" s="585">
        <v>89.468571255714281</v>
      </c>
      <c r="T182" s="585">
        <v>47.993857245714288</v>
      </c>
      <c r="U182" s="761">
        <v>14.01614271</v>
      </c>
      <c r="V182" s="761">
        <v>12.003629958571429</v>
      </c>
      <c r="W182" s="761">
        <v>1.5562856965714285</v>
      </c>
      <c r="X182" s="761">
        <v>53.467142922857143</v>
      </c>
      <c r="Y182" s="761">
        <v>65.72000122</v>
      </c>
    </row>
    <row r="183" spans="15:25">
      <c r="O183" s="762"/>
      <c r="P183" s="584">
        <v>23</v>
      </c>
      <c r="Q183" s="761">
        <v>9.2024285452706458</v>
      </c>
      <c r="R183" s="761">
        <v>7.8158572060721223</v>
      </c>
      <c r="S183" s="585">
        <v>76.892712184361002</v>
      </c>
      <c r="T183" s="585">
        <v>57.958285740443614</v>
      </c>
      <c r="U183" s="761">
        <v>15.881571360996745</v>
      </c>
      <c r="V183" s="761">
        <v>11.987857137407543</v>
      </c>
      <c r="W183" s="761">
        <v>1.6308571440832915</v>
      </c>
      <c r="X183" s="761">
        <v>51.62714331490649</v>
      </c>
      <c r="Y183" s="761">
        <v>10.504285676138702</v>
      </c>
    </row>
    <row r="184" spans="15:25">
      <c r="O184" s="762"/>
      <c r="P184" s="584">
        <v>24</v>
      </c>
      <c r="Q184" s="761">
        <v>9.7554287231428578</v>
      </c>
      <c r="R184" s="761">
        <v>6.7071426938571426</v>
      </c>
      <c r="S184" s="585">
        <v>81.342571802857151</v>
      </c>
      <c r="T184" s="585">
        <v>44.565714157142857</v>
      </c>
      <c r="U184" s="761">
        <v>11.95571436</v>
      </c>
      <c r="V184" s="761">
        <v>11.995954241428569</v>
      </c>
      <c r="W184" s="761">
        <v>1.5964285474285715</v>
      </c>
      <c r="X184" s="761">
        <v>52.48000008857143</v>
      </c>
      <c r="Y184" s="761">
        <v>8.8472856794285715</v>
      </c>
    </row>
    <row r="185" spans="15:25">
      <c r="O185" s="762"/>
      <c r="P185" s="584">
        <v>25</v>
      </c>
      <c r="Q185" s="761">
        <v>9.0029998505714293</v>
      </c>
      <c r="R185" s="761">
        <v>5.0975714409999995</v>
      </c>
      <c r="S185" s="585">
        <v>74.786714827142859</v>
      </c>
      <c r="T185" s="585">
        <v>37.470142908571425</v>
      </c>
      <c r="U185" s="761">
        <v>10.698285784285716</v>
      </c>
      <c r="V185" s="761">
        <v>12.037141528571428</v>
      </c>
      <c r="W185" s="761">
        <v>1.5865714718571431</v>
      </c>
      <c r="X185" s="761">
        <v>52.899999890000004</v>
      </c>
      <c r="Y185" s="761">
        <v>7.1708572252857135</v>
      </c>
    </row>
    <row r="186" spans="15:25">
      <c r="O186" s="762"/>
      <c r="P186" s="584">
        <v>26</v>
      </c>
      <c r="Q186" s="761">
        <v>8.8088571004285718</v>
      </c>
      <c r="R186" s="761">
        <v>4.9562855787142857</v>
      </c>
      <c r="S186" s="585">
        <v>70.028570991428566</v>
      </c>
      <c r="T186" s="585">
        <v>32.059714182857142</v>
      </c>
      <c r="U186" s="761">
        <v>11.252857207571427</v>
      </c>
      <c r="V186" s="761">
        <v>12.019521304285714</v>
      </c>
      <c r="W186" s="761">
        <v>2.0531428372857143</v>
      </c>
      <c r="X186" s="761">
        <v>50.610000065714296</v>
      </c>
      <c r="Y186" s="761">
        <v>6.7431428091428582</v>
      </c>
    </row>
    <row r="187" spans="15:25">
      <c r="O187" s="762"/>
      <c r="P187" s="584">
        <v>27</v>
      </c>
      <c r="Q187" s="761">
        <v>8.6749999188571429</v>
      </c>
      <c r="R187" s="761">
        <v>5.8004284587142854</v>
      </c>
      <c r="S187" s="585">
        <v>73.483713422857136</v>
      </c>
      <c r="T187" s="585">
        <v>28.196285791428572</v>
      </c>
      <c r="U187" s="761">
        <v>8.894857134285715</v>
      </c>
      <c r="V187" s="761">
        <v>12.048987115714286</v>
      </c>
      <c r="W187" s="761">
        <v>1.7931428807142857</v>
      </c>
      <c r="X187" s="761">
        <v>39.56999969571428</v>
      </c>
      <c r="Y187" s="761">
        <v>6.9555713788571438</v>
      </c>
    </row>
    <row r="188" spans="15:25">
      <c r="O188" s="762"/>
      <c r="P188" s="584">
        <v>28</v>
      </c>
      <c r="Q188" s="761">
        <v>8.5319998604285718</v>
      </c>
      <c r="R188" s="761">
        <v>4.793428557285714</v>
      </c>
      <c r="S188" s="585">
        <v>71.609712874285705</v>
      </c>
      <c r="T188" s="585">
        <v>29.315428597142859</v>
      </c>
      <c r="U188" s="761">
        <v>8.5744282858571417</v>
      </c>
      <c r="V188" s="761">
        <v>13.016607148571428</v>
      </c>
      <c r="W188" s="761">
        <v>1.5484285694285713</v>
      </c>
      <c r="X188" s="761">
        <v>37.367143358571425</v>
      </c>
      <c r="Y188" s="761">
        <v>7.7912856511428572</v>
      </c>
    </row>
    <row r="189" spans="15:25">
      <c r="O189" s="762"/>
      <c r="P189" s="584">
        <v>29</v>
      </c>
      <c r="Q189" s="761">
        <v>7.5015713146754646</v>
      </c>
      <c r="R189" s="761">
        <v>4.1201429026467418</v>
      </c>
      <c r="S189" s="585">
        <v>70.704857962472062</v>
      </c>
      <c r="T189" s="585">
        <v>28.869000026157888</v>
      </c>
      <c r="U189" s="761">
        <v>8.3951428277151887</v>
      </c>
      <c r="V189" s="761">
        <v>11.558748653956785</v>
      </c>
      <c r="W189" s="761">
        <v>1.8301428726741213</v>
      </c>
      <c r="X189" s="761">
        <v>34.207142421177402</v>
      </c>
      <c r="Y189" s="761">
        <v>7.1859999213899801</v>
      </c>
    </row>
    <row r="190" spans="15:25">
      <c r="O190" s="762"/>
      <c r="P190" s="584">
        <v>30</v>
      </c>
      <c r="Q190" s="761">
        <v>6.9631428037142857</v>
      </c>
      <c r="R190" s="761">
        <v>3.7525714465714288</v>
      </c>
      <c r="S190" s="585">
        <v>70.704857962857133</v>
      </c>
      <c r="T190" s="585">
        <v>27.43799999714286</v>
      </c>
      <c r="U190" s="761">
        <v>8.4329999515714285</v>
      </c>
      <c r="V190" s="761">
        <v>11.530537195714285</v>
      </c>
      <c r="W190" s="761">
        <v>1.7351428440000001</v>
      </c>
      <c r="X190" s="761">
        <v>33.177856990000002</v>
      </c>
      <c r="Y190" s="761">
        <v>10.289285525142857</v>
      </c>
    </row>
    <row r="191" spans="15:25">
      <c r="O191" s="762"/>
      <c r="P191" s="584">
        <v>31</v>
      </c>
      <c r="Q191" s="761">
        <v>6.8165713718959227</v>
      </c>
      <c r="R191" s="761">
        <v>3.3494285855974431</v>
      </c>
      <c r="S191" s="585">
        <v>63.379999978201695</v>
      </c>
      <c r="T191" s="585">
        <v>26.440285818917356</v>
      </c>
      <c r="U191" s="761">
        <v>7.6332857949393071</v>
      </c>
      <c r="V191" s="761">
        <v>13.242675645010754</v>
      </c>
      <c r="W191" s="761">
        <v>1.6478571380887672</v>
      </c>
      <c r="X191" s="761">
        <v>31.918571744646293</v>
      </c>
      <c r="Y191" s="761">
        <v>7.0418571063450344</v>
      </c>
    </row>
    <row r="192" spans="15:25">
      <c r="O192" s="762"/>
      <c r="P192" s="584">
        <v>32</v>
      </c>
      <c r="Q192" s="761">
        <v>6.7767143249511674</v>
      </c>
      <c r="R192" s="761">
        <v>3.2958571570260142</v>
      </c>
      <c r="S192" s="585">
        <v>71.012714930943048</v>
      </c>
      <c r="T192" s="585">
        <v>46.172571454729322</v>
      </c>
      <c r="U192" s="761">
        <v>10.471999985831093</v>
      </c>
      <c r="V192" s="761">
        <v>14.178215708051356</v>
      </c>
      <c r="W192" s="761">
        <v>1.7564285823277028</v>
      </c>
      <c r="X192" s="761">
        <v>36.164285932268385</v>
      </c>
      <c r="Y192" s="761">
        <v>6.8281428813934264</v>
      </c>
    </row>
    <row r="193" spans="15:25">
      <c r="O193" s="762"/>
      <c r="P193" s="584">
        <v>33</v>
      </c>
      <c r="Q193" s="761">
        <v>6.6272856167142846</v>
      </c>
      <c r="R193" s="761">
        <v>3.2975714547142858</v>
      </c>
      <c r="S193" s="585">
        <v>68.504143305714294</v>
      </c>
      <c r="T193" s="585">
        <v>27.946428571428573</v>
      </c>
      <c r="U193" s="761">
        <v>7.9560000554285706</v>
      </c>
      <c r="V193" s="761">
        <v>14.038035665714288</v>
      </c>
      <c r="W193" s="761">
        <v>1.7424285411428571</v>
      </c>
      <c r="X193" s="761">
        <v>35.879999975714291</v>
      </c>
      <c r="Y193" s="761">
        <v>5.7674285684285715</v>
      </c>
    </row>
    <row r="194" spans="15:25">
      <c r="O194" s="762">
        <v>34</v>
      </c>
      <c r="P194" s="584">
        <v>34</v>
      </c>
      <c r="Q194" s="761">
        <v>6.5701428822857153</v>
      </c>
      <c r="R194" s="761">
        <v>3.5422857148571425</v>
      </c>
      <c r="S194" s="585">
        <v>67.757142747142865</v>
      </c>
      <c r="T194" s="585">
        <v>25.892714362857141</v>
      </c>
      <c r="U194" s="761">
        <v>7.6575713838571433</v>
      </c>
      <c r="V194" s="761">
        <v>13.967680111428573</v>
      </c>
      <c r="W194" s="761">
        <v>1.731428572</v>
      </c>
      <c r="X194" s="761">
        <v>38.545714242857137</v>
      </c>
      <c r="Y194" s="761">
        <v>2.1432857171428572</v>
      </c>
    </row>
    <row r="195" spans="15:25">
      <c r="O195" s="762"/>
      <c r="P195" s="584">
        <v>35</v>
      </c>
      <c r="Q195" s="761">
        <v>6.5428572382245695</v>
      </c>
      <c r="R195" s="761">
        <v>3.660142830439971</v>
      </c>
      <c r="S195" s="585">
        <v>64.803571428571402</v>
      </c>
      <c r="T195" s="585">
        <v>24.232000078473732</v>
      </c>
      <c r="U195" s="761">
        <v>6.8082856450762028</v>
      </c>
      <c r="V195" s="761">
        <v>14.05898720877507</v>
      </c>
      <c r="W195" s="761">
        <v>1.7037142855780412</v>
      </c>
      <c r="X195" s="761">
        <v>40.62499999999995</v>
      </c>
      <c r="Y195" s="761">
        <v>7.1627143110547582</v>
      </c>
    </row>
    <row r="196" spans="15:25">
      <c r="O196" s="762"/>
      <c r="P196" s="584">
        <v>36</v>
      </c>
      <c r="Q196" s="761">
        <v>6.3227143287142855</v>
      </c>
      <c r="R196" s="761">
        <v>4.3679998937142859</v>
      </c>
      <c r="S196" s="585">
        <v>61.738000054285713</v>
      </c>
      <c r="T196" s="585">
        <v>22.238142831428572</v>
      </c>
      <c r="U196" s="761">
        <v>6.3390000000000004</v>
      </c>
      <c r="V196" s="761">
        <v>14.080715725714285</v>
      </c>
      <c r="W196" s="761">
        <v>1.4800000019999999</v>
      </c>
      <c r="X196" s="761">
        <v>39.675715311428569</v>
      </c>
      <c r="Y196" s="761">
        <v>5.1081428868571424</v>
      </c>
    </row>
    <row r="197" spans="15:25">
      <c r="O197" s="762"/>
      <c r="P197" s="584">
        <v>37</v>
      </c>
      <c r="Q197" s="761">
        <v>6.2865810394126704</v>
      </c>
      <c r="R197" s="761">
        <v>3.77252543796107</v>
      </c>
      <c r="S197" s="585">
        <v>59.887714115714203</v>
      </c>
      <c r="T197" s="585">
        <v>22.866306149296399</v>
      </c>
      <c r="U197" s="761">
        <v>5.7651427948238201</v>
      </c>
      <c r="V197" s="761">
        <v>14.0125123574527</v>
      </c>
      <c r="W197" s="761">
        <v>1.63901983647542</v>
      </c>
      <c r="X197" s="761">
        <v>42.048215323571398</v>
      </c>
      <c r="Y197" s="761">
        <v>5.8057857581702397</v>
      </c>
    </row>
    <row r="198" spans="15:25">
      <c r="O198" s="762"/>
      <c r="P198" s="584">
        <v>38</v>
      </c>
      <c r="Q198" s="761">
        <v>5.793857097625728</v>
      </c>
      <c r="R198" s="761">
        <v>4.5530000073569106</v>
      </c>
      <c r="S198" s="585">
        <v>64.924144199916256</v>
      </c>
      <c r="T198" s="585">
        <v>29.702428545270628</v>
      </c>
      <c r="U198" s="761">
        <v>6.6742858205522735</v>
      </c>
      <c r="V198" s="761">
        <v>13.981904302324526</v>
      </c>
      <c r="W198" s="761">
        <v>1.5090000288827028</v>
      </c>
      <c r="X198" s="761">
        <v>43.403571537562748</v>
      </c>
      <c r="Y198" s="761">
        <v>6.7047142982482857</v>
      </c>
    </row>
    <row r="199" spans="15:25">
      <c r="O199" s="762"/>
      <c r="P199" s="584">
        <v>39</v>
      </c>
      <c r="Q199" s="761">
        <v>5.9811427934285719</v>
      </c>
      <c r="R199" s="761">
        <v>3.9475713797142857</v>
      </c>
      <c r="S199" s="585">
        <v>70.514285495714276</v>
      </c>
      <c r="T199" s="585">
        <v>38.059571402857145</v>
      </c>
      <c r="U199" s="761">
        <v>7.1607142177142862</v>
      </c>
      <c r="V199" s="761">
        <v>14.00559575142857</v>
      </c>
      <c r="W199" s="761">
        <v>1.4841428652857143</v>
      </c>
      <c r="X199" s="761">
        <v>39.662857054285716</v>
      </c>
      <c r="Y199" s="761">
        <v>3.8321428128571426</v>
      </c>
    </row>
    <row r="200" spans="15:25">
      <c r="O200" s="762"/>
      <c r="P200" s="584">
        <v>40</v>
      </c>
      <c r="Q200" s="761">
        <v>5.635571479797358</v>
      </c>
      <c r="R200" s="761">
        <v>4.196571486336838</v>
      </c>
      <c r="S200" s="585">
        <v>63.012999943324473</v>
      </c>
      <c r="T200" s="585">
        <v>36.791714259556329</v>
      </c>
      <c r="U200" s="761">
        <v>7.419142927442274</v>
      </c>
      <c r="V200" s="761">
        <v>14.040832792009573</v>
      </c>
      <c r="W200" s="761">
        <v>1.3278571452413228</v>
      </c>
      <c r="X200" s="761">
        <v>38.878571646554072</v>
      </c>
      <c r="Y200" s="761">
        <v>6.02885715450559</v>
      </c>
    </row>
    <row r="201" spans="15:25">
      <c r="O201" s="762"/>
      <c r="P201" s="584">
        <v>41</v>
      </c>
      <c r="Q201" s="761">
        <v>5.5000561646503403</v>
      </c>
      <c r="R201" s="761">
        <v>4.2840944572134498</v>
      </c>
      <c r="S201" s="585">
        <v>66.388028771146395</v>
      </c>
      <c r="T201" s="585">
        <v>43.221755070626699</v>
      </c>
      <c r="U201" s="761">
        <v>6.8784286265785504</v>
      </c>
      <c r="V201" s="761">
        <v>14.068372771605899</v>
      </c>
      <c r="W201" s="761">
        <v>1.3502551701649099</v>
      </c>
      <c r="X201" s="761">
        <v>39.9741191131004</v>
      </c>
      <c r="Y201" s="761">
        <v>6.1968265237028799</v>
      </c>
    </row>
    <row r="202" spans="15:25">
      <c r="O202" s="762"/>
      <c r="P202" s="584">
        <v>42</v>
      </c>
      <c r="Q202" s="761">
        <v>4.9938571794285718</v>
      </c>
      <c r="R202" s="761">
        <v>4</v>
      </c>
      <c r="S202" s="585">
        <v>62.769999368571426</v>
      </c>
      <c r="T202" s="585">
        <v>38</v>
      </c>
      <c r="U202" s="761">
        <v>9.4662852974285716</v>
      </c>
      <c r="V202" s="761">
        <v>14.016308650000001</v>
      </c>
      <c r="W202" s="761">
        <v>1.3397142717142856</v>
      </c>
      <c r="X202" s="761">
        <v>40.656428200000001</v>
      </c>
      <c r="Y202" s="761">
        <v>9.5699999659999992</v>
      </c>
    </row>
    <row r="203" spans="15:25">
      <c r="O203" s="762"/>
      <c r="P203" s="584">
        <v>43</v>
      </c>
      <c r="Q203" s="761">
        <v>5.6268571444920088</v>
      </c>
      <c r="R203" s="761">
        <v>4.612428597041534</v>
      </c>
      <c r="S203" s="585">
        <v>52.281571524483752</v>
      </c>
      <c r="T203" s="585">
        <v>34.410571507045155</v>
      </c>
      <c r="U203" s="761">
        <v>5.7607142584664448</v>
      </c>
      <c r="V203" s="761">
        <v>14.078072684151758</v>
      </c>
      <c r="W203" s="761">
        <v>1.3554285253797185</v>
      </c>
      <c r="X203" s="761">
        <v>41.783572060721227</v>
      </c>
      <c r="Y203" s="761">
        <v>9.7359999247959532</v>
      </c>
    </row>
    <row r="204" spans="15:25">
      <c r="O204" s="762">
        <v>44</v>
      </c>
      <c r="P204" s="584">
        <v>44</v>
      </c>
      <c r="Q204" s="761">
        <v>5.2291429382857144</v>
      </c>
      <c r="R204" s="761">
        <v>4.4097143239999994</v>
      </c>
      <c r="S204" s="585">
        <v>53.939428057142855</v>
      </c>
      <c r="T204" s="585">
        <v>27.107142857142858</v>
      </c>
      <c r="U204" s="761">
        <v>5.9262857437142857</v>
      </c>
      <c r="V204" s="761">
        <v>13.987262724285713</v>
      </c>
      <c r="W204" s="761">
        <v>1.3972857167142858</v>
      </c>
      <c r="X204" s="761">
        <v>40.991428375714285</v>
      </c>
      <c r="Y204" s="761">
        <v>9.787285668857141</v>
      </c>
    </row>
    <row r="205" spans="15:25">
      <c r="O205" s="762"/>
      <c r="P205" s="584">
        <v>45</v>
      </c>
      <c r="Q205" s="761">
        <v>5.4345714705330943</v>
      </c>
      <c r="R205" s="761">
        <v>3.90100002288818</v>
      </c>
      <c r="S205" s="585">
        <v>62.510428837367428</v>
      </c>
      <c r="T205" s="585">
        <v>29.329142979213128</v>
      </c>
      <c r="U205" s="761">
        <v>5.2147143227713402</v>
      </c>
      <c r="V205" s="761">
        <v>13.874702862330802</v>
      </c>
      <c r="W205" s="761">
        <v>1.3508571045739299</v>
      </c>
      <c r="X205" s="761">
        <v>40.139285496302975</v>
      </c>
      <c r="Y205" s="761">
        <v>8.3278572218758669</v>
      </c>
    </row>
    <row r="206" spans="15:25">
      <c r="O206" s="762"/>
      <c r="P206" s="584">
        <v>46</v>
      </c>
      <c r="Q206" s="761">
        <v>5.3250000135714286</v>
      </c>
      <c r="R206" s="761">
        <v>3.9275713648571431</v>
      </c>
      <c r="S206" s="585">
        <v>53.200286319999996</v>
      </c>
      <c r="T206" s="585">
        <v>26.72028568857143</v>
      </c>
      <c r="U206" s="761">
        <v>6.1838571684285712</v>
      </c>
      <c r="V206" s="761">
        <v>14.021962847142857</v>
      </c>
      <c r="W206" s="761">
        <v>1.3508571042857143</v>
      </c>
      <c r="X206" s="761">
        <v>39.383571627142864</v>
      </c>
      <c r="Y206" s="761">
        <v>8.9714284620000004</v>
      </c>
    </row>
    <row r="207" spans="15:25">
      <c r="O207" s="762"/>
      <c r="P207" s="584">
        <v>47</v>
      </c>
      <c r="Q207" s="761">
        <v>5.2195714201245949</v>
      </c>
      <c r="R207" s="761">
        <v>4.3361428805759958</v>
      </c>
      <c r="S207" s="585">
        <v>58.334714617047958</v>
      </c>
      <c r="T207" s="585">
        <v>27.404714311872173</v>
      </c>
      <c r="U207" s="761">
        <v>5.6749998501368912</v>
      </c>
      <c r="V207" s="761">
        <v>12.869702747889887</v>
      </c>
      <c r="W207" s="761">
        <v>1.3509999513626101</v>
      </c>
      <c r="X207" s="761">
        <v>41.750000544956698</v>
      </c>
      <c r="Y207" s="761">
        <v>7.719999926430833</v>
      </c>
    </row>
    <row r="208" spans="15:25">
      <c r="O208" s="762"/>
      <c r="P208" s="584">
        <v>48</v>
      </c>
      <c r="Q208" s="761">
        <v>5.7077142170497295</v>
      </c>
      <c r="R208" s="761">
        <v>4.0250000272478319</v>
      </c>
      <c r="S208" s="585">
        <v>50.089571816580602</v>
      </c>
      <c r="T208" s="585">
        <v>25.464285714285698</v>
      </c>
      <c r="U208" s="761">
        <v>5.2590000288827037</v>
      </c>
      <c r="V208" s="761">
        <v>12.914761407034687</v>
      </c>
      <c r="W208" s="761">
        <v>1.3509999513626101</v>
      </c>
      <c r="X208" s="761">
        <v>40.275714329310787</v>
      </c>
      <c r="Y208" s="761">
        <v>9.8602855546133554</v>
      </c>
    </row>
    <row r="209" spans="15:25">
      <c r="O209" s="762"/>
      <c r="P209" s="584">
        <v>49</v>
      </c>
      <c r="Q209" s="761">
        <v>6.1595714432857145</v>
      </c>
      <c r="R209" s="761">
        <v>3.979571376428571</v>
      </c>
      <c r="S209" s="585">
        <v>60.034714289999997</v>
      </c>
      <c r="T209" s="585">
        <v>26.208285740000001</v>
      </c>
      <c r="U209" s="761">
        <v>4.6138571330000007</v>
      </c>
      <c r="V209" s="761">
        <v>13.072690148571429</v>
      </c>
      <c r="W209" s="761">
        <v>1.3818571054285713</v>
      </c>
      <c r="X209" s="761">
        <v>41.965714589999997</v>
      </c>
      <c r="Y209" s="761">
        <v>10.514714377142857</v>
      </c>
    </row>
    <row r="210" spans="15:25">
      <c r="O210" s="762"/>
      <c r="P210" s="584">
        <v>50</v>
      </c>
      <c r="Q210" s="761">
        <v>8.2302858491428559</v>
      </c>
      <c r="R210" s="761">
        <v>4.227428538571429</v>
      </c>
      <c r="S210" s="585">
        <v>60.558143069999993</v>
      </c>
      <c r="T210" s="585">
        <v>47.559571402857145</v>
      </c>
      <c r="U210" s="761">
        <v>9.325571467571427</v>
      </c>
      <c r="V210" s="761">
        <v>12.378569737142858</v>
      </c>
      <c r="W210" s="761">
        <v>2.3402857100000003</v>
      </c>
      <c r="X210" s="761">
        <v>44.681428635714283</v>
      </c>
      <c r="Y210" s="761">
        <v>13.792428560000001</v>
      </c>
    </row>
    <row r="211" spans="15:25">
      <c r="O211" s="762"/>
      <c r="P211" s="584">
        <v>51</v>
      </c>
      <c r="Q211" s="761">
        <v>8.6974285665714284</v>
      </c>
      <c r="R211" s="761">
        <v>4.2828571114285712</v>
      </c>
      <c r="S211" s="585">
        <v>76.682998657142861</v>
      </c>
      <c r="T211" s="585">
        <v>47.559571402857145</v>
      </c>
      <c r="U211" s="761">
        <v>9.325571467571427</v>
      </c>
      <c r="V211" s="761">
        <v>13.595178467142858</v>
      </c>
      <c r="W211" s="761">
        <v>2.1075714314285716</v>
      </c>
      <c r="X211" s="761">
        <v>58.199286324285715</v>
      </c>
      <c r="Y211" s="761">
        <v>17.965714182857145</v>
      </c>
    </row>
    <row r="212" spans="15:25">
      <c r="O212" s="762">
        <v>52</v>
      </c>
      <c r="P212" s="584">
        <v>52</v>
      </c>
      <c r="Q212" s="761">
        <v>12.067857061428571</v>
      </c>
      <c r="R212" s="761">
        <v>5.9124286172857135</v>
      </c>
      <c r="S212" s="585">
        <v>82.013715471428569</v>
      </c>
      <c r="T212" s="585">
        <v>71.637142725714284</v>
      </c>
      <c r="U212" s="761">
        <v>27.029714380142856</v>
      </c>
      <c r="V212" s="761">
        <v>13.134585518571429</v>
      </c>
      <c r="W212" s="761">
        <v>1.4207143104285713</v>
      </c>
      <c r="X212" s="761">
        <v>49.959429059999998</v>
      </c>
      <c r="Y212" s="761">
        <v>13.465142795714286</v>
      </c>
    </row>
    <row r="213" spans="15:25">
      <c r="O213" s="762"/>
      <c r="P213" s="584"/>
    </row>
    <row r="214" spans="15:25">
      <c r="O214" s="762"/>
      <c r="Q214" s="762" t="s">
        <v>260</v>
      </c>
      <c r="R214" s="762" t="s">
        <v>261</v>
      </c>
      <c r="S214" s="762" t="s">
        <v>262</v>
      </c>
      <c r="T214" s="762" t="s">
        <v>263</v>
      </c>
      <c r="U214" s="762" t="s">
        <v>264</v>
      </c>
      <c r="V214" s="762" t="s">
        <v>265</v>
      </c>
      <c r="W214" s="762" t="s">
        <v>266</v>
      </c>
      <c r="X214" s="762" t="s">
        <v>267</v>
      </c>
      <c r="Y214" s="762" t="s">
        <v>268</v>
      </c>
    </row>
    <row r="215" spans="15:25">
      <c r="O215" s="762"/>
    </row>
    <row r="216" spans="15:25">
      <c r="O216" s="762"/>
    </row>
    <row r="264" spans="16:25">
      <c r="P264" s="584"/>
      <c r="Q264" s="761"/>
      <c r="R264" s="761"/>
      <c r="S264" s="761"/>
      <c r="T264" s="761"/>
      <c r="U264" s="761"/>
      <c r="V264" s="761"/>
      <c r="W264" s="761"/>
      <c r="X264" s="761"/>
      <c r="Y264" s="761"/>
    </row>
    <row r="268" spans="16:25">
      <c r="P268" s="584"/>
      <c r="Q268" s="761"/>
      <c r="R268" s="761"/>
      <c r="S268" s="761"/>
      <c r="T268" s="761"/>
      <c r="U268" s="761"/>
      <c r="V268" s="761"/>
      <c r="W268" s="761"/>
      <c r="X268" s="761"/>
      <c r="Y268" s="761"/>
    </row>
    <row r="269" spans="16:25">
      <c r="P269" s="584"/>
      <c r="Q269" s="761"/>
      <c r="R269" s="761"/>
      <c r="S269" s="761"/>
      <c r="T269" s="761"/>
      <c r="U269" s="761"/>
      <c r="V269" s="761"/>
      <c r="W269" s="761"/>
      <c r="X269" s="761"/>
      <c r="Y269" s="761"/>
    </row>
    <row r="270" spans="16:25">
      <c r="P270" s="584"/>
      <c r="Q270" s="761"/>
      <c r="R270" s="761"/>
      <c r="S270" s="761"/>
      <c r="T270" s="761"/>
      <c r="U270" s="761"/>
      <c r="V270" s="761"/>
      <c r="W270" s="761"/>
      <c r="X270" s="761"/>
      <c r="Y270" s="761"/>
    </row>
    <row r="271" spans="16:25">
      <c r="P271" s="584"/>
      <c r="Q271" s="761"/>
      <c r="R271" s="761"/>
      <c r="S271" s="761"/>
      <c r="T271" s="761"/>
      <c r="U271" s="761"/>
      <c r="V271" s="761"/>
      <c r="W271" s="761"/>
      <c r="X271" s="761"/>
      <c r="Y271" s="761"/>
    </row>
    <row r="272" spans="16:25">
      <c r="P272" s="584"/>
      <c r="Q272" s="761"/>
      <c r="R272" s="761"/>
      <c r="S272" s="763"/>
      <c r="T272" s="761"/>
      <c r="U272" s="761"/>
      <c r="V272" s="761"/>
      <c r="W272" s="761"/>
      <c r="X272" s="761"/>
      <c r="Y272" s="761"/>
    </row>
    <row r="273" spans="16:25">
      <c r="P273" s="584"/>
      <c r="Q273" s="761"/>
      <c r="R273" s="761"/>
      <c r="S273" s="763"/>
      <c r="T273" s="761"/>
      <c r="U273" s="761"/>
      <c r="V273" s="761"/>
      <c r="W273" s="761"/>
      <c r="X273" s="761"/>
      <c r="Y273" s="761"/>
    </row>
    <row r="274" spans="16:25">
      <c r="P274" s="584"/>
      <c r="Q274" s="761"/>
      <c r="R274" s="761"/>
      <c r="S274" s="763"/>
      <c r="T274" s="761"/>
      <c r="U274" s="761"/>
      <c r="V274" s="761"/>
      <c r="W274" s="761"/>
      <c r="X274" s="761"/>
      <c r="Y274" s="761"/>
    </row>
    <row r="275" spans="16:25">
      <c r="P275" s="584"/>
      <c r="Q275" s="761"/>
      <c r="R275" s="761"/>
      <c r="S275" s="763"/>
      <c r="T275" s="761"/>
      <c r="U275" s="761"/>
      <c r="V275" s="761"/>
      <c r="W275" s="761"/>
      <c r="X275" s="761"/>
      <c r="Y275" s="761"/>
    </row>
    <row r="276" spans="16:25">
      <c r="P276" s="584"/>
      <c r="Q276" s="761"/>
      <c r="R276" s="761"/>
      <c r="S276" s="763"/>
      <c r="T276" s="761"/>
      <c r="U276" s="761"/>
      <c r="V276" s="761"/>
      <c r="W276" s="761"/>
      <c r="X276" s="761"/>
      <c r="Y276" s="761"/>
    </row>
    <row r="277" spans="16:25">
      <c r="P277" s="584"/>
      <c r="Q277" s="761"/>
      <c r="R277" s="761"/>
      <c r="S277" s="761"/>
      <c r="T277" s="761"/>
      <c r="U277" s="761"/>
      <c r="V277" s="761"/>
      <c r="W277" s="761"/>
      <c r="X277" s="761"/>
      <c r="Y277" s="761"/>
    </row>
    <row r="278" spans="16:25">
      <c r="P278" s="584"/>
      <c r="Q278" s="761"/>
      <c r="R278" s="761"/>
      <c r="S278" s="761"/>
      <c r="T278" s="761"/>
      <c r="U278" s="761"/>
      <c r="V278" s="761"/>
      <c r="W278" s="761"/>
      <c r="X278" s="761"/>
      <c r="Y278" s="761"/>
    </row>
    <row r="279" spans="16:25">
      <c r="P279" s="584"/>
      <c r="Q279" s="761"/>
      <c r="R279" s="761"/>
      <c r="S279" s="761"/>
      <c r="T279" s="761"/>
      <c r="U279" s="761"/>
      <c r="V279" s="761"/>
      <c r="W279" s="761"/>
      <c r="X279" s="761"/>
      <c r="Y279" s="761"/>
    </row>
    <row r="280" spans="16:25">
      <c r="P280" s="584"/>
      <c r="Q280" s="761"/>
      <c r="R280" s="761"/>
      <c r="S280" s="761"/>
      <c r="T280" s="761"/>
      <c r="U280" s="761"/>
      <c r="V280" s="761"/>
      <c r="W280" s="761"/>
      <c r="X280" s="761"/>
      <c r="Y280" s="761"/>
    </row>
    <row r="281" spans="16:25">
      <c r="P281" s="584"/>
      <c r="Q281" s="761"/>
      <c r="R281" s="761"/>
      <c r="S281" s="761"/>
      <c r="T281" s="761"/>
      <c r="U281" s="761"/>
      <c r="V281" s="761"/>
      <c r="W281" s="761"/>
      <c r="X281" s="761"/>
      <c r="Y281" s="761"/>
    </row>
    <row r="282" spans="16:25">
      <c r="P282" s="584"/>
      <c r="Q282" s="761"/>
      <c r="R282" s="761"/>
      <c r="S282" s="761"/>
      <c r="T282" s="761"/>
      <c r="U282" s="761"/>
      <c r="V282" s="761"/>
      <c r="W282" s="761"/>
      <c r="X282" s="761"/>
      <c r="Y282" s="761"/>
    </row>
    <row r="283" spans="16:25">
      <c r="P283" s="584"/>
      <c r="Q283" s="761"/>
      <c r="R283" s="761"/>
      <c r="S283" s="761"/>
      <c r="T283" s="761"/>
      <c r="U283" s="761"/>
      <c r="V283" s="761"/>
      <c r="W283" s="761"/>
      <c r="X283" s="761"/>
      <c r="Y283" s="761"/>
    </row>
    <row r="284" spans="16:25">
      <c r="P284" s="584"/>
      <c r="Q284" s="761"/>
      <c r="R284" s="761"/>
      <c r="S284" s="761"/>
      <c r="T284" s="761"/>
      <c r="U284" s="761"/>
      <c r="V284" s="761"/>
      <c r="W284" s="761"/>
      <c r="X284" s="761"/>
      <c r="Y284" s="761"/>
    </row>
    <row r="285" spans="16:25">
      <c r="P285" s="584"/>
      <c r="Q285" s="761"/>
      <c r="R285" s="761"/>
      <c r="S285" s="761"/>
      <c r="T285" s="761"/>
      <c r="U285" s="761"/>
      <c r="V285" s="761"/>
      <c r="W285" s="761"/>
      <c r="X285" s="761"/>
      <c r="Y285" s="761"/>
    </row>
    <row r="286" spans="16:25">
      <c r="P286" s="584"/>
      <c r="Q286" s="761"/>
      <c r="R286" s="761"/>
      <c r="S286" s="761"/>
      <c r="T286" s="761"/>
      <c r="U286" s="761"/>
      <c r="V286" s="761"/>
      <c r="W286" s="761"/>
      <c r="X286" s="761"/>
      <c r="Y286" s="761"/>
    </row>
    <row r="287" spans="16:25">
      <c r="P287" s="584"/>
      <c r="Q287" s="761"/>
      <c r="R287" s="761"/>
      <c r="S287" s="761"/>
      <c r="T287" s="761"/>
      <c r="U287" s="761"/>
      <c r="V287" s="761"/>
      <c r="W287" s="761"/>
      <c r="X287" s="761"/>
      <c r="Y287" s="761"/>
    </row>
    <row r="288" spans="16:25">
      <c r="P288" s="584"/>
      <c r="Q288" s="761"/>
      <c r="R288" s="761"/>
      <c r="S288" s="761"/>
      <c r="T288" s="761"/>
      <c r="U288" s="761"/>
      <c r="V288" s="761"/>
      <c r="W288" s="761"/>
      <c r="X288" s="761"/>
      <c r="Y288" s="761"/>
    </row>
    <row r="289" spans="16:25">
      <c r="P289" s="584"/>
      <c r="Q289" s="761"/>
      <c r="R289" s="761"/>
      <c r="S289" s="761"/>
      <c r="T289" s="761"/>
      <c r="U289" s="761"/>
      <c r="V289" s="761"/>
      <c r="W289" s="761"/>
      <c r="X289" s="761"/>
      <c r="Y289" s="761"/>
    </row>
    <row r="290" spans="16:25">
      <c r="P290" s="584"/>
      <c r="Q290" s="761"/>
      <c r="R290" s="761"/>
      <c r="S290" s="761"/>
      <c r="T290" s="761"/>
      <c r="U290" s="761"/>
      <c r="V290" s="761"/>
      <c r="W290" s="761"/>
      <c r="X290" s="761"/>
      <c r="Y290" s="761"/>
    </row>
    <row r="291" spans="16:25">
      <c r="P291" s="584"/>
      <c r="Q291" s="761"/>
      <c r="R291" s="761"/>
      <c r="S291" s="761"/>
      <c r="T291" s="761"/>
      <c r="U291" s="761"/>
      <c r="V291" s="761"/>
      <c r="W291" s="761"/>
      <c r="X291" s="761"/>
      <c r="Y291" s="761"/>
    </row>
    <row r="292" spans="16:25">
      <c r="P292" s="584"/>
      <c r="Q292" s="761"/>
      <c r="R292" s="761"/>
      <c r="S292" s="761"/>
      <c r="T292" s="761"/>
      <c r="U292" s="761"/>
      <c r="V292" s="761"/>
      <c r="W292" s="761"/>
      <c r="X292" s="761"/>
      <c r="Y292" s="761"/>
    </row>
    <row r="293" spans="16:25">
      <c r="P293" s="584"/>
      <c r="Q293" s="761"/>
      <c r="R293" s="761"/>
      <c r="S293" s="761"/>
      <c r="T293" s="761"/>
      <c r="U293" s="761"/>
      <c r="V293" s="761"/>
      <c r="W293" s="761"/>
      <c r="X293" s="761"/>
      <c r="Y293" s="761"/>
    </row>
    <row r="294" spans="16:25">
      <c r="P294" s="584"/>
      <c r="Q294" s="761"/>
      <c r="R294" s="761"/>
      <c r="S294" s="761"/>
      <c r="T294" s="761"/>
      <c r="U294" s="761"/>
      <c r="V294" s="761"/>
      <c r="W294" s="761"/>
      <c r="X294" s="761"/>
      <c r="Y294" s="761"/>
    </row>
    <row r="295" spans="16:25">
      <c r="P295" s="584"/>
      <c r="Q295" s="761"/>
      <c r="R295" s="761"/>
      <c r="S295" s="761"/>
      <c r="T295" s="761"/>
      <c r="U295" s="761"/>
      <c r="V295" s="761"/>
      <c r="W295" s="761"/>
      <c r="X295" s="761"/>
      <c r="Y295" s="761"/>
    </row>
    <row r="296" spans="16:25">
      <c r="P296" s="584"/>
      <c r="Q296" s="761"/>
      <c r="R296" s="761"/>
      <c r="S296" s="761"/>
      <c r="T296" s="761"/>
      <c r="U296" s="761"/>
      <c r="V296" s="761"/>
      <c r="W296" s="761"/>
      <c r="X296" s="761"/>
      <c r="Y296" s="761"/>
    </row>
    <row r="297" spans="16:25">
      <c r="P297" s="584"/>
      <c r="Q297" s="761"/>
      <c r="R297" s="761"/>
      <c r="S297" s="761"/>
      <c r="T297" s="761"/>
      <c r="U297" s="761"/>
      <c r="V297" s="761"/>
      <c r="W297" s="761"/>
      <c r="X297" s="761"/>
      <c r="Y297" s="761"/>
    </row>
    <row r="298" spans="16:25">
      <c r="P298" s="584"/>
    </row>
  </sheetData>
  <mergeCells count="3">
    <mergeCell ref="A65:L65"/>
    <mergeCell ref="A40:L40"/>
    <mergeCell ref="A18:L18"/>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K58" sqref="K58"/>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8"/>
    <col min="13" max="13" width="20.42578125" style="520" customWidth="1"/>
    <col min="14" max="15" width="9.28515625" style="277"/>
    <col min="16" max="19" width="9.28515625" style="668"/>
    <col min="20" max="21" width="9.28515625" style="548"/>
  </cols>
  <sheetData>
    <row r="1" spans="1:15" ht="11.25" customHeight="1"/>
    <row r="2" spans="1:15" ht="11.25" customHeight="1">
      <c r="A2" s="859" t="s">
        <v>436</v>
      </c>
      <c r="B2" s="859"/>
      <c r="C2" s="859"/>
      <c r="D2" s="859"/>
      <c r="E2" s="859"/>
      <c r="F2" s="859"/>
      <c r="G2" s="859"/>
      <c r="H2" s="859"/>
      <c r="I2" s="859"/>
      <c r="J2" s="859"/>
      <c r="K2" s="859"/>
    </row>
    <row r="3" spans="1:15" ht="11.25" customHeight="1">
      <c r="A3" s="18"/>
      <c r="B3" s="18"/>
      <c r="C3" s="18"/>
      <c r="D3" s="18"/>
      <c r="E3" s="18"/>
      <c r="F3" s="18"/>
      <c r="G3" s="18"/>
      <c r="H3" s="18"/>
      <c r="I3" s="18"/>
      <c r="J3" s="511"/>
      <c r="K3" s="511"/>
      <c r="L3" s="670"/>
    </row>
    <row r="4" spans="1:15" ht="11.25" customHeight="1">
      <c r="A4" s="845" t="s">
        <v>376</v>
      </c>
      <c r="B4" s="845"/>
      <c r="C4" s="845"/>
      <c r="D4" s="845"/>
      <c r="E4" s="845"/>
      <c r="F4" s="845"/>
      <c r="G4" s="845"/>
      <c r="H4" s="845"/>
      <c r="I4" s="183"/>
      <c r="J4" s="512"/>
      <c r="L4" s="670"/>
    </row>
    <row r="5" spans="1:15" ht="7.5" customHeight="1">
      <c r="A5" s="184"/>
      <c r="B5" s="184"/>
      <c r="C5" s="184"/>
      <c r="D5" s="184"/>
      <c r="E5" s="184"/>
      <c r="F5" s="184"/>
      <c r="G5" s="184"/>
      <c r="H5" s="184"/>
      <c r="I5" s="184"/>
      <c r="J5" s="513"/>
      <c r="L5" s="729"/>
    </row>
    <row r="6" spans="1:15" ht="11.25" customHeight="1">
      <c r="A6" s="184"/>
      <c r="B6" s="188" t="s">
        <v>377</v>
      </c>
      <c r="C6" s="184"/>
      <c r="D6" s="184"/>
      <c r="E6" s="184"/>
      <c r="F6" s="184"/>
      <c r="G6" s="184"/>
      <c r="H6" s="184"/>
      <c r="I6" s="184"/>
      <c r="J6" s="513"/>
      <c r="L6" s="730"/>
    </row>
    <row r="7" spans="1:15" ht="7.5" customHeight="1">
      <c r="A7" s="184"/>
      <c r="B7" s="185"/>
      <c r="C7" s="184"/>
      <c r="D7" s="184"/>
      <c r="E7" s="184"/>
      <c r="F7" s="184"/>
      <c r="G7" s="184"/>
      <c r="H7" s="184"/>
      <c r="I7" s="184"/>
      <c r="J7" s="513"/>
      <c r="L7" s="731"/>
    </row>
    <row r="8" spans="1:15" ht="21" customHeight="1">
      <c r="A8" s="184"/>
      <c r="B8" s="379" t="s">
        <v>160</v>
      </c>
      <c r="C8" s="380" t="s">
        <v>161</v>
      </c>
      <c r="D8" s="380" t="s">
        <v>162</v>
      </c>
      <c r="E8" s="380" t="s">
        <v>164</v>
      </c>
      <c r="F8" s="380" t="s">
        <v>163</v>
      </c>
      <c r="G8" s="381" t="s">
        <v>165</v>
      </c>
      <c r="H8" s="180"/>
      <c r="I8" s="180"/>
      <c r="J8" s="514"/>
      <c r="L8" s="732"/>
      <c r="M8" s="521" t="s">
        <v>161</v>
      </c>
      <c r="N8" s="549" t="str">
        <f>M8&amp;"
 ("&amp;ROUND(HLOOKUP(M8,$C$8:$G$9,2,0),2)&amp;" USD/MWh)"</f>
        <v>PIURA OESTE 220
 (96,85 USD/MWh)</v>
      </c>
    </row>
    <row r="9" spans="1:15" ht="18" customHeight="1">
      <c r="A9" s="184"/>
      <c r="B9" s="382" t="s">
        <v>166</v>
      </c>
      <c r="C9" s="266">
        <v>96.852659608983174</v>
      </c>
      <c r="D9" s="266">
        <v>95.033385428101923</v>
      </c>
      <c r="E9" s="266">
        <v>92.999882365908093</v>
      </c>
      <c r="F9" s="266">
        <v>92.092265070124483</v>
      </c>
      <c r="G9" s="266">
        <v>93.482551256826184</v>
      </c>
      <c r="H9" s="180"/>
      <c r="I9" s="180"/>
      <c r="J9" s="514"/>
      <c r="K9" s="514"/>
      <c r="L9" s="732"/>
      <c r="M9" s="521" t="s">
        <v>162</v>
      </c>
      <c r="N9" s="549" t="str">
        <f>M9&amp;"
("&amp;ROUND(HLOOKUP(M9,$C$8:$G$9,2,0),2)&amp;" USD/MWh)"</f>
        <v>CHICLAYO 220
(95,03 USD/MWh)</v>
      </c>
    </row>
    <row r="10" spans="1:15" ht="14.25" customHeight="1">
      <c r="A10" s="184"/>
      <c r="B10" s="883" t="str">
        <f>"Cuadro N°11: Valor de los costos marginales medios registrados en las principales barras del área norte durante el mes de "&amp;'1. Resumen'!Q4</f>
        <v>Cuadro N°11: Valor de los costos marginales medios registrados en las principales barras del área norte durante el mes de diciembe</v>
      </c>
      <c r="C10" s="883"/>
      <c r="D10" s="883"/>
      <c r="E10" s="883"/>
      <c r="F10" s="883"/>
      <c r="G10" s="883"/>
      <c r="H10" s="883"/>
      <c r="I10" s="883"/>
      <c r="J10" s="514"/>
      <c r="K10" s="514"/>
      <c r="L10" s="732"/>
      <c r="M10" s="521" t="s">
        <v>164</v>
      </c>
      <c r="N10" s="549" t="str">
        <f>M10&amp;"
("&amp;ROUND(HLOOKUP(M10,$C$8:$G$9,2,0),2)&amp;" USD/MWh)"</f>
        <v>TRUJILLO 220
(93 USD/MWh)</v>
      </c>
    </row>
    <row r="11" spans="1:15" ht="11.25" customHeight="1">
      <c r="A11" s="184"/>
      <c r="B11" s="191"/>
      <c r="C11" s="180"/>
      <c r="D11" s="180"/>
      <c r="E11" s="180"/>
      <c r="F11" s="180"/>
      <c r="G11" s="180"/>
      <c r="H11" s="180"/>
      <c r="I11" s="180"/>
      <c r="J11" s="514"/>
      <c r="K11" s="514"/>
      <c r="L11" s="732"/>
      <c r="M11" s="521" t="s">
        <v>163</v>
      </c>
      <c r="N11" s="549" t="str">
        <f>M11&amp;"
("&amp;ROUND(HLOOKUP(M11,$C$8:$G$9,2,0),2)&amp;" USD/MWh)"</f>
        <v>CHIMBOTE1 138
(92,09 USD/MWh)</v>
      </c>
    </row>
    <row r="12" spans="1:15" ht="11.25" customHeight="1">
      <c r="A12" s="184"/>
      <c r="B12" s="180"/>
      <c r="C12" s="180"/>
      <c r="D12" s="180"/>
      <c r="E12" s="180"/>
      <c r="F12" s="180"/>
      <c r="G12" s="180"/>
      <c r="H12" s="180"/>
      <c r="I12" s="180"/>
      <c r="J12" s="514"/>
      <c r="K12" s="514"/>
      <c r="L12" s="733"/>
      <c r="M12" s="521" t="s">
        <v>165</v>
      </c>
      <c r="N12" s="549" t="str">
        <f>M12&amp;"
("&amp;ROUND(HLOOKUP(M12,$C$8:$G$9,2,0),2)&amp;" USD/MWh)"</f>
        <v>CAJAMARCA 220
(93,48 USD/MWh)</v>
      </c>
    </row>
    <row r="13" spans="1:15" ht="11.25" customHeight="1">
      <c r="A13" s="184"/>
      <c r="B13" s="180"/>
      <c r="C13" s="180"/>
      <c r="D13" s="180"/>
      <c r="E13" s="180"/>
      <c r="F13" s="180"/>
      <c r="G13" s="180"/>
      <c r="H13" s="180"/>
      <c r="I13" s="180"/>
      <c r="J13" s="514"/>
      <c r="K13" s="514"/>
      <c r="L13" s="732"/>
      <c r="M13" s="521"/>
      <c r="N13" s="549"/>
      <c r="O13" s="521"/>
    </row>
    <row r="14" spans="1:15" ht="11.25" customHeight="1">
      <c r="A14" s="184"/>
      <c r="B14" s="180"/>
      <c r="C14" s="180"/>
      <c r="D14" s="180"/>
      <c r="E14" s="180"/>
      <c r="F14" s="180"/>
      <c r="G14" s="180"/>
      <c r="H14" s="180"/>
      <c r="I14" s="180"/>
      <c r="J14" s="514"/>
      <c r="K14" s="514"/>
      <c r="L14" s="732"/>
      <c r="M14" s="521" t="s">
        <v>430</v>
      </c>
      <c r="N14" s="549" t="str">
        <f>M14&amp;"
("&amp;ROUND(HLOOKUP(M14,$C$26:$I$27,2,0),2)&amp;" USD/MWh)"</f>
        <v>CHAVARRIA 220
(86,93 USD/MWh)</v>
      </c>
    </row>
    <row r="15" spans="1:15" ht="11.25" customHeight="1">
      <c r="A15" s="184"/>
      <c r="B15" s="180"/>
      <c r="C15" s="180"/>
      <c r="D15" s="180"/>
      <c r="E15" s="180"/>
      <c r="F15" s="180"/>
      <c r="G15" s="180"/>
      <c r="H15" s="180"/>
      <c r="I15" s="180"/>
      <c r="J15" s="514"/>
      <c r="K15" s="514"/>
      <c r="L15" s="732"/>
      <c r="M15" s="521" t="s">
        <v>169</v>
      </c>
      <c r="N15" s="549" t="str">
        <f t="shared" ref="N15:N20" si="0">M15&amp;"
("&amp;ROUND(HLOOKUP(M15,$C$26:$I$27,2,0),2)&amp;" USD/MWh)"</f>
        <v>INDEPENDENCIA 220
(87,64 USD/MWh)</v>
      </c>
    </row>
    <row r="16" spans="1:15" ht="11.25" customHeight="1">
      <c r="A16" s="184"/>
      <c r="B16" s="180"/>
      <c r="C16" s="180"/>
      <c r="D16" s="180"/>
      <c r="E16" s="180"/>
      <c r="F16" s="180"/>
      <c r="G16" s="180"/>
      <c r="H16" s="180"/>
      <c r="I16" s="180"/>
      <c r="J16" s="514"/>
      <c r="K16" s="514"/>
      <c r="L16" s="732"/>
      <c r="M16" s="521" t="s">
        <v>170</v>
      </c>
      <c r="N16" s="549" t="str">
        <f t="shared" si="0"/>
        <v>CARABAYLLO 220
(86,58 USD/MWh)</v>
      </c>
    </row>
    <row r="17" spans="1:14" ht="11.25" customHeight="1">
      <c r="A17" s="184"/>
      <c r="B17" s="180"/>
      <c r="C17" s="180"/>
      <c r="D17" s="180"/>
      <c r="E17" s="180"/>
      <c r="F17" s="180"/>
      <c r="G17" s="180"/>
      <c r="H17" s="180"/>
      <c r="I17" s="180"/>
      <c r="J17" s="514"/>
      <c r="K17" s="514"/>
      <c r="L17" s="732"/>
      <c r="M17" s="521" t="s">
        <v>167</v>
      </c>
      <c r="N17" s="549" t="str">
        <f t="shared" si="0"/>
        <v>SANTA ROSA 220
(86,3 USD/MWh)</v>
      </c>
    </row>
    <row r="18" spans="1:14" ht="11.25" customHeight="1">
      <c r="A18" s="184"/>
      <c r="B18" s="180"/>
      <c r="C18" s="180"/>
      <c r="D18" s="180"/>
      <c r="E18" s="180"/>
      <c r="F18" s="180"/>
      <c r="G18" s="180"/>
      <c r="H18" s="180"/>
      <c r="I18" s="180"/>
      <c r="J18" s="514"/>
      <c r="K18" s="514"/>
      <c r="L18" s="732"/>
      <c r="M18" s="521" t="s">
        <v>168</v>
      </c>
      <c r="N18" s="549" t="str">
        <f t="shared" si="0"/>
        <v>SAN JUAN 220
(84,92 USD/MWh)</v>
      </c>
    </row>
    <row r="19" spans="1:14" ht="11.25" customHeight="1">
      <c r="A19" s="184"/>
      <c r="B19" s="180"/>
      <c r="C19" s="180"/>
      <c r="D19" s="180"/>
      <c r="E19" s="180"/>
      <c r="F19" s="180"/>
      <c r="G19" s="180"/>
      <c r="H19" s="180"/>
      <c r="I19" s="180"/>
      <c r="J19" s="514"/>
      <c r="K19" s="514"/>
      <c r="L19" s="734"/>
      <c r="M19" s="521" t="s">
        <v>171</v>
      </c>
      <c r="N19" s="549" t="str">
        <f t="shared" si="0"/>
        <v>POMACOCHA 220
(85,98 USD/MWh)</v>
      </c>
    </row>
    <row r="20" spans="1:14" ht="11.25" customHeight="1">
      <c r="A20" s="184"/>
      <c r="B20" s="190"/>
      <c r="C20" s="190"/>
      <c r="D20" s="190"/>
      <c r="E20" s="190"/>
      <c r="F20" s="190"/>
      <c r="G20" s="180"/>
      <c r="H20" s="180"/>
      <c r="I20" s="180"/>
      <c r="J20" s="514"/>
      <c r="K20" s="514"/>
      <c r="L20" s="732"/>
      <c r="M20" s="521" t="s">
        <v>172</v>
      </c>
      <c r="N20" s="549" t="str">
        <f t="shared" si="0"/>
        <v>OROYA NUEVA 50
(86,3 USD/MWh)</v>
      </c>
    </row>
    <row r="21" spans="1:14" ht="11.25" customHeight="1">
      <c r="A21" s="184"/>
      <c r="B21" s="884" t="str">
        <f>"Gráfico N°20: Costos marginales medios registrados en las principales barras del área norte durante el mes de "&amp;'1. Resumen'!Q4</f>
        <v>Gráfico N°20: Costos marginales medios registrados en las principales barras del área norte durante el mes de diciembe</v>
      </c>
      <c r="C21" s="884"/>
      <c r="D21" s="884"/>
      <c r="E21" s="884"/>
      <c r="F21" s="884"/>
      <c r="G21" s="884"/>
      <c r="H21" s="884"/>
      <c r="I21" s="884"/>
      <c r="J21" s="514"/>
      <c r="K21" s="514"/>
      <c r="L21" s="732"/>
      <c r="M21" s="521"/>
      <c r="N21" s="549"/>
    </row>
    <row r="22" spans="1:14" ht="7.5" customHeight="1">
      <c r="A22" s="184"/>
      <c r="B22" s="186"/>
      <c r="C22" s="186"/>
      <c r="D22" s="186"/>
      <c r="E22" s="186"/>
      <c r="F22" s="186"/>
      <c r="G22" s="184"/>
      <c r="H22" s="184"/>
      <c r="I22" s="184"/>
      <c r="J22" s="513"/>
      <c r="K22" s="513"/>
      <c r="L22" s="730"/>
      <c r="M22" s="521"/>
      <c r="N22" s="549"/>
    </row>
    <row r="23" spans="1:14" ht="11.25" customHeight="1">
      <c r="A23" s="184"/>
      <c r="B23" s="186"/>
      <c r="C23" s="186"/>
      <c r="D23" s="186"/>
      <c r="E23" s="186"/>
      <c r="F23" s="186"/>
      <c r="G23" s="184"/>
      <c r="H23" s="184"/>
      <c r="I23" s="184"/>
      <c r="J23" s="513"/>
      <c r="K23" s="513"/>
      <c r="L23" s="735"/>
      <c r="M23" s="521" t="s">
        <v>173</v>
      </c>
      <c r="N23" s="549" t="str">
        <f t="shared" ref="N23:N29" si="1">M23&amp;"
("&amp;ROUND(HLOOKUP(M23,$C$45:$I$46,2,0),2)&amp;" USD/MWh)"</f>
        <v>TINTAYA NUEVA 220
(95,21 USD/MWh)</v>
      </c>
    </row>
    <row r="24" spans="1:14" ht="11.25" customHeight="1">
      <c r="A24" s="184"/>
      <c r="B24" s="189" t="s">
        <v>378</v>
      </c>
      <c r="C24" s="186"/>
      <c r="D24" s="186"/>
      <c r="E24" s="186"/>
      <c r="F24" s="186"/>
      <c r="G24" s="184"/>
      <c r="H24" s="184"/>
      <c r="I24" s="184"/>
      <c r="J24" s="513"/>
      <c r="K24" s="513"/>
      <c r="L24" s="730"/>
      <c r="M24" s="521" t="s">
        <v>174</v>
      </c>
      <c r="N24" s="549" t="str">
        <f t="shared" si="1"/>
        <v>PUNO 138
(94,13 USD/MWh)</v>
      </c>
    </row>
    <row r="25" spans="1:14" ht="6.75" customHeight="1">
      <c r="A25" s="184"/>
      <c r="B25" s="186"/>
      <c r="C25" s="186"/>
      <c r="D25" s="186"/>
      <c r="E25" s="186"/>
      <c r="F25" s="186"/>
      <c r="G25" s="184"/>
      <c r="H25" s="184"/>
      <c r="I25" s="184"/>
      <c r="J25" s="513"/>
      <c r="K25" s="513"/>
      <c r="L25" s="730"/>
      <c r="M25" s="521" t="s">
        <v>175</v>
      </c>
      <c r="N25" s="549" t="str">
        <f t="shared" si="1"/>
        <v>SOCABAYA 220
(92,2 USD/MWh)</v>
      </c>
    </row>
    <row r="26" spans="1:14" ht="25.5" customHeight="1">
      <c r="A26" s="184"/>
      <c r="B26" s="383" t="s">
        <v>160</v>
      </c>
      <c r="C26" s="380" t="s">
        <v>430</v>
      </c>
      <c r="D26" s="380" t="s">
        <v>167</v>
      </c>
      <c r="E26" s="380" t="s">
        <v>170</v>
      </c>
      <c r="F26" s="380" t="s">
        <v>168</v>
      </c>
      <c r="G26" s="380" t="s">
        <v>169</v>
      </c>
      <c r="H26" s="380" t="s">
        <v>171</v>
      </c>
      <c r="I26" s="381" t="s">
        <v>172</v>
      </c>
      <c r="J26" s="516"/>
      <c r="K26" s="514"/>
      <c r="L26" s="732"/>
      <c r="M26" s="521" t="s">
        <v>176</v>
      </c>
      <c r="N26" s="549" t="str">
        <f t="shared" si="1"/>
        <v>MOQUEGUA 138
(92,24 USD/MWh)</v>
      </c>
    </row>
    <row r="27" spans="1:14" ht="18" customHeight="1">
      <c r="A27" s="184"/>
      <c r="B27" s="384" t="s">
        <v>166</v>
      </c>
      <c r="C27" s="266">
        <v>86.93351083044827</v>
      </c>
      <c r="D27" s="266">
        <v>86.295149352410604</v>
      </c>
      <c r="E27" s="266">
        <v>86.580315322756746</v>
      </c>
      <c r="F27" s="266">
        <v>84.924638389313415</v>
      </c>
      <c r="G27" s="266">
        <v>87.644535663668862</v>
      </c>
      <c r="H27" s="266">
        <v>85.976734590686874</v>
      </c>
      <c r="I27" s="266">
        <v>86.296516222801728</v>
      </c>
      <c r="J27" s="517"/>
      <c r="K27" s="514"/>
      <c r="L27" s="732"/>
      <c r="M27" s="521" t="s">
        <v>177</v>
      </c>
      <c r="N27" s="549" t="str">
        <f t="shared" si="1"/>
        <v>DOLORESPATA 138
(90,88 USD/MWh)</v>
      </c>
    </row>
    <row r="28" spans="1:14" ht="19.5" customHeight="1">
      <c r="A28" s="184"/>
      <c r="B28" s="885" t="str">
        <f>"Cuadro N°12: Valor de los costos marginales medios registrados en las principales barras del área centro durante el mes de "&amp;'1. Resumen'!Q4</f>
        <v>Cuadro N°12: Valor de los costos marginales medios registrados en las principales barras del área centro durante el mes de diciembe</v>
      </c>
      <c r="C28" s="885"/>
      <c r="D28" s="885"/>
      <c r="E28" s="885"/>
      <c r="F28" s="885"/>
      <c r="G28" s="885"/>
      <c r="H28" s="885"/>
      <c r="I28" s="885"/>
      <c r="J28" s="514"/>
      <c r="K28" s="514"/>
      <c r="L28" s="732"/>
      <c r="M28" s="521" t="s">
        <v>178</v>
      </c>
      <c r="N28" s="549" t="str">
        <f t="shared" si="1"/>
        <v>COTARUSE 220
(89,68 USD/MWh)</v>
      </c>
    </row>
    <row r="29" spans="1:14" ht="11.25" customHeight="1">
      <c r="A29" s="184"/>
      <c r="B29" s="190"/>
      <c r="C29" s="190"/>
      <c r="D29" s="190"/>
      <c r="E29" s="190"/>
      <c r="F29" s="190"/>
      <c r="G29" s="190"/>
      <c r="H29" s="190"/>
      <c r="I29" s="190"/>
      <c r="J29" s="518"/>
      <c r="K29" s="518"/>
      <c r="L29" s="732"/>
      <c r="M29" s="521" t="s">
        <v>179</v>
      </c>
      <c r="N29" s="549" t="str">
        <f t="shared" si="1"/>
        <v>SAN GABAN 138
(87,38 USD/MWh)</v>
      </c>
    </row>
    <row r="30" spans="1:14" ht="11.25" customHeight="1">
      <c r="A30" s="184"/>
      <c r="B30" s="190"/>
      <c r="C30" s="190"/>
      <c r="D30" s="190"/>
      <c r="E30" s="190"/>
      <c r="F30" s="190"/>
      <c r="G30" s="190"/>
      <c r="H30" s="190"/>
      <c r="I30" s="190"/>
      <c r="J30" s="518"/>
      <c r="K30" s="518"/>
      <c r="L30" s="732"/>
      <c r="M30" s="521"/>
      <c r="N30" s="550"/>
    </row>
    <row r="31" spans="1:14" ht="11.25" customHeight="1">
      <c r="A31" s="184"/>
      <c r="B31" s="190"/>
      <c r="C31" s="190"/>
      <c r="D31" s="190"/>
      <c r="E31" s="190"/>
      <c r="F31" s="190"/>
      <c r="G31" s="190"/>
      <c r="H31" s="190"/>
      <c r="I31" s="190"/>
      <c r="J31" s="518"/>
      <c r="K31" s="518"/>
      <c r="L31" s="732"/>
      <c r="M31" s="521"/>
      <c r="N31" s="550"/>
    </row>
    <row r="32" spans="1:14" ht="11.25" customHeight="1">
      <c r="A32" s="184"/>
      <c r="B32" s="190"/>
      <c r="C32" s="190"/>
      <c r="D32" s="190"/>
      <c r="E32" s="190"/>
      <c r="F32" s="190"/>
      <c r="G32" s="190"/>
      <c r="H32" s="190"/>
      <c r="I32" s="190"/>
      <c r="J32" s="518"/>
      <c r="K32" s="518"/>
      <c r="L32" s="732"/>
      <c r="M32" s="521"/>
    </row>
    <row r="33" spans="1:12" ht="11.25" customHeight="1">
      <c r="A33" s="184"/>
      <c r="B33" s="190"/>
      <c r="C33" s="190"/>
      <c r="D33" s="190"/>
      <c r="E33" s="190"/>
      <c r="F33" s="190"/>
      <c r="G33" s="190"/>
      <c r="H33" s="190"/>
      <c r="I33" s="190"/>
      <c r="J33" s="518"/>
      <c r="K33" s="518"/>
      <c r="L33" s="732"/>
    </row>
    <row r="34" spans="1:12" ht="11.25" customHeight="1">
      <c r="A34" s="184"/>
      <c r="B34" s="190"/>
      <c r="C34" s="190"/>
      <c r="D34" s="190"/>
      <c r="E34" s="190"/>
      <c r="F34" s="190"/>
      <c r="G34" s="190"/>
      <c r="H34" s="190"/>
      <c r="I34" s="190"/>
      <c r="J34" s="518"/>
      <c r="K34" s="518"/>
      <c r="L34" s="732"/>
    </row>
    <row r="35" spans="1:12" ht="11.25" customHeight="1">
      <c r="A35" s="184"/>
      <c r="B35" s="190"/>
      <c r="C35" s="190"/>
      <c r="D35" s="190"/>
      <c r="E35" s="190"/>
      <c r="F35" s="190"/>
      <c r="G35" s="190"/>
      <c r="H35" s="190"/>
      <c r="I35" s="190"/>
      <c r="J35" s="518"/>
      <c r="K35" s="518"/>
      <c r="L35" s="728"/>
    </row>
    <row r="36" spans="1:12" ht="11.25" customHeight="1">
      <c r="A36" s="184"/>
      <c r="B36" s="190"/>
      <c r="C36" s="190"/>
      <c r="D36" s="190"/>
      <c r="E36" s="190"/>
      <c r="F36" s="190"/>
      <c r="G36" s="190"/>
      <c r="H36" s="190"/>
      <c r="I36" s="190"/>
      <c r="J36" s="518"/>
      <c r="K36" s="518"/>
      <c r="L36" s="732"/>
    </row>
    <row r="37" spans="1:12" ht="11.25" customHeight="1">
      <c r="A37" s="184"/>
      <c r="B37" s="190"/>
      <c r="C37" s="190"/>
      <c r="D37" s="190"/>
      <c r="E37" s="190"/>
      <c r="F37" s="190"/>
      <c r="G37" s="190"/>
      <c r="H37" s="190"/>
      <c r="I37" s="190"/>
      <c r="J37" s="518"/>
      <c r="K37" s="518"/>
      <c r="L37" s="732"/>
    </row>
    <row r="38" spans="1:12" ht="11.25" customHeight="1">
      <c r="A38" s="184"/>
      <c r="B38" s="190"/>
      <c r="C38" s="190"/>
      <c r="D38" s="190"/>
      <c r="E38" s="190"/>
      <c r="F38" s="190"/>
      <c r="G38" s="190"/>
      <c r="H38" s="190"/>
      <c r="I38" s="190"/>
      <c r="J38" s="518"/>
      <c r="K38" s="518"/>
      <c r="L38" s="732"/>
    </row>
    <row r="39" spans="1:12" ht="11.25" customHeight="1">
      <c r="A39" s="184"/>
      <c r="B39" s="190"/>
      <c r="C39" s="190"/>
      <c r="D39" s="190"/>
      <c r="E39" s="190"/>
      <c r="F39" s="190"/>
      <c r="G39" s="190"/>
      <c r="H39" s="190"/>
      <c r="I39" s="190"/>
      <c r="J39" s="518"/>
      <c r="K39" s="518"/>
      <c r="L39" s="732"/>
    </row>
    <row r="40" spans="1:12" ht="13.5" customHeight="1">
      <c r="A40" s="184"/>
      <c r="B40" s="883" t="str">
        <f>"Gráfico N°21: Costos marginales medios registrados en las principales barras del área centro durante el mes de "&amp;'1. Resumen'!Q4</f>
        <v>Gráfico N°21: Costos marginales medios registrados en las principales barras del área centro durante el mes de diciembe</v>
      </c>
      <c r="C40" s="883"/>
      <c r="D40" s="883"/>
      <c r="E40" s="883"/>
      <c r="F40" s="883"/>
      <c r="G40" s="883"/>
      <c r="H40" s="883"/>
      <c r="I40" s="883"/>
      <c r="J40" s="518"/>
      <c r="K40" s="518"/>
      <c r="L40" s="732"/>
    </row>
    <row r="41" spans="1:12" ht="6.75" customHeight="1">
      <c r="A41" s="184"/>
      <c r="B41" s="190"/>
      <c r="C41" s="190"/>
      <c r="D41" s="190"/>
      <c r="E41" s="190"/>
      <c r="F41" s="190"/>
      <c r="G41" s="190"/>
      <c r="H41" s="190"/>
      <c r="I41" s="190"/>
      <c r="J41" s="518"/>
      <c r="K41" s="518"/>
      <c r="L41" s="732"/>
    </row>
    <row r="42" spans="1:12" ht="8.25" customHeight="1">
      <c r="A42" s="184"/>
      <c r="B42" s="186"/>
      <c r="C42" s="186"/>
      <c r="D42" s="186"/>
      <c r="E42" s="186"/>
      <c r="F42" s="186"/>
      <c r="G42" s="186"/>
      <c r="H42" s="186"/>
      <c r="I42" s="186"/>
      <c r="J42" s="519"/>
      <c r="K42" s="519"/>
      <c r="L42" s="736"/>
    </row>
    <row r="43" spans="1:12" ht="11.25" customHeight="1">
      <c r="A43" s="184"/>
      <c r="B43" s="189" t="s">
        <v>379</v>
      </c>
      <c r="C43" s="186"/>
      <c r="D43" s="186"/>
      <c r="E43" s="186"/>
      <c r="F43" s="186"/>
      <c r="G43" s="186"/>
      <c r="H43" s="186"/>
      <c r="I43" s="186"/>
      <c r="J43" s="519"/>
      <c r="K43" s="519"/>
      <c r="L43" s="736"/>
    </row>
    <row r="44" spans="1:12" ht="6.75" customHeight="1">
      <c r="A44" s="184"/>
      <c r="B44" s="186"/>
      <c r="C44" s="186"/>
      <c r="D44" s="186"/>
      <c r="E44" s="186"/>
      <c r="F44" s="186"/>
      <c r="G44" s="186"/>
      <c r="H44" s="186"/>
      <c r="I44" s="186"/>
      <c r="J44" s="519"/>
      <c r="K44" s="519"/>
      <c r="L44" s="736"/>
    </row>
    <row r="45" spans="1:12" ht="27" customHeight="1">
      <c r="A45" s="184"/>
      <c r="B45" s="383" t="s">
        <v>160</v>
      </c>
      <c r="C45" s="380" t="s">
        <v>173</v>
      </c>
      <c r="D45" s="380" t="s">
        <v>175</v>
      </c>
      <c r="E45" s="380" t="s">
        <v>176</v>
      </c>
      <c r="F45" s="380" t="s">
        <v>174</v>
      </c>
      <c r="G45" s="380" t="s">
        <v>177</v>
      </c>
      <c r="H45" s="380" t="s">
        <v>178</v>
      </c>
      <c r="I45" s="381" t="s">
        <v>179</v>
      </c>
      <c r="J45" s="516"/>
      <c r="K45" s="518"/>
    </row>
    <row r="46" spans="1:12" ht="18.75" customHeight="1">
      <c r="A46" s="184"/>
      <c r="B46" s="384" t="s">
        <v>166</v>
      </c>
      <c r="C46" s="266">
        <v>95.210401346373516</v>
      </c>
      <c r="D46" s="266">
        <v>92.195337831974797</v>
      </c>
      <c r="E46" s="266">
        <v>92.238921513820785</v>
      </c>
      <c r="F46" s="266">
        <v>94.133255697763602</v>
      </c>
      <c r="G46" s="266">
        <v>90.883276601292195</v>
      </c>
      <c r="H46" s="266">
        <v>89.683551680107513</v>
      </c>
      <c r="I46" s="266">
        <v>87.377962189136184</v>
      </c>
      <c r="J46" s="517"/>
      <c r="K46" s="518"/>
    </row>
    <row r="47" spans="1:12" ht="18" customHeight="1">
      <c r="A47" s="184"/>
      <c r="B47" s="885" t="str">
        <f>"Cuadro N°13: Valor de los costos marginales medios registrados en las principales barras del área sur durante el mes de "&amp;'1. Resumen'!Q4</f>
        <v>Cuadro N°13: Valor de los costos marginales medios registrados en las principales barras del área sur durante el mes de diciembe</v>
      </c>
      <c r="C47" s="885"/>
      <c r="D47" s="885"/>
      <c r="E47" s="885"/>
      <c r="F47" s="885"/>
      <c r="G47" s="885"/>
      <c r="H47" s="885"/>
      <c r="I47" s="885"/>
      <c r="J47" s="517"/>
      <c r="K47" s="518"/>
    </row>
    <row r="48" spans="1:12" ht="13.2">
      <c r="A48" s="184"/>
      <c r="B48" s="190"/>
      <c r="C48" s="190"/>
      <c r="D48" s="190"/>
      <c r="E48" s="190"/>
      <c r="F48" s="190"/>
      <c r="G48" s="180"/>
      <c r="H48" s="180"/>
      <c r="I48" s="180"/>
      <c r="J48" s="514"/>
      <c r="K48" s="518"/>
    </row>
    <row r="49" spans="1:11" ht="13.2">
      <c r="A49" s="184"/>
      <c r="B49" s="180"/>
      <c r="C49" s="180"/>
      <c r="D49" s="180"/>
      <c r="E49" s="180"/>
      <c r="F49" s="180"/>
      <c r="G49" s="180"/>
      <c r="H49" s="180"/>
      <c r="I49" s="180"/>
      <c r="J49" s="514"/>
      <c r="K49" s="518"/>
    </row>
    <row r="50" spans="1:11" ht="13.2">
      <c r="A50" s="184"/>
      <c r="B50" s="111"/>
      <c r="C50" s="111"/>
      <c r="D50" s="111"/>
      <c r="E50" s="111"/>
      <c r="F50" s="111"/>
      <c r="G50" s="111"/>
      <c r="H50" s="111"/>
      <c r="I50" s="111"/>
      <c r="J50" s="46"/>
      <c r="K50" s="518"/>
    </row>
    <row r="51" spans="1:11" ht="13.2">
      <c r="A51" s="184"/>
      <c r="B51" s="111"/>
      <c r="C51" s="111"/>
      <c r="D51" s="111"/>
      <c r="E51" s="111"/>
      <c r="F51" s="111"/>
      <c r="G51" s="111"/>
      <c r="H51" s="111"/>
      <c r="I51" s="111"/>
      <c r="J51" s="46"/>
      <c r="K51" s="518"/>
    </row>
    <row r="52" spans="1:11" ht="13.2">
      <c r="A52" s="184"/>
      <c r="B52" s="111"/>
      <c r="C52" s="111"/>
      <c r="D52" s="111"/>
      <c r="E52" s="111"/>
      <c r="F52" s="111"/>
      <c r="G52" s="111"/>
      <c r="H52" s="111"/>
      <c r="I52" s="111"/>
      <c r="J52" s="46"/>
      <c r="K52" s="518"/>
    </row>
    <row r="53" spans="1:11" ht="13.2">
      <c r="A53" s="184"/>
      <c r="B53" s="111"/>
      <c r="C53" s="111"/>
      <c r="D53" s="111"/>
      <c r="E53" s="111"/>
      <c r="F53" s="111"/>
      <c r="G53" s="111"/>
      <c r="H53" s="111"/>
      <c r="I53" s="111"/>
      <c r="J53" s="46"/>
      <c r="K53" s="518"/>
    </row>
    <row r="54" spans="1:11" ht="13.2">
      <c r="A54" s="184"/>
      <c r="B54" s="111"/>
      <c r="C54" s="111"/>
      <c r="D54" s="111"/>
      <c r="E54" s="111"/>
      <c r="F54" s="111"/>
      <c r="G54" s="111"/>
      <c r="H54" s="111"/>
      <c r="I54" s="111"/>
      <c r="J54" s="46"/>
      <c r="K54" s="518"/>
    </row>
    <row r="55" spans="1:11" ht="13.2">
      <c r="A55" s="184"/>
      <c r="B55" s="111"/>
      <c r="C55" s="111"/>
      <c r="D55" s="111"/>
      <c r="E55" s="111"/>
      <c r="F55" s="111"/>
      <c r="G55" s="111"/>
      <c r="H55" s="111"/>
      <c r="I55" s="111"/>
      <c r="J55" s="46"/>
      <c r="K55" s="518"/>
    </row>
    <row r="56" spans="1:11" ht="13.2">
      <c r="A56" s="184"/>
      <c r="B56" s="180"/>
      <c r="C56" s="180"/>
      <c r="D56" s="180"/>
      <c r="E56" s="180"/>
      <c r="F56" s="180"/>
      <c r="G56" s="180"/>
      <c r="H56" s="180"/>
      <c r="I56" s="180"/>
      <c r="J56" s="514"/>
      <c r="K56" s="518"/>
    </row>
    <row r="57" spans="1:11" ht="13.2">
      <c r="A57" s="184"/>
      <c r="B57" s="180"/>
      <c r="C57" s="180"/>
      <c r="D57" s="180"/>
      <c r="E57" s="180"/>
      <c r="F57" s="180"/>
      <c r="G57" s="180"/>
      <c r="H57" s="180"/>
      <c r="I57" s="180"/>
      <c r="J57" s="514"/>
      <c r="K57" s="518"/>
    </row>
    <row r="58" spans="1:11" ht="13.2">
      <c r="A58" s="184"/>
      <c r="B58" s="883" t="str">
        <f>"Gráfico N°22: Costos marginales medios registrados en las principales barras del área sur durante el mes de "&amp;'1. Resumen'!Q4</f>
        <v>Gráfico N°22: Costos marginales medios registrados en las principales barras del área sur durante el mes de diciembe</v>
      </c>
      <c r="C58" s="883"/>
      <c r="D58" s="883"/>
      <c r="E58" s="883"/>
      <c r="F58" s="883"/>
      <c r="G58" s="883"/>
      <c r="H58" s="883"/>
      <c r="I58" s="883"/>
      <c r="J58" s="514"/>
      <c r="K58" s="518"/>
    </row>
    <row r="59" spans="1:11" ht="13.2">
      <c r="A59" s="74"/>
      <c r="B59" s="136"/>
      <c r="C59" s="136"/>
      <c r="D59" s="136"/>
      <c r="E59" s="136"/>
      <c r="F59" s="136"/>
      <c r="G59" s="136"/>
      <c r="H59" s="180"/>
      <c r="I59" s="180"/>
      <c r="J59" s="514"/>
      <c r="K59" s="518"/>
    </row>
  </sheetData>
  <mergeCells count="8">
    <mergeCell ref="B58:I58"/>
    <mergeCell ref="B21:I21"/>
    <mergeCell ref="B10:I10"/>
    <mergeCell ref="A2:K2"/>
    <mergeCell ref="A4:H4"/>
    <mergeCell ref="B28:I28"/>
    <mergeCell ref="B47:I47"/>
    <mergeCell ref="B40:I40"/>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0" zoomScaleNormal="100" zoomScaleSheetLayoutView="110" zoomScalePageLayoutView="115" workbookViewId="0">
      <selection activeCell="K58" sqref="K58"/>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45" t="s">
        <v>381</v>
      </c>
      <c r="B2" s="845"/>
      <c r="C2" s="845"/>
      <c r="D2" s="845"/>
      <c r="E2" s="845"/>
      <c r="F2" s="845"/>
      <c r="G2" s="845"/>
      <c r="H2" s="845"/>
      <c r="I2" s="845"/>
      <c r="J2" s="845"/>
      <c r="K2" s="845"/>
      <c r="L2" s="845"/>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topLeftCell="A2" zoomScale="130" zoomScaleNormal="100" zoomScaleSheetLayoutView="130" zoomScalePageLayoutView="115" workbookViewId="0">
      <selection activeCell="K58" sqref="K58"/>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886" t="s">
        <v>380</v>
      </c>
      <c r="B2" s="886"/>
      <c r="C2" s="886"/>
      <c r="D2" s="886"/>
      <c r="E2" s="886"/>
      <c r="F2" s="886"/>
      <c r="G2" s="886"/>
      <c r="H2" s="886"/>
      <c r="I2" s="203"/>
      <c r="J2" s="203"/>
      <c r="K2" s="203"/>
    </row>
    <row r="3" spans="1:12" ht="3" customHeight="1">
      <c r="A3" s="77"/>
      <c r="B3" s="77"/>
      <c r="C3" s="77"/>
      <c r="D3" s="77"/>
      <c r="E3" s="77"/>
      <c r="F3" s="77"/>
      <c r="G3" s="77"/>
      <c r="H3" s="77"/>
      <c r="I3" s="204"/>
      <c r="J3" s="204"/>
      <c r="K3" s="204"/>
      <c r="L3" s="36"/>
    </row>
    <row r="4" spans="1:12" ht="15" customHeight="1">
      <c r="A4" s="877" t="s">
        <v>427</v>
      </c>
      <c r="B4" s="877"/>
      <c r="C4" s="877"/>
      <c r="D4" s="877"/>
      <c r="E4" s="877"/>
      <c r="F4" s="877"/>
      <c r="G4" s="877"/>
      <c r="H4" s="877"/>
      <c r="I4" s="195"/>
      <c r="J4" s="195"/>
      <c r="K4" s="195"/>
      <c r="L4" s="36"/>
    </row>
    <row r="5" spans="1:12" ht="11.25" customHeight="1">
      <c r="A5" s="77"/>
      <c r="B5" s="164"/>
      <c r="C5" s="78"/>
      <c r="D5" s="79"/>
      <c r="E5" s="79"/>
      <c r="F5" s="80"/>
      <c r="G5" s="76"/>
      <c r="H5" s="76"/>
      <c r="I5" s="196"/>
      <c r="J5" s="196"/>
      <c r="K5" s="196"/>
      <c r="L5" s="205"/>
    </row>
    <row r="6" spans="1:12" ht="30.75" customHeight="1">
      <c r="A6" s="405" t="s">
        <v>180</v>
      </c>
      <c r="B6" s="403" t="s">
        <v>181</v>
      </c>
      <c r="C6" s="403" t="s">
        <v>182</v>
      </c>
      <c r="D6" s="402" t="str">
        <f>UPPER('1. Resumen'!Q4)&amp;"
 "&amp;'1. Resumen'!Q5</f>
        <v>DICIEMBE
 2022</v>
      </c>
      <c r="E6" s="402" t="str">
        <f>UPPER('1. Resumen'!Q4)&amp;"
 "&amp;'1. Resumen'!Q5-1</f>
        <v>DICIEMBE
 2021</v>
      </c>
      <c r="F6" s="402" t="str">
        <f>UPPER('1. Resumen'!Q4)&amp;"
 "&amp;'1. Resumen'!Q5-2</f>
        <v>DICIEMBE
 2020</v>
      </c>
      <c r="G6" s="403" t="s">
        <v>542</v>
      </c>
      <c r="H6" s="404" t="s">
        <v>460</v>
      </c>
      <c r="I6" s="196"/>
      <c r="J6" s="196"/>
      <c r="K6" s="196"/>
      <c r="L6" s="166"/>
    </row>
    <row r="7" spans="1:12" ht="21" customHeight="1">
      <c r="A7" s="887" t="s">
        <v>183</v>
      </c>
      <c r="B7" s="579" t="s">
        <v>609</v>
      </c>
      <c r="C7" s="580" t="s">
        <v>610</v>
      </c>
      <c r="D7" s="581"/>
      <c r="E7" s="581">
        <v>19.716666666666669</v>
      </c>
      <c r="F7" s="581"/>
      <c r="G7" s="805"/>
      <c r="H7" s="805"/>
      <c r="I7" s="196"/>
      <c r="J7" s="196"/>
      <c r="K7" s="196"/>
      <c r="L7" s="58"/>
    </row>
    <row r="8" spans="1:12" ht="21" customHeight="1">
      <c r="A8" s="887"/>
      <c r="B8" s="579" t="s">
        <v>674</v>
      </c>
      <c r="C8" s="580" t="s">
        <v>675</v>
      </c>
      <c r="D8" s="581"/>
      <c r="E8" s="581">
        <v>5.1999999999999993</v>
      </c>
      <c r="F8" s="581"/>
      <c r="G8" s="805"/>
      <c r="H8" s="805"/>
      <c r="I8" s="196"/>
      <c r="J8" s="196"/>
      <c r="K8" s="196"/>
      <c r="L8" s="58"/>
    </row>
    <row r="9" spans="1:12" ht="21" customHeight="1">
      <c r="A9" s="887"/>
      <c r="B9" s="579" t="s">
        <v>611</v>
      </c>
      <c r="C9" s="580" t="s">
        <v>612</v>
      </c>
      <c r="D9" s="581"/>
      <c r="E9" s="581">
        <v>8.1333333333333329</v>
      </c>
      <c r="F9" s="581"/>
      <c r="G9" s="805"/>
      <c r="H9" s="805"/>
      <c r="I9" s="196"/>
      <c r="J9" s="196"/>
      <c r="K9" s="196"/>
      <c r="L9" s="58"/>
    </row>
    <row r="10" spans="1:12" ht="21" customHeight="1">
      <c r="A10" s="887"/>
      <c r="B10" s="579" t="s">
        <v>597</v>
      </c>
      <c r="C10" s="580" t="s">
        <v>587</v>
      </c>
      <c r="D10" s="581"/>
      <c r="E10" s="581">
        <v>135.63333333333335</v>
      </c>
      <c r="F10" s="581">
        <v>121.31666666666668</v>
      </c>
      <c r="G10" s="805"/>
      <c r="H10" s="805">
        <f t="shared" ref="H10:H12" si="0">+E10/F10-1</f>
        <v>0.11801071575765909</v>
      </c>
      <c r="I10" s="196"/>
      <c r="J10" s="196"/>
      <c r="K10" s="196"/>
      <c r="L10" s="58"/>
    </row>
    <row r="11" spans="1:12" ht="21" customHeight="1">
      <c r="A11" s="887"/>
      <c r="B11" s="579" t="s">
        <v>598</v>
      </c>
      <c r="C11" s="580" t="s">
        <v>599</v>
      </c>
      <c r="D11" s="581"/>
      <c r="E11" s="581"/>
      <c r="F11" s="581">
        <v>28.216666666666669</v>
      </c>
      <c r="G11" s="805"/>
      <c r="H11" s="805">
        <f t="shared" si="0"/>
        <v>-1</v>
      </c>
      <c r="I11" s="196"/>
      <c r="J11" s="196"/>
      <c r="K11" s="196"/>
      <c r="L11" s="58"/>
    </row>
    <row r="12" spans="1:12" ht="21" customHeight="1">
      <c r="A12" s="887"/>
      <c r="B12" s="579" t="s">
        <v>586</v>
      </c>
      <c r="C12" s="580" t="s">
        <v>581</v>
      </c>
      <c r="D12" s="581"/>
      <c r="E12" s="581"/>
      <c r="F12" s="581">
        <v>9.6666666666666661</v>
      </c>
      <c r="G12" s="805"/>
      <c r="H12" s="805">
        <f t="shared" si="0"/>
        <v>-1</v>
      </c>
      <c r="I12" s="196"/>
      <c r="J12" s="196"/>
      <c r="K12" s="196"/>
      <c r="L12" s="58"/>
    </row>
    <row r="13" spans="1:12" ht="21" customHeight="1">
      <c r="A13" s="887"/>
      <c r="B13" s="579" t="s">
        <v>613</v>
      </c>
      <c r="C13" s="580" t="s">
        <v>614</v>
      </c>
      <c r="D13" s="581">
        <v>10.816666666666666</v>
      </c>
      <c r="E13" s="581"/>
      <c r="F13" s="581"/>
      <c r="G13" s="805"/>
      <c r="H13" s="805"/>
      <c r="I13" s="196"/>
      <c r="J13" s="196"/>
      <c r="K13" s="196"/>
      <c r="L13" s="58"/>
    </row>
    <row r="14" spans="1:12" ht="21" customHeight="1">
      <c r="A14" s="887"/>
      <c r="B14" s="579" t="s">
        <v>600</v>
      </c>
      <c r="C14" s="580" t="s">
        <v>601</v>
      </c>
      <c r="D14" s="581"/>
      <c r="E14" s="581">
        <v>1.1666666666666665</v>
      </c>
      <c r="F14" s="581"/>
      <c r="G14" s="805"/>
      <c r="H14" s="805"/>
      <c r="I14" s="196"/>
      <c r="J14" s="196"/>
      <c r="K14" s="196"/>
      <c r="L14" s="58"/>
    </row>
    <row r="15" spans="1:12" ht="21" customHeight="1">
      <c r="A15" s="800" t="s">
        <v>617</v>
      </c>
      <c r="B15" s="579" t="s">
        <v>615</v>
      </c>
      <c r="C15" s="580" t="s">
        <v>616</v>
      </c>
      <c r="D15" s="581"/>
      <c r="E15" s="581">
        <v>2.9333333333333336</v>
      </c>
      <c r="F15" s="581"/>
      <c r="G15" s="805"/>
      <c r="H15" s="805"/>
      <c r="I15" s="196"/>
      <c r="J15" s="196"/>
      <c r="K15" s="196"/>
      <c r="L15" s="58"/>
    </row>
    <row r="16" spans="1:12" ht="18.75" customHeight="1">
      <c r="A16" s="396" t="s">
        <v>184</v>
      </c>
      <c r="B16" s="397"/>
      <c r="C16" s="398"/>
      <c r="D16" s="399">
        <f>SUM(D7:D15)</f>
        <v>10.816666666666666</v>
      </c>
      <c r="E16" s="399">
        <f>SUM(E7:E15)</f>
        <v>172.78333333333333</v>
      </c>
      <c r="F16" s="399">
        <f>SUM(F7:F15)</f>
        <v>159.20000000000002</v>
      </c>
      <c r="G16" s="546"/>
      <c r="H16" s="546"/>
      <c r="I16" s="196"/>
      <c r="J16" s="196"/>
      <c r="K16" s="197"/>
      <c r="L16" s="206"/>
    </row>
    <row r="17" spans="1:12" ht="11.25" customHeight="1">
      <c r="A17" s="264" t="str">
        <f>"Cuadro N° 14: Horas de operación de los principales equipos de congestión en "&amp;'1. Resumen'!Q4</f>
        <v>Cuadro N° 14: Horas de operación de los principales equipos de congestión en diciembe</v>
      </c>
      <c r="B17" s="208"/>
      <c r="C17" s="209"/>
      <c r="D17" s="210"/>
      <c r="E17" s="210"/>
      <c r="F17" s="211"/>
      <c r="G17" s="76"/>
      <c r="H17" s="82"/>
      <c r="I17" s="196"/>
      <c r="J17" s="196"/>
      <c r="K17" s="197"/>
      <c r="L17" s="206"/>
    </row>
    <row r="18" spans="1:12" ht="11.25" customHeight="1">
      <c r="A18" s="137"/>
      <c r="B18" s="208"/>
      <c r="C18" s="209"/>
      <c r="D18" s="210"/>
      <c r="E18" s="210"/>
      <c r="F18" s="211"/>
      <c r="G18" s="76"/>
      <c r="H18" s="76"/>
      <c r="I18" s="196"/>
      <c r="J18" s="196"/>
      <c r="K18" s="197"/>
      <c r="L18" s="206"/>
    </row>
    <row r="19" spans="1:12" ht="11.25" customHeight="1">
      <c r="A19" s="137"/>
      <c r="B19" s="208"/>
      <c r="C19" s="209"/>
      <c r="D19" s="210"/>
      <c r="E19" s="210"/>
      <c r="F19" s="211"/>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A52" s="77"/>
      <c r="B52" s="77"/>
      <c r="C52" s="77"/>
      <c r="D52" s="77"/>
      <c r="E52" s="77"/>
      <c r="F52" s="77"/>
      <c r="G52" s="77"/>
      <c r="H52" s="77"/>
      <c r="I52" s="197"/>
      <c r="J52" s="197"/>
      <c r="K52" s="198"/>
    </row>
    <row r="53" spans="1:12">
      <c r="A53" s="264" t="str">
        <f>"Gráfico N° 23: Comparación de las horas de operación de los principales equipos de congestión en "&amp;'1. Resumen'!Q4&amp;"."</f>
        <v>Gráfico N° 23: Comparación de las horas de operación de los principales equipos de congestión en diciembe.</v>
      </c>
      <c r="B53" s="31"/>
      <c r="C53" s="31"/>
      <c r="D53" s="31"/>
      <c r="E53" s="31"/>
      <c r="F53" s="31"/>
      <c r="G53" s="31"/>
      <c r="H53" s="197"/>
      <c r="I53" s="197"/>
      <c r="J53" s="197"/>
      <c r="K53" s="197"/>
    </row>
  </sheetData>
  <mergeCells count="3">
    <mergeCell ref="A4:H4"/>
    <mergeCell ref="A2:H2"/>
    <mergeCell ref="A7:A14"/>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topLeftCell="A2" zoomScaleNormal="160" zoomScaleSheetLayoutView="100" zoomScalePageLayoutView="130" workbookViewId="0">
      <selection activeCell="K58" sqref="K58"/>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5" t="s">
        <v>408</v>
      </c>
      <c r="B2" s="895"/>
      <c r="C2" s="895"/>
      <c r="D2" s="895"/>
      <c r="E2" s="895"/>
      <c r="F2" s="895"/>
      <c r="G2" s="895"/>
      <c r="H2" s="895"/>
      <c r="I2" s="895"/>
      <c r="J2" s="895"/>
      <c r="K2" s="163"/>
    </row>
    <row r="3" spans="1:12" ht="6.75" customHeight="1">
      <c r="A3" s="17"/>
      <c r="B3" s="159"/>
      <c r="C3" s="212"/>
      <c r="D3" s="18"/>
      <c r="E3" s="18"/>
      <c r="F3" s="192"/>
      <c r="G3" s="66"/>
      <c r="H3" s="66"/>
      <c r="I3" s="71"/>
      <c r="J3" s="163"/>
      <c r="K3" s="163"/>
      <c r="L3" s="36"/>
    </row>
    <row r="4" spans="1:12" ht="15" customHeight="1">
      <c r="A4" s="896" t="s">
        <v>426</v>
      </c>
      <c r="B4" s="896"/>
      <c r="C4" s="896"/>
      <c r="D4" s="896"/>
      <c r="E4" s="896"/>
      <c r="F4" s="896"/>
      <c r="G4" s="896"/>
      <c r="H4" s="896"/>
      <c r="I4" s="896"/>
      <c r="J4" s="896"/>
      <c r="K4" s="163"/>
      <c r="L4" s="36"/>
    </row>
    <row r="5" spans="1:12" ht="38.25" customHeight="1">
      <c r="A5" s="893" t="s">
        <v>185</v>
      </c>
      <c r="B5" s="406" t="s">
        <v>186</v>
      </c>
      <c r="C5" s="407" t="s">
        <v>187</v>
      </c>
      <c r="D5" s="407" t="s">
        <v>188</v>
      </c>
      <c r="E5" s="407" t="s">
        <v>189</v>
      </c>
      <c r="F5" s="407" t="s">
        <v>190</v>
      </c>
      <c r="G5" s="407" t="s">
        <v>191</v>
      </c>
      <c r="H5" s="407" t="s">
        <v>192</v>
      </c>
      <c r="I5" s="408" t="s">
        <v>193</v>
      </c>
      <c r="J5" s="409" t="s">
        <v>194</v>
      </c>
      <c r="K5" s="131"/>
    </row>
    <row r="6" spans="1:12" ht="11.25" customHeight="1">
      <c r="A6" s="894"/>
      <c r="B6" s="531" t="s">
        <v>195</v>
      </c>
      <c r="C6" s="408" t="s">
        <v>196</v>
      </c>
      <c r="D6" s="408" t="s">
        <v>197</v>
      </c>
      <c r="E6" s="408" t="s">
        <v>198</v>
      </c>
      <c r="F6" s="408" t="s">
        <v>199</v>
      </c>
      <c r="G6" s="408" t="s">
        <v>200</v>
      </c>
      <c r="H6" s="408" t="s">
        <v>201</v>
      </c>
      <c r="I6" s="532"/>
      <c r="J6" s="533" t="s">
        <v>202</v>
      </c>
      <c r="K6" s="19"/>
    </row>
    <row r="7" spans="1:12" ht="12.75" customHeight="1">
      <c r="A7" s="537" t="s">
        <v>594</v>
      </c>
      <c r="B7" s="538">
        <v>18</v>
      </c>
      <c r="C7" s="538">
        <v>6</v>
      </c>
      <c r="D7" s="538"/>
      <c r="E7" s="538"/>
      <c r="F7" s="538">
        <v>13</v>
      </c>
      <c r="G7" s="538">
        <v>1</v>
      </c>
      <c r="H7" s="538"/>
      <c r="I7" s="539">
        <f>+SUM(B7:H7)</f>
        <v>38</v>
      </c>
      <c r="J7" s="540">
        <v>225.01000000000002</v>
      </c>
      <c r="K7" s="22"/>
    </row>
    <row r="8" spans="1:12" ht="12.75" customHeight="1">
      <c r="A8" s="537" t="s">
        <v>160</v>
      </c>
      <c r="B8" s="538"/>
      <c r="C8" s="538"/>
      <c r="D8" s="538">
        <v>1</v>
      </c>
      <c r="E8" s="538"/>
      <c r="F8" s="538"/>
      <c r="G8" s="538"/>
      <c r="H8" s="538"/>
      <c r="I8" s="539">
        <f t="shared" ref="I8:I12" si="0">+SUM(B8:H8)</f>
        <v>1</v>
      </c>
      <c r="J8" s="540">
        <v>2.27</v>
      </c>
      <c r="K8" s="22"/>
    </row>
    <row r="9" spans="1:12" ht="12.75" customHeight="1">
      <c r="A9" s="537" t="s">
        <v>754</v>
      </c>
      <c r="B9" s="538"/>
      <c r="C9" s="538"/>
      <c r="D9" s="538"/>
      <c r="E9" s="538"/>
      <c r="F9" s="538"/>
      <c r="G9" s="538">
        <v>1</v>
      </c>
      <c r="H9" s="538"/>
      <c r="I9" s="539">
        <f t="shared" si="0"/>
        <v>1</v>
      </c>
      <c r="J9" s="540">
        <v>75.08</v>
      </c>
      <c r="K9" s="22"/>
    </row>
    <row r="10" spans="1:12" ht="12.75" customHeight="1">
      <c r="A10" s="537" t="s">
        <v>595</v>
      </c>
      <c r="B10" s="538">
        <v>1</v>
      </c>
      <c r="C10" s="538"/>
      <c r="D10" s="538"/>
      <c r="E10" s="538"/>
      <c r="F10" s="538"/>
      <c r="G10" s="538">
        <v>1</v>
      </c>
      <c r="H10" s="538"/>
      <c r="I10" s="539">
        <f t="shared" si="0"/>
        <v>2</v>
      </c>
      <c r="J10" s="540">
        <v>1.4</v>
      </c>
      <c r="K10" s="22"/>
    </row>
    <row r="11" spans="1:12" ht="12.75" customHeight="1">
      <c r="A11" s="537" t="s">
        <v>755</v>
      </c>
      <c r="B11" s="538"/>
      <c r="C11" s="538"/>
      <c r="D11" s="538"/>
      <c r="E11" s="538">
        <v>2</v>
      </c>
      <c r="F11" s="538"/>
      <c r="G11" s="538"/>
      <c r="H11" s="538"/>
      <c r="I11" s="539">
        <f t="shared" si="0"/>
        <v>2</v>
      </c>
      <c r="J11" s="540">
        <v>11.5</v>
      </c>
      <c r="K11" s="22"/>
    </row>
    <row r="12" spans="1:12" ht="12.75" customHeight="1">
      <c r="A12" s="537" t="s">
        <v>596</v>
      </c>
      <c r="B12" s="538"/>
      <c r="C12" s="538">
        <v>1</v>
      </c>
      <c r="D12" s="538"/>
      <c r="E12" s="538"/>
      <c r="F12" s="538"/>
      <c r="G12" s="538">
        <v>1</v>
      </c>
      <c r="H12" s="538"/>
      <c r="I12" s="539">
        <f t="shared" si="0"/>
        <v>2</v>
      </c>
      <c r="J12" s="540">
        <v>14.850000000000001</v>
      </c>
      <c r="K12" s="22"/>
    </row>
    <row r="13" spans="1:12" ht="14.25" customHeight="1">
      <c r="A13" s="536" t="s">
        <v>193</v>
      </c>
      <c r="B13" s="534">
        <f t="shared" ref="B13:I13" si="1">+SUM(B7:B12)</f>
        <v>19</v>
      </c>
      <c r="C13" s="534">
        <f t="shared" si="1"/>
        <v>7</v>
      </c>
      <c r="D13" s="534">
        <f t="shared" si="1"/>
        <v>1</v>
      </c>
      <c r="E13" s="534">
        <f t="shared" si="1"/>
        <v>2</v>
      </c>
      <c r="F13" s="534">
        <f t="shared" si="1"/>
        <v>13</v>
      </c>
      <c r="G13" s="534">
        <f t="shared" si="1"/>
        <v>4</v>
      </c>
      <c r="H13" s="534">
        <f>+SUM(H7:H12)</f>
        <v>0</v>
      </c>
      <c r="I13" s="534">
        <f t="shared" si="1"/>
        <v>46</v>
      </c>
      <c r="J13" s="806">
        <f>SUM(J7:J12)</f>
        <v>330.11</v>
      </c>
      <c r="K13" s="22"/>
    </row>
    <row r="14" spans="1:12" ht="11.25" customHeight="1">
      <c r="A14" s="897"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diciembe 2022</v>
      </c>
      <c r="B14" s="897"/>
      <c r="C14" s="897"/>
      <c r="D14" s="897"/>
      <c r="E14" s="897"/>
      <c r="F14" s="897"/>
      <c r="G14" s="897"/>
      <c r="H14" s="897"/>
      <c r="I14" s="897"/>
      <c r="J14" s="897"/>
      <c r="K14" s="22"/>
    </row>
    <row r="15" spans="1:12" ht="11.25" customHeight="1">
      <c r="K15" s="22"/>
    </row>
    <row r="16" spans="1:12" ht="11.25" customHeight="1">
      <c r="A16" s="17"/>
      <c r="B16" s="214"/>
      <c r="C16" s="213"/>
      <c r="D16" s="213"/>
      <c r="E16" s="213"/>
      <c r="F16" s="213"/>
      <c r="G16" s="178"/>
      <c r="H16" s="178"/>
      <c r="I16" s="138"/>
      <c r="J16" s="25"/>
      <c r="K16" s="25"/>
      <c r="L16" s="22"/>
    </row>
    <row r="17" spans="1:12" ht="11.25" customHeight="1">
      <c r="A17" s="890" t="str">
        <f>"FALLAS  POR TIPO DE CAUSA  -  "&amp;UPPER('1. Resumen'!Q4)&amp;" "&amp;'1. Resumen'!Q5</f>
        <v>FALLAS  POR TIPO DE CAUSA  -  DICIEMBE 2022</v>
      </c>
      <c r="B17" s="890"/>
      <c r="C17" s="890"/>
      <c r="D17" s="890"/>
      <c r="E17" s="890" t="str">
        <f>"FALLAS  POR TIPO DE EQUIPO  -  "&amp;UPPER('1. Resumen'!Q4)&amp;" "&amp;'1. Resumen'!Q5</f>
        <v>FALLAS  POR TIPO DE EQUIPO  -  DICIEMBE 2022</v>
      </c>
      <c r="F17" s="890"/>
      <c r="G17" s="890"/>
      <c r="H17" s="890"/>
      <c r="I17" s="890"/>
      <c r="J17" s="890"/>
      <c r="K17" s="25"/>
      <c r="L17" s="22"/>
    </row>
    <row r="18" spans="1:12" ht="11.25" customHeight="1">
      <c r="A18" s="17"/>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30"/>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11.25" customHeight="1">
      <c r="A33" s="17"/>
      <c r="B33" s="214"/>
      <c r="C33" s="213"/>
      <c r="D33" s="213"/>
      <c r="E33" s="213"/>
      <c r="F33" s="213"/>
      <c r="G33" s="178"/>
      <c r="H33" s="178"/>
      <c r="I33" s="138"/>
      <c r="J33" s="111"/>
      <c r="K33" s="111"/>
      <c r="L33" s="22"/>
    </row>
    <row r="34" spans="1:12" ht="11.25" customHeight="1">
      <c r="A34" s="17"/>
      <c r="B34" s="214"/>
      <c r="C34" s="213"/>
      <c r="D34" s="213"/>
      <c r="E34" s="213"/>
      <c r="F34" s="213"/>
      <c r="G34" s="178"/>
      <c r="H34" s="178"/>
      <c r="I34" s="138"/>
      <c r="J34" s="111"/>
      <c r="K34" s="111"/>
      <c r="L34" s="22"/>
    </row>
    <row r="35" spans="1:12" ht="23.25" customHeight="1">
      <c r="A35" s="889" t="s">
        <v>396</v>
      </c>
      <c r="B35" s="889"/>
      <c r="C35" s="889"/>
      <c r="D35" s="267"/>
      <c r="E35" s="892" t="s">
        <v>397</v>
      </c>
      <c r="F35" s="892"/>
      <c r="G35" s="892"/>
      <c r="H35" s="892"/>
      <c r="I35" s="892"/>
      <c r="J35" s="892"/>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5"/>
    </row>
    <row r="38" spans="1:12" ht="11.25" customHeight="1">
      <c r="A38" s="891" t="str">
        <f>"ENERGÍA INTERRUMPIDA APROXIMADA POR TIPO DE EQUIPO (MWh)  -  "&amp;UPPER('1. Resumen'!Q4)&amp;" "&amp;'1. Resumen'!Q5</f>
        <v>ENERGÍA INTERRUMPIDA APROXIMADA POR TIPO DE EQUIPO (MWh)  -  DICIEMBE 2022</v>
      </c>
      <c r="B38" s="891"/>
      <c r="C38" s="891"/>
      <c r="D38" s="891"/>
      <c r="E38" s="891"/>
      <c r="F38" s="891"/>
      <c r="G38" s="891"/>
      <c r="H38" s="891"/>
      <c r="I38" s="891"/>
      <c r="J38" s="891"/>
      <c r="K38" s="25"/>
      <c r="L38" s="215"/>
    </row>
    <row r="39" spans="1:12" ht="11.25" customHeight="1">
      <c r="A39" s="17"/>
      <c r="B39" s="132"/>
      <c r="C39" s="132"/>
      <c r="D39" s="132"/>
      <c r="E39" s="132"/>
      <c r="F39" s="132"/>
      <c r="G39" s="25"/>
      <c r="H39" s="25"/>
      <c r="I39" s="25"/>
      <c r="J39" s="25"/>
      <c r="K39" s="25"/>
      <c r="L39" s="215"/>
    </row>
    <row r="40" spans="1:12" ht="11.25" customHeight="1">
      <c r="A40" s="17"/>
      <c r="B40" s="132"/>
      <c r="C40" s="25"/>
      <c r="D40" s="25"/>
      <c r="E40" s="25"/>
      <c r="F40" s="25"/>
      <c r="G40" s="25"/>
      <c r="H40" s="25"/>
      <c r="I40" s="25"/>
      <c r="J40" s="25"/>
      <c r="K40" s="25"/>
      <c r="L40" s="215"/>
    </row>
    <row r="41" spans="1:12" ht="11.25" customHeight="1">
      <c r="A41" s="17"/>
      <c r="B41" s="132"/>
      <c r="C41" s="25"/>
      <c r="D41" s="25"/>
      <c r="E41" s="25"/>
      <c r="F41" s="25"/>
      <c r="G41" s="25"/>
      <c r="H41" s="25"/>
    </row>
    <row r="42" spans="1:12" ht="13.2">
      <c r="A42" s="17"/>
      <c r="B42" s="132"/>
      <c r="J42" s="25"/>
      <c r="K42" s="25"/>
      <c r="L42" s="215"/>
    </row>
    <row r="43" spans="1:12" ht="13.2">
      <c r="A43" s="17"/>
      <c r="B43" s="132"/>
      <c r="J43" s="25"/>
      <c r="K43" s="25"/>
      <c r="L43" s="215"/>
    </row>
    <row r="44" spans="1:12" ht="13.2">
      <c r="A44" s="17"/>
      <c r="B44" s="132"/>
      <c r="J44" s="25"/>
      <c r="K44" s="25"/>
      <c r="L44" s="215"/>
    </row>
    <row r="45" spans="1:12" ht="13.2">
      <c r="A45" s="17"/>
      <c r="B45" s="132"/>
      <c r="J45" s="25"/>
      <c r="K45" s="25"/>
      <c r="L45" s="215"/>
    </row>
    <row r="46" spans="1:12" ht="13.2">
      <c r="A46" s="17"/>
      <c r="B46" s="132"/>
      <c r="J46" s="25"/>
      <c r="K46" s="25"/>
      <c r="L46" s="215"/>
    </row>
    <row r="47" spans="1:12" ht="13.2">
      <c r="A47" s="17"/>
      <c r="B47" s="132"/>
      <c r="C47" s="132"/>
      <c r="D47" s="132"/>
      <c r="E47" s="132"/>
      <c r="F47" s="132"/>
      <c r="G47" s="25"/>
      <c r="H47" s="25"/>
      <c r="I47" s="25"/>
      <c r="J47" s="25"/>
      <c r="K47" s="25"/>
      <c r="L47" s="215"/>
    </row>
    <row r="48" spans="1:12" ht="13.2">
      <c r="A48" s="163"/>
      <c r="B48" s="25"/>
      <c r="C48" s="25"/>
      <c r="D48" s="25"/>
      <c r="E48" s="25"/>
      <c r="F48" s="25"/>
      <c r="G48" s="25"/>
      <c r="H48" s="25"/>
      <c r="I48" s="25"/>
      <c r="J48" s="25"/>
      <c r="K48" s="25"/>
      <c r="L48" s="215"/>
    </row>
    <row r="49" spans="1:12" ht="13.2">
      <c r="A49" s="163"/>
      <c r="B49" s="25"/>
      <c r="C49" s="25"/>
      <c r="D49" s="25"/>
      <c r="E49" s="25"/>
      <c r="F49" s="25"/>
      <c r="G49" s="25"/>
      <c r="H49" s="25"/>
      <c r="I49" s="25"/>
      <c r="J49" s="25"/>
      <c r="K49" s="25"/>
      <c r="L49" s="215"/>
    </row>
    <row r="50" spans="1:12" ht="13.2">
      <c r="A50" s="163"/>
      <c r="B50" s="25"/>
      <c r="C50" s="25"/>
      <c r="D50" s="25"/>
      <c r="E50" s="25"/>
      <c r="F50" s="25"/>
      <c r="G50" s="25"/>
      <c r="H50" s="25"/>
      <c r="I50" s="25"/>
      <c r="J50" s="25"/>
      <c r="K50" s="25"/>
      <c r="L50" s="215"/>
    </row>
    <row r="51" spans="1:12" ht="13.2">
      <c r="A51" s="163"/>
      <c r="B51" s="25"/>
      <c r="C51" s="25"/>
      <c r="D51" s="25"/>
      <c r="E51" s="25"/>
      <c r="F51" s="25"/>
      <c r="G51" s="25"/>
      <c r="H51" s="25"/>
      <c r="I51" s="25"/>
      <c r="J51" s="25"/>
      <c r="K51" s="25"/>
      <c r="L51" s="215"/>
    </row>
    <row r="52" spans="1:12" ht="13.2">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2" customHeight="1">
      <c r="A54" s="267" t="str">
        <f>"Gráfico N°26: Comparación de la energía interrumpida aproximada por tipo de equipo en "&amp;'1. Resumen'!Q4&amp;" "&amp;'1. Resumen'!Q5</f>
        <v>Gráfico N°26: Comparación de la energía interrumpida aproximada por tipo de equipo en diciembe 2022</v>
      </c>
      <c r="B54" s="25"/>
      <c r="C54" s="25"/>
      <c r="D54" s="25"/>
      <c r="E54" s="25"/>
      <c r="F54" s="25"/>
      <c r="G54" s="25"/>
      <c r="H54" s="25"/>
      <c r="I54" s="25"/>
      <c r="J54" s="25"/>
      <c r="K54" s="25"/>
      <c r="L54" s="215"/>
    </row>
    <row r="55" spans="1:12" ht="15" customHeight="1">
      <c r="B55" s="25"/>
      <c r="C55" s="25"/>
      <c r="D55" s="25"/>
      <c r="E55" s="25"/>
      <c r="F55" s="25"/>
      <c r="G55" s="25"/>
      <c r="H55" s="25"/>
      <c r="I55" s="25"/>
      <c r="J55" s="25"/>
      <c r="K55" s="25"/>
      <c r="L55" s="215"/>
    </row>
    <row r="56" spans="1:12" ht="24" customHeight="1">
      <c r="A56" s="898" t="s">
        <v>203</v>
      </c>
      <c r="B56" s="898"/>
      <c r="C56" s="898"/>
      <c r="D56" s="898"/>
      <c r="E56" s="898"/>
      <c r="F56" s="898"/>
      <c r="G56" s="898"/>
      <c r="H56" s="898"/>
      <c r="I56" s="898"/>
      <c r="J56" s="898"/>
      <c r="K56" s="25"/>
      <c r="L56" s="215"/>
    </row>
    <row r="57" spans="1:12" ht="11.25" customHeight="1">
      <c r="A57" s="888" t="s">
        <v>204</v>
      </c>
      <c r="B57" s="888"/>
      <c r="C57" s="888"/>
      <c r="D57" s="888"/>
      <c r="E57" s="888"/>
      <c r="F57" s="888"/>
      <c r="G57" s="888"/>
      <c r="H57" s="888"/>
      <c r="I57" s="888"/>
      <c r="J57" s="888"/>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C64" s="25"/>
      <c r="D64" s="25"/>
      <c r="E64" s="25"/>
      <c r="F64" s="25"/>
      <c r="G64" s="25"/>
      <c r="H64" s="25"/>
      <c r="I64" s="25"/>
      <c r="J64" s="25"/>
      <c r="K64" s="25"/>
      <c r="L64" s="215"/>
    </row>
    <row r="65" spans="1:12" ht="13.2">
      <c r="A65" s="163"/>
      <c r="B65" s="25"/>
      <c r="C65" s="25"/>
      <c r="D65" s="25"/>
      <c r="E65" s="25"/>
      <c r="F65" s="25"/>
      <c r="G65" s="25"/>
      <c r="H65" s="25"/>
      <c r="I65" s="25"/>
      <c r="J65" s="25"/>
      <c r="K65" s="25"/>
      <c r="L65" s="215"/>
    </row>
    <row r="66" spans="1:12" ht="13.2">
      <c r="A66" s="163"/>
      <c r="B66" s="25"/>
      <c r="C66" s="25"/>
      <c r="D66" s="25"/>
      <c r="E66" s="25"/>
      <c r="F66" s="25"/>
      <c r="G66" s="25"/>
      <c r="H66" s="25"/>
      <c r="I66" s="25"/>
      <c r="J66" s="25"/>
      <c r="K66" s="25"/>
      <c r="L66" s="215"/>
    </row>
    <row r="67" spans="1:12" ht="13.2">
      <c r="A67" s="163"/>
      <c r="B67" s="25"/>
      <c r="C67" s="25"/>
      <c r="D67" s="25"/>
      <c r="E67" s="25"/>
      <c r="F67" s="25"/>
      <c r="G67" s="25"/>
      <c r="H67" s="25"/>
      <c r="I67" s="25"/>
      <c r="J67" s="25"/>
      <c r="K67" s="25"/>
      <c r="L67" s="215"/>
    </row>
    <row r="68" spans="1:12" ht="13.2">
      <c r="A68" s="163"/>
      <c r="B68" s="25"/>
      <c r="J68" s="25"/>
      <c r="K68" s="25"/>
      <c r="L68" s="215"/>
    </row>
    <row r="69" spans="1:12" ht="13.2">
      <c r="A69" s="163"/>
      <c r="B69" s="25"/>
      <c r="J69" s="25"/>
      <c r="K69" s="25"/>
      <c r="L69" s="215"/>
    </row>
    <row r="70" spans="1:12" ht="13.2">
      <c r="A70" s="163"/>
      <c r="B70" s="25"/>
      <c r="J70" s="25"/>
      <c r="K70" s="25"/>
      <c r="L70" s="215"/>
    </row>
    <row r="71" spans="1:12" ht="13.2">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A6"/>
    <mergeCell ref="A2:J2"/>
    <mergeCell ref="A4:J4"/>
    <mergeCell ref="A14:J14"/>
    <mergeCell ref="A56:J56"/>
    <mergeCell ref="A57:J57"/>
    <mergeCell ref="A35:C35"/>
    <mergeCell ref="A17:D17"/>
    <mergeCell ref="E17:J17"/>
    <mergeCell ref="A38:J38"/>
    <mergeCell ref="E35:J35"/>
  </mergeCells>
  <pageMargins left="0.4365" right="0.33950000000000002" top="0.94512820512820517" bottom="0.5098717948717949"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K58" sqref="K58"/>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07" t="s">
        <v>0</v>
      </c>
      <c r="B3" s="807"/>
      <c r="C3" s="807"/>
      <c r="D3" s="807"/>
      <c r="E3" s="807"/>
      <c r="F3" s="807"/>
      <c r="G3" s="807"/>
      <c r="H3" s="807"/>
      <c r="I3" s="807"/>
      <c r="J3" s="807"/>
      <c r="K3" s="807"/>
      <c r="L3" s="807"/>
    </row>
    <row r="4" spans="1:12">
      <c r="A4" s="807"/>
      <c r="B4" s="807"/>
      <c r="C4" s="807"/>
      <c r="D4" s="807"/>
      <c r="E4" s="807"/>
      <c r="F4" s="807"/>
      <c r="G4" s="807"/>
      <c r="H4" s="807"/>
      <c r="I4" s="807"/>
      <c r="J4" s="807"/>
      <c r="K4" s="807"/>
      <c r="L4" s="807"/>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390</v>
      </c>
      <c r="B7" s="217"/>
      <c r="C7" s="25"/>
      <c r="D7" s="25"/>
      <c r="E7" s="25"/>
      <c r="F7" s="25"/>
      <c r="G7" s="25"/>
      <c r="H7" s="25"/>
      <c r="I7" s="25"/>
      <c r="J7" s="25"/>
      <c r="K7" s="25"/>
      <c r="L7" s="25"/>
    </row>
    <row r="8" spans="1:12" ht="17.25" customHeight="1">
      <c r="A8" s="25"/>
      <c r="B8" s="25" t="s">
        <v>630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543</v>
      </c>
      <c r="B10" s="217"/>
      <c r="C10" s="25"/>
      <c r="D10" s="25"/>
      <c r="E10" s="25"/>
      <c r="F10" s="25"/>
      <c r="G10" s="25"/>
      <c r="H10" s="25"/>
      <c r="I10" s="25"/>
      <c r="J10" s="25"/>
      <c r="K10" s="25"/>
      <c r="L10" s="22"/>
    </row>
    <row r="11" spans="1:12" ht="19.5" customHeight="1">
      <c r="A11" s="27"/>
      <c r="B11" s="25" t="s">
        <v>432</v>
      </c>
      <c r="C11" s="25"/>
      <c r="D11" s="25"/>
      <c r="E11" s="25"/>
      <c r="F11" s="21"/>
      <c r="G11" s="21"/>
      <c r="H11" s="21"/>
      <c r="I11" s="21"/>
      <c r="J11" s="21"/>
      <c r="K11" s="21"/>
      <c r="L11" s="22" t="s">
        <v>2</v>
      </c>
    </row>
    <row r="12" spans="1:12" ht="19.5" customHeight="1">
      <c r="A12" s="27"/>
      <c r="B12" s="25" t="s">
        <v>371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383</v>
      </c>
      <c r="B14" s="25"/>
      <c r="C14" s="25"/>
      <c r="D14" s="25"/>
      <c r="E14" s="25"/>
      <c r="F14" s="25"/>
      <c r="G14" s="25"/>
      <c r="H14" s="25"/>
      <c r="I14" s="25"/>
      <c r="J14" s="25"/>
      <c r="K14" s="25"/>
      <c r="L14" s="22"/>
    </row>
    <row r="15" spans="1:12" ht="19.5" customHeight="1">
      <c r="A15" s="27"/>
      <c r="B15" s="25" t="s">
        <v>360</v>
      </c>
      <c r="C15" s="25"/>
      <c r="D15" s="25"/>
      <c r="E15" s="25"/>
      <c r="F15" s="21"/>
      <c r="G15" s="21"/>
      <c r="H15" s="21"/>
      <c r="I15" s="21"/>
      <c r="J15" s="21"/>
      <c r="K15" s="21"/>
      <c r="L15" s="22" t="s">
        <v>3</v>
      </c>
    </row>
    <row r="16" spans="1:12" ht="19.5" customHeight="1">
      <c r="A16" s="27"/>
      <c r="B16" s="25" t="s">
        <v>369</v>
      </c>
      <c r="C16" s="25"/>
      <c r="D16" s="25"/>
      <c r="E16" s="25"/>
      <c r="F16" s="25"/>
      <c r="G16" s="21"/>
      <c r="H16" s="21"/>
      <c r="I16" s="21"/>
      <c r="J16" s="21"/>
      <c r="K16" s="21"/>
      <c r="L16" s="22" t="s">
        <v>4</v>
      </c>
    </row>
    <row r="17" spans="1:12" ht="19.5" customHeight="1">
      <c r="A17" s="27"/>
      <c r="B17" s="25" t="s">
        <v>361</v>
      </c>
      <c r="C17" s="25"/>
      <c r="D17" s="25"/>
      <c r="E17" s="25"/>
      <c r="F17" s="25"/>
      <c r="G17" s="21"/>
      <c r="H17" s="21"/>
      <c r="I17" s="21"/>
      <c r="J17" s="21"/>
      <c r="K17" s="21"/>
      <c r="L17" s="22" t="s">
        <v>5</v>
      </c>
    </row>
    <row r="18" spans="1:12" ht="19.5" customHeight="1">
      <c r="A18" s="27"/>
      <c r="B18" s="25" t="s">
        <v>362</v>
      </c>
      <c r="C18" s="25"/>
      <c r="D18" s="25"/>
      <c r="E18" s="25"/>
      <c r="F18" s="21"/>
      <c r="G18" s="21"/>
      <c r="H18" s="21"/>
      <c r="I18" s="21"/>
      <c r="J18" s="21"/>
      <c r="K18" s="21"/>
      <c r="L18" s="22" t="s">
        <v>6</v>
      </c>
    </row>
    <row r="19" spans="1:12" ht="19.5" customHeight="1">
      <c r="A19" s="27"/>
      <c r="B19" s="25" t="s">
        <v>363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382</v>
      </c>
      <c r="B21" s="25"/>
      <c r="C21" s="25"/>
      <c r="D21" s="25"/>
      <c r="E21" s="25"/>
      <c r="F21" s="25"/>
      <c r="G21" s="25"/>
      <c r="H21" s="25"/>
      <c r="I21" s="25"/>
      <c r="J21" s="25"/>
      <c r="K21" s="25"/>
      <c r="L21" s="30"/>
    </row>
    <row r="22" spans="1:12" ht="19.5" customHeight="1">
      <c r="A22" s="25"/>
      <c r="B22" s="25" t="s">
        <v>384</v>
      </c>
      <c r="C22" s="25"/>
      <c r="D22" s="25"/>
      <c r="E22" s="25"/>
      <c r="F22" s="25"/>
      <c r="G22" s="21"/>
      <c r="H22" s="21"/>
      <c r="I22" s="21"/>
      <c r="J22" s="21"/>
      <c r="K22" s="21"/>
      <c r="L22" s="22" t="s">
        <v>9</v>
      </c>
    </row>
    <row r="23" spans="1:12" ht="19.5" customHeight="1">
      <c r="A23" s="31"/>
      <c r="B23" s="25" t="s">
        <v>422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246</v>
      </c>
      <c r="B25" s="25"/>
      <c r="C25" s="25"/>
      <c r="D25" s="25"/>
      <c r="E25" s="25"/>
      <c r="F25" s="25"/>
      <c r="G25" s="25"/>
      <c r="H25" s="25"/>
      <c r="I25" s="25"/>
      <c r="J25" s="25"/>
      <c r="K25" s="25"/>
      <c r="L25" s="30"/>
    </row>
    <row r="26" spans="1:12" ht="19.5" customHeight="1">
      <c r="A26" s="25"/>
      <c r="B26" s="25" t="s">
        <v>386</v>
      </c>
      <c r="C26" s="25"/>
      <c r="D26" s="25"/>
      <c r="E26" s="25"/>
      <c r="F26" s="21"/>
      <c r="G26" s="21"/>
      <c r="H26" s="21"/>
      <c r="I26" s="21"/>
      <c r="J26" s="21"/>
      <c r="K26" s="33"/>
      <c r="L26" s="22" t="s">
        <v>11</v>
      </c>
    </row>
    <row r="27" spans="1:12" ht="19.5" customHeight="1">
      <c r="A27" s="25"/>
      <c r="B27" s="25" t="s">
        <v>364</v>
      </c>
      <c r="C27" s="25"/>
      <c r="D27" s="25"/>
      <c r="E27" s="25"/>
      <c r="F27" s="25"/>
      <c r="G27" s="21"/>
      <c r="H27" s="21"/>
      <c r="I27" s="21"/>
      <c r="J27" s="21"/>
      <c r="K27" s="33"/>
      <c r="L27" s="22" t="s">
        <v>11</v>
      </c>
    </row>
    <row r="28" spans="1:12" ht="19.5" customHeight="1">
      <c r="A28" s="31"/>
      <c r="B28" s="25" t="s">
        <v>385</v>
      </c>
      <c r="C28" s="25"/>
      <c r="D28" s="25"/>
      <c r="E28" s="25"/>
      <c r="F28" s="21"/>
      <c r="G28" s="21"/>
      <c r="H28" s="33"/>
      <c r="I28" s="33"/>
      <c r="J28" s="33"/>
      <c r="K28" s="33"/>
      <c r="L28" s="22" t="s">
        <v>12</v>
      </c>
    </row>
    <row r="29" spans="1:12" ht="19.5" customHeight="1">
      <c r="A29" s="31"/>
      <c r="B29" s="25" t="s">
        <v>370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375</v>
      </c>
      <c r="B31" s="25"/>
      <c r="C31" s="25"/>
      <c r="D31" s="25"/>
      <c r="E31" s="25"/>
      <c r="F31" s="25"/>
      <c r="G31" s="25"/>
      <c r="H31" s="25"/>
      <c r="I31" s="25"/>
      <c r="J31" s="25"/>
      <c r="K31" s="25"/>
      <c r="L31" s="22"/>
    </row>
    <row r="32" spans="1:12" ht="19.5" customHeight="1">
      <c r="A32" s="31"/>
      <c r="B32" s="25" t="s">
        <v>387</v>
      </c>
      <c r="C32" s="25"/>
      <c r="D32" s="25"/>
      <c r="E32" s="25"/>
      <c r="F32" s="25"/>
      <c r="G32" s="21"/>
      <c r="H32" s="21"/>
      <c r="I32" s="21"/>
      <c r="J32" s="21"/>
      <c r="K32" s="21"/>
      <c r="L32" s="22" t="s">
        <v>13</v>
      </c>
    </row>
    <row r="33" spans="1:12" ht="19.5" customHeight="1">
      <c r="A33" s="31"/>
      <c r="B33" s="25" t="s">
        <v>365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366</v>
      </c>
      <c r="B35" s="26"/>
      <c r="C35" s="32"/>
      <c r="D35" s="26"/>
      <c r="E35" s="26"/>
      <c r="F35" s="26"/>
      <c r="G35" s="26"/>
      <c r="H35" s="26"/>
      <c r="I35" s="26"/>
      <c r="J35" s="26"/>
      <c r="K35" s="26"/>
      <c r="L35" s="22"/>
    </row>
    <row r="36" spans="1:12" ht="19.5" customHeight="1">
      <c r="A36" s="27"/>
      <c r="B36" s="25" t="s">
        <v>388</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367</v>
      </c>
      <c r="B38" s="35"/>
      <c r="C38" s="25"/>
      <c r="D38" s="25"/>
      <c r="E38" s="25"/>
      <c r="F38" s="25"/>
      <c r="G38" s="25"/>
      <c r="H38" s="25"/>
      <c r="I38" s="25"/>
      <c r="J38" s="25"/>
      <c r="K38" s="25"/>
      <c r="L38" s="38"/>
    </row>
    <row r="39" spans="1:12" ht="19.5" customHeight="1">
      <c r="A39" s="27"/>
      <c r="B39" s="25" t="s">
        <v>368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205</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389</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topLeftCell="A9" zoomScaleNormal="100" zoomScaleSheetLayoutView="100" zoomScalePageLayoutView="130" workbookViewId="0">
      <selection activeCell="K58" sqref="K58"/>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269</v>
      </c>
      <c r="B1" s="268"/>
      <c r="C1" s="268"/>
      <c r="D1" s="268"/>
      <c r="E1" s="268"/>
      <c r="F1" s="268"/>
      <c r="G1" s="268"/>
    </row>
    <row r="2" spans="1:8" ht="14.25" customHeight="1">
      <c r="A2" s="899" t="s">
        <v>244</v>
      </c>
      <c r="B2" s="902" t="s">
        <v>53</v>
      </c>
      <c r="C2" s="905" t="str">
        <f>"ENERGÍA PRODUCIDA "&amp;UPPER('1. Resumen'!Q4)&amp;" "&amp;'1. Resumen'!Q5</f>
        <v>ENERGÍA PRODUCIDA DICIEMBE 2022</v>
      </c>
      <c r="D2" s="905"/>
      <c r="E2" s="905"/>
      <c r="F2" s="905"/>
      <c r="G2" s="494" t="s">
        <v>270</v>
      </c>
      <c r="H2" s="203"/>
    </row>
    <row r="3" spans="1:8" ht="11.25" customHeight="1">
      <c r="A3" s="900"/>
      <c r="B3" s="903"/>
      <c r="C3" s="906" t="s">
        <v>271</v>
      </c>
      <c r="D3" s="906"/>
      <c r="E3" s="906"/>
      <c r="F3" s="907" t="str">
        <f>"TOTAL 
"&amp;UPPER('1. Resumen'!Q4)</f>
        <v>TOTAL 
DICIEMBE</v>
      </c>
      <c r="G3" s="495" t="s">
        <v>272</v>
      </c>
      <c r="H3" s="194"/>
    </row>
    <row r="4" spans="1:8" ht="12.75" customHeight="1">
      <c r="A4" s="900"/>
      <c r="B4" s="903"/>
      <c r="C4" s="490" t="s">
        <v>209</v>
      </c>
      <c r="D4" s="490" t="s">
        <v>210</v>
      </c>
      <c r="E4" s="490" t="s">
        <v>273</v>
      </c>
      <c r="F4" s="908"/>
      <c r="G4" s="495">
        <v>2022</v>
      </c>
      <c r="H4" s="196"/>
    </row>
    <row r="5" spans="1:8" ht="11.25" customHeight="1">
      <c r="A5" s="901"/>
      <c r="B5" s="904"/>
      <c r="C5" s="491" t="s">
        <v>274</v>
      </c>
      <c r="D5" s="491" t="s">
        <v>274</v>
      </c>
      <c r="E5" s="491" t="s">
        <v>274</v>
      </c>
      <c r="F5" s="491" t="s">
        <v>274</v>
      </c>
      <c r="G5" s="496" t="s">
        <v>202</v>
      </c>
      <c r="H5" s="196"/>
    </row>
    <row r="6" spans="1:8" ht="8.4" customHeight="1">
      <c r="A6" s="527" t="s">
        <v>118</v>
      </c>
      <c r="B6" s="335" t="s">
        <v>85</v>
      </c>
      <c r="C6" s="336"/>
      <c r="D6" s="336"/>
      <c r="E6" s="336">
        <v>9521.3022650000003</v>
      </c>
      <c r="F6" s="336">
        <v>9521.3022650000003</v>
      </c>
      <c r="G6" s="526">
        <v>62401.71587</v>
      </c>
      <c r="H6" s="196"/>
    </row>
    <row r="7" spans="1:8" ht="8.4" customHeight="1">
      <c r="A7" s="523" t="s">
        <v>466</v>
      </c>
      <c r="B7" s="400"/>
      <c r="C7" s="401"/>
      <c r="D7" s="401"/>
      <c r="E7" s="401">
        <v>9521.3022650000003</v>
      </c>
      <c r="F7" s="401">
        <v>9521.3022650000003</v>
      </c>
      <c r="G7" s="525">
        <v>62401.71587</v>
      </c>
      <c r="H7" s="196"/>
    </row>
    <row r="8" spans="1:8" ht="8.4" customHeight="1">
      <c r="A8" s="527" t="s">
        <v>117</v>
      </c>
      <c r="B8" s="335" t="s">
        <v>62</v>
      </c>
      <c r="C8" s="336"/>
      <c r="D8" s="336"/>
      <c r="E8" s="336">
        <v>6231.1070674999992</v>
      </c>
      <c r="F8" s="336">
        <v>6231.1070674999992</v>
      </c>
      <c r="G8" s="526">
        <v>92778.503602499986</v>
      </c>
      <c r="H8" s="196"/>
    </row>
    <row r="9" spans="1:8" ht="8.4" customHeight="1">
      <c r="A9" s="523" t="s">
        <v>467</v>
      </c>
      <c r="B9" s="400"/>
      <c r="C9" s="401"/>
      <c r="D9" s="401"/>
      <c r="E9" s="401">
        <v>6231.1070674999992</v>
      </c>
      <c r="F9" s="401">
        <v>6231.1070674999992</v>
      </c>
      <c r="G9" s="525">
        <v>92778.503602499986</v>
      </c>
      <c r="H9" s="196"/>
    </row>
    <row r="10" spans="1:8" ht="8.4" customHeight="1">
      <c r="A10" s="522" t="s">
        <v>105</v>
      </c>
      <c r="B10" s="299" t="s">
        <v>82</v>
      </c>
      <c r="C10" s="493"/>
      <c r="D10" s="493"/>
      <c r="E10" s="493">
        <v>6993.6656750000002</v>
      </c>
      <c r="F10" s="493">
        <v>6993.6656750000002</v>
      </c>
      <c r="G10" s="524">
        <v>99012.58593999999</v>
      </c>
      <c r="H10" s="196"/>
    </row>
    <row r="11" spans="1:8" ht="8.4" customHeight="1">
      <c r="A11" s="523" t="s">
        <v>468</v>
      </c>
      <c r="B11" s="400"/>
      <c r="C11" s="401"/>
      <c r="D11" s="401"/>
      <c r="E11" s="401">
        <v>6993.6656750000002</v>
      </c>
      <c r="F11" s="401">
        <v>6993.6656750000002</v>
      </c>
      <c r="G11" s="525">
        <v>99012.58593999999</v>
      </c>
      <c r="H11" s="196"/>
    </row>
    <row r="12" spans="1:8" ht="8.4" customHeight="1">
      <c r="A12" s="522" t="s">
        <v>407</v>
      </c>
      <c r="B12" s="299" t="s">
        <v>409</v>
      </c>
      <c r="C12" s="493"/>
      <c r="D12" s="493"/>
      <c r="E12" s="493">
        <v>10095.99502</v>
      </c>
      <c r="F12" s="493">
        <v>10095.99502</v>
      </c>
      <c r="G12" s="524">
        <v>118522.79360500001</v>
      </c>
      <c r="H12" s="196"/>
    </row>
    <row r="13" spans="1:8" ht="8.4" customHeight="1">
      <c r="A13" s="523" t="s">
        <v>469</v>
      </c>
      <c r="B13" s="400"/>
      <c r="C13" s="401"/>
      <c r="D13" s="401"/>
      <c r="E13" s="401">
        <v>10095.99502</v>
      </c>
      <c r="F13" s="401">
        <v>10095.99502</v>
      </c>
      <c r="G13" s="525">
        <v>118522.79360500001</v>
      </c>
      <c r="H13" s="196"/>
    </row>
    <row r="14" spans="1:8" ht="8.4" customHeight="1">
      <c r="A14" s="522" t="s">
        <v>456</v>
      </c>
      <c r="B14" s="299" t="s">
        <v>74</v>
      </c>
      <c r="C14" s="493"/>
      <c r="D14" s="493"/>
      <c r="E14" s="493">
        <v>324.08012500000001</v>
      </c>
      <c r="F14" s="493">
        <v>324.08012500000001</v>
      </c>
      <c r="G14" s="524">
        <v>2684.0592150000002</v>
      </c>
      <c r="H14" s="196"/>
    </row>
    <row r="15" spans="1:8" ht="8.4" customHeight="1">
      <c r="A15" s="523" t="s">
        <v>470</v>
      </c>
      <c r="B15" s="400"/>
      <c r="C15" s="401"/>
      <c r="D15" s="401"/>
      <c r="E15" s="401">
        <v>324.08012500000001</v>
      </c>
      <c r="F15" s="401">
        <v>324.08012500000001</v>
      </c>
      <c r="G15" s="525">
        <v>2684.0592150000002</v>
      </c>
      <c r="H15" s="196"/>
    </row>
    <row r="16" spans="1:8" ht="8.4" customHeight="1">
      <c r="A16" s="522" t="s">
        <v>437</v>
      </c>
      <c r="B16" s="299" t="s">
        <v>443</v>
      </c>
      <c r="C16" s="493"/>
      <c r="D16" s="493"/>
      <c r="E16" s="493">
        <v>5614.286615</v>
      </c>
      <c r="F16" s="493">
        <v>5614.286615</v>
      </c>
      <c r="G16" s="524">
        <v>67227.312194999991</v>
      </c>
      <c r="H16" s="196"/>
    </row>
    <row r="17" spans="1:8" ht="8.4" customHeight="1">
      <c r="A17" s="523" t="s">
        <v>471</v>
      </c>
      <c r="B17" s="400"/>
      <c r="C17" s="401"/>
      <c r="D17" s="401"/>
      <c r="E17" s="401">
        <v>5614.286615</v>
      </c>
      <c r="F17" s="401">
        <v>5614.286615</v>
      </c>
      <c r="G17" s="525">
        <v>67227.312194999991</v>
      </c>
      <c r="H17" s="196"/>
    </row>
    <row r="18" spans="1:8" ht="8.4" customHeight="1">
      <c r="A18" s="522" t="s">
        <v>93</v>
      </c>
      <c r="B18" s="299" t="s">
        <v>275</v>
      </c>
      <c r="C18" s="493">
        <v>62476.911874999998</v>
      </c>
      <c r="D18" s="493"/>
      <c r="E18" s="493"/>
      <c r="F18" s="493">
        <v>62476.911874999998</v>
      </c>
      <c r="G18" s="524">
        <v>1041313.5159425002</v>
      </c>
      <c r="H18" s="196"/>
    </row>
    <row r="19" spans="1:8" ht="8.4" customHeight="1">
      <c r="A19" s="523" t="s">
        <v>472</v>
      </c>
      <c r="B19" s="400"/>
      <c r="C19" s="401">
        <v>62476.911874999998</v>
      </c>
      <c r="D19" s="401"/>
      <c r="E19" s="401"/>
      <c r="F19" s="401">
        <v>62476.911874999998</v>
      </c>
      <c r="G19" s="525">
        <v>1041313.5159425002</v>
      </c>
      <c r="H19" s="196"/>
    </row>
    <row r="20" spans="1:8" ht="8.4" customHeight="1">
      <c r="A20" s="522" t="s">
        <v>458</v>
      </c>
      <c r="B20" s="299" t="s">
        <v>314</v>
      </c>
      <c r="C20" s="493">
        <v>12034.86681</v>
      </c>
      <c r="D20" s="493"/>
      <c r="E20" s="493"/>
      <c r="F20" s="493">
        <v>12034.86681</v>
      </c>
      <c r="G20" s="524">
        <v>139074.63495000001</v>
      </c>
      <c r="H20" s="196"/>
    </row>
    <row r="21" spans="1:8" ht="8.4" customHeight="1">
      <c r="A21" s="523" t="s">
        <v>473</v>
      </c>
      <c r="B21" s="400"/>
      <c r="C21" s="401">
        <v>12034.86681</v>
      </c>
      <c r="D21" s="401"/>
      <c r="E21" s="401"/>
      <c r="F21" s="401">
        <v>12034.86681</v>
      </c>
      <c r="G21" s="525">
        <v>139074.63495000001</v>
      </c>
      <c r="H21" s="196"/>
    </row>
    <row r="22" spans="1:8" ht="8.4" customHeight="1">
      <c r="A22" s="522" t="s">
        <v>530</v>
      </c>
      <c r="B22" s="299" t="s">
        <v>545</v>
      </c>
      <c r="C22" s="493">
        <v>402.5561275</v>
      </c>
      <c r="D22" s="493"/>
      <c r="E22" s="493"/>
      <c r="F22" s="493">
        <v>402.5561275</v>
      </c>
      <c r="G22" s="524">
        <v>6153.6266775000004</v>
      </c>
      <c r="H22" s="196"/>
    </row>
    <row r="23" spans="1:8" ht="8.4" customHeight="1">
      <c r="A23" s="522"/>
      <c r="B23" s="299" t="s">
        <v>546</v>
      </c>
      <c r="C23" s="493">
        <v>823.11093500000004</v>
      </c>
      <c r="D23" s="493"/>
      <c r="E23" s="493"/>
      <c r="F23" s="493">
        <v>823.11093500000004</v>
      </c>
      <c r="G23" s="524">
        <v>9905.1784100000004</v>
      </c>
      <c r="H23" s="196"/>
    </row>
    <row r="24" spans="1:8" ht="8.4" customHeight="1">
      <c r="A24" s="523" t="s">
        <v>532</v>
      </c>
      <c r="B24" s="400"/>
      <c r="C24" s="401">
        <v>1225.6670625000002</v>
      </c>
      <c r="D24" s="401"/>
      <c r="E24" s="401"/>
      <c r="F24" s="401">
        <v>1225.6670625000002</v>
      </c>
      <c r="G24" s="525">
        <v>16058.805087500001</v>
      </c>
      <c r="H24" s="196"/>
    </row>
    <row r="25" spans="1:8" ht="8.4" customHeight="1">
      <c r="A25" s="522" t="s">
        <v>230</v>
      </c>
      <c r="B25" s="299" t="s">
        <v>276</v>
      </c>
      <c r="C25" s="493"/>
      <c r="D25" s="493">
        <v>836.11974999999995</v>
      </c>
      <c r="E25" s="493"/>
      <c r="F25" s="493">
        <v>836.11974999999995</v>
      </c>
      <c r="G25" s="524">
        <v>5177.1502650000002</v>
      </c>
      <c r="H25" s="196"/>
    </row>
    <row r="26" spans="1:8" ht="8.4" customHeight="1">
      <c r="A26" s="523" t="s">
        <v>474</v>
      </c>
      <c r="B26" s="400"/>
      <c r="C26" s="401"/>
      <c r="D26" s="401">
        <v>836.11974999999995</v>
      </c>
      <c r="E26" s="401"/>
      <c r="F26" s="401">
        <v>836.11974999999995</v>
      </c>
      <c r="G26" s="525">
        <v>5177.1502650000002</v>
      </c>
      <c r="H26" s="196"/>
    </row>
    <row r="27" spans="1:8" ht="8.4" customHeight="1">
      <c r="A27" s="522" t="s">
        <v>92</v>
      </c>
      <c r="B27" s="299" t="s">
        <v>277</v>
      </c>
      <c r="C27" s="493">
        <v>65043.476750000002</v>
      </c>
      <c r="D27" s="493"/>
      <c r="E27" s="493"/>
      <c r="F27" s="493">
        <v>65043.476750000002</v>
      </c>
      <c r="G27" s="524">
        <v>713875.67850000004</v>
      </c>
      <c r="H27" s="196"/>
    </row>
    <row r="28" spans="1:8" ht="8.4" customHeight="1">
      <c r="A28" s="522"/>
      <c r="B28" s="299" t="s">
        <v>278</v>
      </c>
      <c r="C28" s="493">
        <v>12385.134</v>
      </c>
      <c r="D28" s="493"/>
      <c r="E28" s="493"/>
      <c r="F28" s="493">
        <v>12385.134</v>
      </c>
      <c r="G28" s="524">
        <v>205643.72399999999</v>
      </c>
      <c r="H28" s="196"/>
    </row>
    <row r="29" spans="1:8" ht="8.4" customHeight="1">
      <c r="A29" s="523" t="s">
        <v>475</v>
      </c>
      <c r="B29" s="400"/>
      <c r="C29" s="401">
        <v>77428.610750000007</v>
      </c>
      <c r="D29" s="401"/>
      <c r="E29" s="401"/>
      <c r="F29" s="401">
        <v>77428.610750000007</v>
      </c>
      <c r="G29" s="525">
        <v>919519.40250000008</v>
      </c>
      <c r="H29" s="196"/>
    </row>
    <row r="30" spans="1:8" ht="8.4" customHeight="1">
      <c r="A30" s="522" t="s">
        <v>531</v>
      </c>
      <c r="B30" s="299" t="s">
        <v>547</v>
      </c>
      <c r="C30" s="493"/>
      <c r="D30" s="493"/>
      <c r="E30" s="493">
        <v>214.40828250000001</v>
      </c>
      <c r="F30" s="493">
        <v>214.40828250000001</v>
      </c>
      <c r="G30" s="524">
        <v>2776.071085</v>
      </c>
      <c r="H30" s="196"/>
    </row>
    <row r="31" spans="1:8" ht="8.4" customHeight="1">
      <c r="A31" s="523" t="s">
        <v>533</v>
      </c>
      <c r="B31" s="400"/>
      <c r="C31" s="401"/>
      <c r="D31" s="401"/>
      <c r="E31" s="401">
        <v>214.40828250000001</v>
      </c>
      <c r="F31" s="401">
        <v>214.40828250000001</v>
      </c>
      <c r="G31" s="525">
        <v>2776.071085</v>
      </c>
      <c r="H31" s="196"/>
    </row>
    <row r="32" spans="1:8" ht="8.4" customHeight="1">
      <c r="A32" s="522" t="s">
        <v>90</v>
      </c>
      <c r="B32" s="299" t="s">
        <v>279</v>
      </c>
      <c r="C32" s="493">
        <v>1236.5356174999999</v>
      </c>
      <c r="D32" s="493"/>
      <c r="E32" s="493"/>
      <c r="F32" s="493">
        <v>1236.5356174999999</v>
      </c>
      <c r="G32" s="524">
        <v>14374.029694999999</v>
      </c>
      <c r="H32" s="196"/>
    </row>
    <row r="33" spans="1:8" ht="8.4" customHeight="1">
      <c r="A33" s="522"/>
      <c r="B33" s="299" t="s">
        <v>280</v>
      </c>
      <c r="C33" s="493">
        <v>417.16225250000002</v>
      </c>
      <c r="D33" s="493"/>
      <c r="E33" s="493"/>
      <c r="F33" s="493">
        <v>417.16225250000002</v>
      </c>
      <c r="G33" s="524">
        <v>4785.2259050000002</v>
      </c>
      <c r="H33" s="196"/>
    </row>
    <row r="34" spans="1:8" ht="8.4" customHeight="1">
      <c r="A34" s="522"/>
      <c r="B34" s="299" t="s">
        <v>281</v>
      </c>
      <c r="C34" s="493">
        <v>3475.5237900000002</v>
      </c>
      <c r="D34" s="493"/>
      <c r="E34" s="493"/>
      <c r="F34" s="493">
        <v>3475.5237900000002</v>
      </c>
      <c r="G34" s="524">
        <v>40188.686682499996</v>
      </c>
      <c r="H34" s="196"/>
    </row>
    <row r="35" spans="1:8" ht="8.4" customHeight="1">
      <c r="A35" s="522"/>
      <c r="B35" s="299" t="s">
        <v>282</v>
      </c>
      <c r="C35" s="493">
        <v>8284.2034449999992</v>
      </c>
      <c r="D35" s="493"/>
      <c r="E35" s="493"/>
      <c r="F35" s="493">
        <v>8284.2034449999992</v>
      </c>
      <c r="G35" s="524">
        <v>108634.2281875</v>
      </c>
      <c r="H35" s="196"/>
    </row>
    <row r="36" spans="1:8" ht="8.4" customHeight="1">
      <c r="A36" s="522"/>
      <c r="B36" s="299" t="s">
        <v>283</v>
      </c>
      <c r="C36" s="493">
        <v>57929.587639999998</v>
      </c>
      <c r="D36" s="493"/>
      <c r="E36" s="493"/>
      <c r="F36" s="493">
        <v>57929.587639999998</v>
      </c>
      <c r="G36" s="524">
        <v>691718.86866500007</v>
      </c>
      <c r="H36" s="196"/>
    </row>
    <row r="37" spans="1:8" ht="8.4" customHeight="1">
      <c r="A37" s="522"/>
      <c r="B37" s="299" t="s">
        <v>284</v>
      </c>
      <c r="C37" s="493">
        <v>5808.8319199999996</v>
      </c>
      <c r="D37" s="493"/>
      <c r="E37" s="493"/>
      <c r="F37" s="493">
        <v>5808.8319199999996</v>
      </c>
      <c r="G37" s="524">
        <v>64587.075974999985</v>
      </c>
      <c r="H37" s="196"/>
    </row>
    <row r="38" spans="1:8" ht="8.4" customHeight="1">
      <c r="A38" s="522"/>
      <c r="B38" s="299" t="s">
        <v>285</v>
      </c>
      <c r="C38" s="493"/>
      <c r="D38" s="493">
        <v>3.4744999999999999</v>
      </c>
      <c r="E38" s="493"/>
      <c r="F38" s="493">
        <v>3.4744999999999999</v>
      </c>
      <c r="G38" s="524">
        <v>1472.4341025000001</v>
      </c>
      <c r="H38" s="196"/>
    </row>
    <row r="39" spans="1:8" ht="8.4" customHeight="1">
      <c r="A39" s="522"/>
      <c r="B39" s="299" t="s">
        <v>286</v>
      </c>
      <c r="C39" s="493"/>
      <c r="D39" s="493">
        <v>217.18909250000002</v>
      </c>
      <c r="E39" s="493"/>
      <c r="F39" s="493">
        <v>217.18909250000002</v>
      </c>
      <c r="G39" s="524">
        <v>2743.3735324999998</v>
      </c>
      <c r="H39" s="196"/>
    </row>
    <row r="40" spans="1:8" ht="8.4" customHeight="1">
      <c r="A40" s="523" t="s">
        <v>476</v>
      </c>
      <c r="B40" s="400"/>
      <c r="C40" s="401">
        <v>77151.844664999997</v>
      </c>
      <c r="D40" s="401">
        <v>220.66359250000002</v>
      </c>
      <c r="E40" s="401"/>
      <c r="F40" s="401">
        <v>77372.508257499998</v>
      </c>
      <c r="G40" s="525">
        <v>928503.92274500011</v>
      </c>
      <c r="H40" s="196"/>
    </row>
    <row r="41" spans="1:8" ht="8.4" customHeight="1">
      <c r="A41" s="522" t="s">
        <v>111</v>
      </c>
      <c r="B41" s="299" t="s">
        <v>69</v>
      </c>
      <c r="C41" s="493"/>
      <c r="D41" s="493"/>
      <c r="E41" s="493">
        <v>2040.3903475000002</v>
      </c>
      <c r="F41" s="493">
        <v>2040.3903475000002</v>
      </c>
      <c r="G41" s="524">
        <v>26339.776534999997</v>
      </c>
      <c r="H41" s="196"/>
    </row>
    <row r="42" spans="1:8" ht="8.4" customHeight="1">
      <c r="A42" s="523" t="s">
        <v>477</v>
      </c>
      <c r="B42" s="400"/>
      <c r="C42" s="401"/>
      <c r="D42" s="401"/>
      <c r="E42" s="401">
        <v>2040.3903475000002</v>
      </c>
      <c r="F42" s="401">
        <v>2040.3903475000002</v>
      </c>
      <c r="G42" s="525">
        <v>26339.776534999997</v>
      </c>
      <c r="H42" s="196"/>
    </row>
    <row r="43" spans="1:8" ht="8.4" customHeight="1">
      <c r="A43" s="522" t="s">
        <v>91</v>
      </c>
      <c r="B43" s="299" t="s">
        <v>287</v>
      </c>
      <c r="C43" s="493">
        <v>102895.67675000001</v>
      </c>
      <c r="D43" s="493"/>
      <c r="E43" s="493"/>
      <c r="F43" s="493">
        <v>102895.67675000001</v>
      </c>
      <c r="G43" s="524">
        <v>1172683.2032200003</v>
      </c>
      <c r="H43" s="196"/>
    </row>
    <row r="44" spans="1:8" ht="8.4" customHeight="1">
      <c r="A44" s="523" t="s">
        <v>478</v>
      </c>
      <c r="B44" s="400"/>
      <c r="C44" s="401">
        <v>102895.67675000001</v>
      </c>
      <c r="D44" s="401"/>
      <c r="E44" s="401"/>
      <c r="F44" s="401">
        <v>102895.67675000001</v>
      </c>
      <c r="G44" s="525">
        <v>1172683.2032200003</v>
      </c>
      <c r="H44" s="196"/>
    </row>
    <row r="45" spans="1:8" ht="8.4" customHeight="1">
      <c r="A45" s="522" t="s">
        <v>100</v>
      </c>
      <c r="B45" s="299" t="s">
        <v>288</v>
      </c>
      <c r="C45" s="493">
        <v>2872.3896599999998</v>
      </c>
      <c r="D45" s="493"/>
      <c r="E45" s="493"/>
      <c r="F45" s="493">
        <v>2872.3896599999998</v>
      </c>
      <c r="G45" s="524">
        <v>55861.707002499999</v>
      </c>
      <c r="H45" s="196"/>
    </row>
    <row r="46" spans="1:8" ht="8.4" customHeight="1">
      <c r="A46" s="522"/>
      <c r="B46" s="299" t="s">
        <v>289</v>
      </c>
      <c r="C46" s="493">
        <v>0</v>
      </c>
      <c r="D46" s="493"/>
      <c r="E46" s="493"/>
      <c r="F46" s="493">
        <v>0</v>
      </c>
      <c r="G46" s="524">
        <v>35021.469682499999</v>
      </c>
      <c r="H46" s="196"/>
    </row>
    <row r="47" spans="1:8" ht="8.4" customHeight="1">
      <c r="A47" s="522"/>
      <c r="B47" s="299" t="s">
        <v>290</v>
      </c>
      <c r="C47" s="493"/>
      <c r="D47" s="493">
        <v>12609.0540225</v>
      </c>
      <c r="E47" s="493"/>
      <c r="F47" s="493">
        <v>12609.0540225</v>
      </c>
      <c r="G47" s="524">
        <v>138811.14988750004</v>
      </c>
      <c r="H47" s="196"/>
    </row>
    <row r="48" spans="1:8" ht="8.4" customHeight="1">
      <c r="A48" s="523" t="s">
        <v>479</v>
      </c>
      <c r="B48" s="400"/>
      <c r="C48" s="401">
        <v>2872.3896599999998</v>
      </c>
      <c r="D48" s="401">
        <v>12609.0540225</v>
      </c>
      <c r="E48" s="401"/>
      <c r="F48" s="401">
        <v>15481.443682500001</v>
      </c>
      <c r="G48" s="525">
        <v>229694.32657250005</v>
      </c>
      <c r="H48" s="196"/>
    </row>
    <row r="49" spans="1:8" ht="8.4" customHeight="1">
      <c r="A49" s="522" t="s">
        <v>112</v>
      </c>
      <c r="B49" s="299" t="s">
        <v>72</v>
      </c>
      <c r="C49" s="493"/>
      <c r="D49" s="493"/>
      <c r="E49" s="493">
        <v>2119.2326250000001</v>
      </c>
      <c r="F49" s="493">
        <v>2119.2326250000001</v>
      </c>
      <c r="G49" s="524">
        <v>24445.705100000003</v>
      </c>
      <c r="H49" s="196"/>
    </row>
    <row r="50" spans="1:8" ht="8.4" customHeight="1">
      <c r="A50" s="523" t="s">
        <v>480</v>
      </c>
      <c r="B50" s="400"/>
      <c r="C50" s="401"/>
      <c r="D50" s="401"/>
      <c r="E50" s="401">
        <v>2119.2326250000001</v>
      </c>
      <c r="F50" s="401">
        <v>2119.2326250000001</v>
      </c>
      <c r="G50" s="525">
        <v>24445.705100000003</v>
      </c>
      <c r="H50" s="196"/>
    </row>
    <row r="51" spans="1:8" ht="8.4" customHeight="1">
      <c r="A51" s="522" t="s">
        <v>88</v>
      </c>
      <c r="B51" s="299" t="s">
        <v>291</v>
      </c>
      <c r="C51" s="493">
        <v>361528.35659999994</v>
      </c>
      <c r="D51" s="493"/>
      <c r="E51" s="493"/>
      <c r="F51" s="493">
        <v>361528.35659999994</v>
      </c>
      <c r="G51" s="524">
        <v>5126556.4364775</v>
      </c>
      <c r="H51" s="196"/>
    </row>
    <row r="52" spans="1:8" ht="8.4" customHeight="1">
      <c r="A52" s="522"/>
      <c r="B52" s="299" t="s">
        <v>292</v>
      </c>
      <c r="C52" s="493">
        <v>114588.84096</v>
      </c>
      <c r="D52" s="493"/>
      <c r="E52" s="493"/>
      <c r="F52" s="493">
        <v>114588.84096</v>
      </c>
      <c r="G52" s="524">
        <v>1628585.6234500003</v>
      </c>
      <c r="H52" s="196"/>
    </row>
    <row r="53" spans="1:8" ht="8.4" customHeight="1">
      <c r="A53" s="523" t="s">
        <v>481</v>
      </c>
      <c r="B53" s="400"/>
      <c r="C53" s="401">
        <v>476117.19755999994</v>
      </c>
      <c r="D53" s="401"/>
      <c r="E53" s="401"/>
      <c r="F53" s="401">
        <v>476117.19755999994</v>
      </c>
      <c r="G53" s="525">
        <v>6755142.0599275008</v>
      </c>
      <c r="H53" s="196"/>
    </row>
    <row r="54" spans="1:8" ht="8.4" customHeight="1">
      <c r="A54" s="522" t="s">
        <v>231</v>
      </c>
      <c r="B54" s="299" t="s">
        <v>293</v>
      </c>
      <c r="C54" s="493">
        <v>96663.593985</v>
      </c>
      <c r="D54" s="493"/>
      <c r="E54" s="493"/>
      <c r="F54" s="493">
        <v>96663.593985</v>
      </c>
      <c r="G54" s="524">
        <v>1643319.2757849998</v>
      </c>
      <c r="H54" s="196"/>
    </row>
    <row r="55" spans="1:8" ht="8.4" customHeight="1">
      <c r="A55" s="522"/>
      <c r="B55" s="299" t="s">
        <v>294</v>
      </c>
      <c r="C55" s="493">
        <v>4661.003455</v>
      </c>
      <c r="D55" s="493"/>
      <c r="E55" s="493"/>
      <c r="F55" s="493">
        <v>4661.003455</v>
      </c>
      <c r="G55" s="524">
        <v>52602.502424999991</v>
      </c>
      <c r="H55" s="111"/>
    </row>
    <row r="56" spans="1:8" ht="8.4" customHeight="1">
      <c r="A56" s="523" t="s">
        <v>482</v>
      </c>
      <c r="B56" s="400"/>
      <c r="C56" s="401">
        <v>101324.59744</v>
      </c>
      <c r="D56" s="401"/>
      <c r="E56" s="401"/>
      <c r="F56" s="401">
        <v>101324.59744</v>
      </c>
      <c r="G56" s="525">
        <v>1695921.7782099999</v>
      </c>
      <c r="H56" s="111"/>
    </row>
    <row r="57" spans="1:8" ht="8.4" customHeight="1">
      <c r="A57" s="522" t="s">
        <v>232</v>
      </c>
      <c r="B57" s="299" t="s">
        <v>295</v>
      </c>
      <c r="C57" s="493">
        <v>31874.104254999998</v>
      </c>
      <c r="D57" s="493"/>
      <c r="E57" s="493"/>
      <c r="F57" s="493">
        <v>31874.104254999998</v>
      </c>
      <c r="G57" s="524">
        <v>362142.63991749997</v>
      </c>
      <c r="H57" s="111"/>
    </row>
    <row r="58" spans="1:8" ht="8.4" customHeight="1">
      <c r="A58" s="523" t="s">
        <v>483</v>
      </c>
      <c r="B58" s="400"/>
      <c r="C58" s="401">
        <v>31874.104254999998</v>
      </c>
      <c r="D58" s="401"/>
      <c r="E58" s="401"/>
      <c r="F58" s="401">
        <v>31874.104254999998</v>
      </c>
      <c r="G58" s="525">
        <v>362142.63991749997</v>
      </c>
      <c r="H58" s="111"/>
    </row>
    <row r="59" spans="1:8" ht="8.4" customHeight="1">
      <c r="A59" s="522" t="s">
        <v>457</v>
      </c>
      <c r="B59" s="299" t="s">
        <v>64</v>
      </c>
      <c r="C59" s="493"/>
      <c r="D59" s="493"/>
      <c r="E59" s="493">
        <v>2169.8383250000002</v>
      </c>
      <c r="F59" s="493">
        <v>2169.8383250000002</v>
      </c>
      <c r="G59" s="524">
        <v>41033.754897500003</v>
      </c>
      <c r="H59" s="111"/>
    </row>
    <row r="60" spans="1:8" ht="8.4" customHeight="1">
      <c r="A60" s="522"/>
      <c r="B60" s="299" t="s">
        <v>63</v>
      </c>
      <c r="C60" s="493"/>
      <c r="D60" s="493"/>
      <c r="E60" s="493">
        <v>2367.0747700000002</v>
      </c>
      <c r="F60" s="493">
        <v>2367.0747700000002</v>
      </c>
      <c r="G60" s="524">
        <v>43587.767732500004</v>
      </c>
      <c r="H60" s="111"/>
    </row>
    <row r="61" spans="1:8" ht="8.4" customHeight="1">
      <c r="A61" s="522"/>
      <c r="B61" s="299" t="s">
        <v>59</v>
      </c>
      <c r="C61" s="493"/>
      <c r="D61" s="493"/>
      <c r="E61" s="493">
        <v>6758.9539299999997</v>
      </c>
      <c r="F61" s="493">
        <v>6758.9539299999997</v>
      </c>
      <c r="G61" s="524">
        <v>78773.797852499993</v>
      </c>
      <c r="H61" s="111"/>
    </row>
    <row r="62" spans="1:8" ht="8.4" customHeight="1">
      <c r="A62" s="522"/>
      <c r="B62" s="299" t="s">
        <v>56</v>
      </c>
      <c r="C62" s="493"/>
      <c r="D62" s="493"/>
      <c r="E62" s="493">
        <v>8832.8842124999992</v>
      </c>
      <c r="F62" s="493">
        <v>8832.8842124999992</v>
      </c>
      <c r="G62" s="524">
        <v>96053.168749999997</v>
      </c>
      <c r="H62" s="111"/>
    </row>
    <row r="63" spans="1:8" ht="8.4" customHeight="1">
      <c r="A63" s="522"/>
      <c r="B63" s="299" t="s">
        <v>67</v>
      </c>
      <c r="C63" s="493"/>
      <c r="D63" s="493"/>
      <c r="E63" s="493">
        <v>2867.1766725000002</v>
      </c>
      <c r="F63" s="493">
        <v>2867.1766725000002</v>
      </c>
      <c r="G63" s="524">
        <v>28806.515857500006</v>
      </c>
      <c r="H63" s="111"/>
    </row>
    <row r="64" spans="1:8" ht="8.4" customHeight="1">
      <c r="A64" s="522"/>
      <c r="B64" s="299" t="s">
        <v>66</v>
      </c>
      <c r="C64" s="493"/>
      <c r="D64" s="493"/>
      <c r="E64" s="493">
        <v>3326.1959874999998</v>
      </c>
      <c r="F64" s="493">
        <v>3326.1959874999998</v>
      </c>
      <c r="G64" s="524">
        <v>32545.120682500001</v>
      </c>
      <c r="H64" s="197"/>
    </row>
    <row r="65" spans="1:8" ht="8.4" customHeight="1">
      <c r="A65" s="523" t="s">
        <v>484</v>
      </c>
      <c r="B65" s="400"/>
      <c r="C65" s="401"/>
      <c r="D65" s="401"/>
      <c r="E65" s="401">
        <v>26322.123897500001</v>
      </c>
      <c r="F65" s="401">
        <v>26322.123897500001</v>
      </c>
      <c r="G65" s="525">
        <v>320800.12577250006</v>
      </c>
      <c r="H65" s="197"/>
    </row>
    <row r="66" spans="1:8" ht="8.4" customHeight="1">
      <c r="A66" s="522" t="s">
        <v>87</v>
      </c>
      <c r="B66" s="299" t="s">
        <v>444</v>
      </c>
      <c r="C66" s="493">
        <v>49963.8315</v>
      </c>
      <c r="D66" s="493"/>
      <c r="E66" s="493"/>
      <c r="F66" s="493">
        <v>49963.8315</v>
      </c>
      <c r="G66" s="524">
        <v>582103.77974999999</v>
      </c>
      <c r="H66" s="197"/>
    </row>
    <row r="67" spans="1:8" ht="8.4" customHeight="1">
      <c r="A67" s="522"/>
      <c r="B67" s="299" t="s">
        <v>296</v>
      </c>
      <c r="C67" s="493">
        <v>20898.70275</v>
      </c>
      <c r="D67" s="493"/>
      <c r="E67" s="493"/>
      <c r="F67" s="493">
        <v>20898.70275</v>
      </c>
      <c r="G67" s="524">
        <v>230556.39825</v>
      </c>
      <c r="H67" s="197"/>
    </row>
    <row r="68" spans="1:8" ht="8.4" customHeight="1">
      <c r="A68" s="522"/>
      <c r="B68" s="299" t="s">
        <v>297</v>
      </c>
      <c r="C68" s="493">
        <v>85990.914000000004</v>
      </c>
      <c r="D68" s="493"/>
      <c r="E68" s="493"/>
      <c r="F68" s="493">
        <v>85990.914000000004</v>
      </c>
      <c r="G68" s="524">
        <v>1127756.43</v>
      </c>
      <c r="H68" s="197"/>
    </row>
    <row r="69" spans="1:8" ht="8.4" customHeight="1">
      <c r="A69" s="522"/>
      <c r="B69" s="299" t="s">
        <v>298</v>
      </c>
      <c r="C69" s="493">
        <v>57621.545750000005</v>
      </c>
      <c r="D69" s="493"/>
      <c r="E69" s="493"/>
      <c r="F69" s="493">
        <v>57621.545750000005</v>
      </c>
      <c r="G69" s="524">
        <v>828800.15925000014</v>
      </c>
      <c r="H69" s="197"/>
    </row>
    <row r="70" spans="1:8" ht="8.4" customHeight="1">
      <c r="A70" s="522"/>
      <c r="B70" s="299" t="s">
        <v>299</v>
      </c>
      <c r="C70" s="493">
        <v>47880.909999999996</v>
      </c>
      <c r="D70" s="493"/>
      <c r="E70" s="493"/>
      <c r="F70" s="493">
        <v>47880.909999999996</v>
      </c>
      <c r="G70" s="524">
        <v>502088.93924999994</v>
      </c>
    </row>
    <row r="71" spans="1:8" ht="8.4" customHeight="1">
      <c r="A71" s="522"/>
      <c r="B71" s="299" t="s">
        <v>300</v>
      </c>
      <c r="C71" s="493"/>
      <c r="D71" s="493">
        <v>83221.066500000001</v>
      </c>
      <c r="E71" s="493"/>
      <c r="F71" s="493">
        <v>83221.066500000001</v>
      </c>
      <c r="G71" s="524">
        <v>399969.82949999999</v>
      </c>
    </row>
    <row r="72" spans="1:8" ht="8.4" customHeight="1">
      <c r="A72" s="522"/>
      <c r="B72" s="299" t="s">
        <v>301</v>
      </c>
      <c r="C72" s="493"/>
      <c r="D72" s="493">
        <v>4762.8365000000003</v>
      </c>
      <c r="E72" s="493"/>
      <c r="F72" s="493">
        <v>4762.8365000000003</v>
      </c>
      <c r="G72" s="524">
        <v>183893.95499999999</v>
      </c>
    </row>
    <row r="73" spans="1:8" ht="8.4" customHeight="1">
      <c r="A73" s="522"/>
      <c r="B73" s="299" t="s">
        <v>302</v>
      </c>
      <c r="C73" s="493"/>
      <c r="D73" s="493">
        <v>323730.58150000003</v>
      </c>
      <c r="E73" s="493"/>
      <c r="F73" s="493">
        <v>323730.58150000003</v>
      </c>
      <c r="G73" s="524">
        <v>3235846.7677499992</v>
      </c>
    </row>
    <row r="74" spans="1:8" ht="8.4" customHeight="1">
      <c r="A74" s="522"/>
      <c r="B74" s="299" t="s">
        <v>405</v>
      </c>
      <c r="C74" s="493"/>
      <c r="D74" s="493"/>
      <c r="E74" s="493">
        <v>249.4495</v>
      </c>
      <c r="F74" s="493">
        <v>249.4495</v>
      </c>
      <c r="G74" s="524">
        <v>2748.9465</v>
      </c>
    </row>
    <row r="75" spans="1:8" ht="8.4" customHeight="1">
      <c r="A75" s="523" t="s">
        <v>485</v>
      </c>
      <c r="B75" s="400"/>
      <c r="C75" s="401">
        <v>262355.90399999998</v>
      </c>
      <c r="D75" s="401">
        <v>411714.48450000002</v>
      </c>
      <c r="E75" s="401">
        <v>249.4495</v>
      </c>
      <c r="F75" s="401">
        <v>674319.83799999999</v>
      </c>
      <c r="G75" s="525">
        <v>7093765.2052499987</v>
      </c>
    </row>
    <row r="76" spans="1:8" ht="8.4" customHeight="1">
      <c r="A76" s="522" t="s">
        <v>95</v>
      </c>
      <c r="B76" s="299" t="s">
        <v>303</v>
      </c>
      <c r="C76" s="493"/>
      <c r="D76" s="493">
        <v>0</v>
      </c>
      <c r="E76" s="493"/>
      <c r="F76" s="493">
        <v>0</v>
      </c>
      <c r="G76" s="524">
        <v>66373.053250000012</v>
      </c>
    </row>
    <row r="77" spans="1:8" ht="8.4" customHeight="1">
      <c r="A77" s="522"/>
      <c r="B77" s="299" t="s">
        <v>304</v>
      </c>
      <c r="C77" s="493"/>
      <c r="D77" s="493">
        <v>65335.078750000001</v>
      </c>
      <c r="E77" s="493"/>
      <c r="F77" s="493">
        <v>65335.078750000001</v>
      </c>
      <c r="G77" s="524">
        <v>357016.09375</v>
      </c>
    </row>
    <row r="78" spans="1:8" ht="8.4" customHeight="1">
      <c r="A78" s="522"/>
      <c r="B78" s="299" t="s">
        <v>305</v>
      </c>
      <c r="C78" s="493"/>
      <c r="D78" s="493">
        <v>1417.4804999999999</v>
      </c>
      <c r="E78" s="493"/>
      <c r="F78" s="493">
        <v>1417.4804999999999</v>
      </c>
      <c r="G78" s="524">
        <v>260451.74974999999</v>
      </c>
    </row>
    <row r="79" spans="1:8" ht="8.4" customHeight="1">
      <c r="A79" s="523" t="s">
        <v>486</v>
      </c>
      <c r="B79" s="400"/>
      <c r="C79" s="401"/>
      <c r="D79" s="401">
        <v>66752.559250000006</v>
      </c>
      <c r="E79" s="401"/>
      <c r="F79" s="401">
        <v>66752.559250000006</v>
      </c>
      <c r="G79" s="525">
        <v>683840.89674999996</v>
      </c>
    </row>
    <row r="80" spans="1:8" ht="8.4" customHeight="1">
      <c r="A80" s="522" t="s">
        <v>97</v>
      </c>
      <c r="B80" s="299" t="s">
        <v>412</v>
      </c>
      <c r="C80" s="493"/>
      <c r="D80" s="493"/>
      <c r="E80" s="493">
        <v>40260.056750000003</v>
      </c>
      <c r="F80" s="493">
        <v>40260.056750000003</v>
      </c>
      <c r="G80" s="524">
        <v>452663.40499999997</v>
      </c>
    </row>
    <row r="81" spans="1:7" ht="8.4" customHeight="1">
      <c r="A81" s="522"/>
      <c r="B81" s="299" t="s">
        <v>411</v>
      </c>
      <c r="C81" s="493"/>
      <c r="D81" s="493"/>
      <c r="E81" s="493">
        <v>43255.226000000002</v>
      </c>
      <c r="F81" s="493">
        <v>43255.226000000002</v>
      </c>
      <c r="G81" s="524">
        <v>619750.01025000005</v>
      </c>
    </row>
    <row r="82" spans="1:7" ht="8.4" customHeight="1">
      <c r="A82" s="523" t="s">
        <v>487</v>
      </c>
      <c r="B82" s="400"/>
      <c r="C82" s="401"/>
      <c r="D82" s="401"/>
      <c r="E82" s="401">
        <v>83515.282750000013</v>
      </c>
      <c r="F82" s="401">
        <v>83515.282750000013</v>
      </c>
      <c r="G82" s="525">
        <v>1072413.4152500001</v>
      </c>
    </row>
    <row r="83" spans="1:7" ht="8.4" customHeight="1">
      <c r="A83" s="522" t="s">
        <v>96</v>
      </c>
      <c r="B83" s="299" t="s">
        <v>76</v>
      </c>
      <c r="C83" s="493"/>
      <c r="D83" s="493"/>
      <c r="E83" s="493">
        <v>27486.544249999999</v>
      </c>
      <c r="F83" s="493">
        <v>27486.544249999999</v>
      </c>
      <c r="G83" s="524">
        <v>341548.89074999996</v>
      </c>
    </row>
    <row r="84" spans="1:7" ht="8.4" customHeight="1">
      <c r="A84" s="522"/>
      <c r="B84" s="299" t="s">
        <v>78</v>
      </c>
      <c r="C84" s="493"/>
      <c r="D84" s="493"/>
      <c r="E84" s="493">
        <v>11915.823899999999</v>
      </c>
      <c r="F84" s="493">
        <v>11915.823899999999</v>
      </c>
      <c r="G84" s="524">
        <v>139245.14107499996</v>
      </c>
    </row>
    <row r="85" spans="1:7" ht="8.4" customHeight="1">
      <c r="A85" s="523" t="s">
        <v>488</v>
      </c>
      <c r="B85" s="400"/>
      <c r="C85" s="401"/>
      <c r="D85" s="401"/>
      <c r="E85" s="401">
        <v>39402.368149999995</v>
      </c>
      <c r="F85" s="401">
        <v>39402.368149999995</v>
      </c>
      <c r="G85" s="525">
        <v>480794.03182499995</v>
      </c>
    </row>
    <row r="86" spans="1:7" ht="8.4" customHeight="1"/>
  </sheetData>
  <mergeCells count="5">
    <mergeCell ref="A2:A5"/>
    <mergeCell ref="B2:B5"/>
    <mergeCell ref="C2:F2"/>
    <mergeCell ref="C3:E3"/>
    <mergeCell ref="F3:F4"/>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1"/>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899" t="s">
        <v>244</v>
      </c>
      <c r="B1" s="902" t="s">
        <v>53</v>
      </c>
      <c r="C1" s="905" t="str">
        <f>+'18. ANEXOI-1'!C2:F2</f>
        <v>ENERGÍA PRODUCIDA DICIEMBE 2022</v>
      </c>
      <c r="D1" s="905"/>
      <c r="E1" s="905"/>
      <c r="F1" s="905"/>
      <c r="G1" s="494" t="s">
        <v>270</v>
      </c>
      <c r="H1" s="203"/>
    </row>
    <row r="2" spans="1:8" ht="11.25" customHeight="1">
      <c r="A2" s="900"/>
      <c r="B2" s="903"/>
      <c r="C2" s="906" t="s">
        <v>271</v>
      </c>
      <c r="D2" s="906"/>
      <c r="E2" s="906"/>
      <c r="F2" s="907" t="str">
        <f>"TOTAL 
"&amp;UPPER('1. Resumen'!Q4)</f>
        <v>TOTAL 
DICIEMBE</v>
      </c>
      <c r="G2" s="495" t="s">
        <v>272</v>
      </c>
      <c r="H2" s="194"/>
    </row>
    <row r="3" spans="1:8" ht="11.25" customHeight="1">
      <c r="A3" s="900"/>
      <c r="B3" s="903"/>
      <c r="C3" s="490" t="s">
        <v>209</v>
      </c>
      <c r="D3" s="490" t="s">
        <v>210</v>
      </c>
      <c r="E3" s="490" t="s">
        <v>273</v>
      </c>
      <c r="F3" s="908"/>
      <c r="G3" s="495">
        <v>2022</v>
      </c>
      <c r="H3" s="196"/>
    </row>
    <row r="4" spans="1:8" ht="11.25" customHeight="1">
      <c r="A4" s="909"/>
      <c r="B4" s="910"/>
      <c r="C4" s="491" t="s">
        <v>274</v>
      </c>
      <c r="D4" s="491" t="s">
        <v>274</v>
      </c>
      <c r="E4" s="491" t="s">
        <v>274</v>
      </c>
      <c r="F4" s="491" t="s">
        <v>274</v>
      </c>
      <c r="G4" s="496" t="s">
        <v>202</v>
      </c>
      <c r="H4" s="196"/>
    </row>
    <row r="5" spans="1:8" ht="9" customHeight="1">
      <c r="A5" s="522" t="s">
        <v>86</v>
      </c>
      <c r="B5" s="299" t="s">
        <v>306</v>
      </c>
      <c r="C5" s="493">
        <v>35016.768782499996</v>
      </c>
      <c r="D5" s="493"/>
      <c r="E5" s="493"/>
      <c r="F5" s="493">
        <v>35016.768782499996</v>
      </c>
      <c r="G5" s="524">
        <v>448778.0917475</v>
      </c>
    </row>
    <row r="6" spans="1:8" ht="9" customHeight="1">
      <c r="A6" s="522"/>
      <c r="B6" s="299" t="s">
        <v>307</v>
      </c>
      <c r="C6" s="493">
        <v>54486.151570000002</v>
      </c>
      <c r="D6" s="493"/>
      <c r="E6" s="493"/>
      <c r="F6" s="493">
        <v>54486.151570000002</v>
      </c>
      <c r="G6" s="524">
        <v>788901.46865750011</v>
      </c>
    </row>
    <row r="7" spans="1:8" ht="9" customHeight="1">
      <c r="A7" s="522"/>
      <c r="B7" s="299" t="s">
        <v>308</v>
      </c>
      <c r="C7" s="493"/>
      <c r="D7" s="493">
        <v>561901.86007749999</v>
      </c>
      <c r="E7" s="493"/>
      <c r="F7" s="493">
        <v>561901.86007749999</v>
      </c>
      <c r="G7" s="524">
        <v>4857352.2957275007</v>
      </c>
    </row>
    <row r="8" spans="1:8" ht="9" customHeight="1">
      <c r="A8" s="522"/>
      <c r="B8" s="299" t="s">
        <v>309</v>
      </c>
      <c r="C8" s="493"/>
      <c r="D8" s="493">
        <v>66682.329302500002</v>
      </c>
      <c r="E8" s="493"/>
      <c r="F8" s="493">
        <v>66682.329302500002</v>
      </c>
      <c r="G8" s="524">
        <v>591183.28735499992</v>
      </c>
    </row>
    <row r="9" spans="1:8" ht="9" customHeight="1">
      <c r="A9" s="522"/>
      <c r="B9" s="299" t="s">
        <v>762</v>
      </c>
      <c r="C9" s="493"/>
      <c r="D9" s="493">
        <v>10000.489315000001</v>
      </c>
      <c r="E9" s="493"/>
      <c r="F9" s="493">
        <v>10000.489315000001</v>
      </c>
      <c r="G9" s="524">
        <v>89693.382032500012</v>
      </c>
    </row>
    <row r="10" spans="1:8" ht="9" customHeight="1">
      <c r="A10" s="522"/>
      <c r="B10" s="299" t="s">
        <v>310</v>
      </c>
      <c r="C10" s="493"/>
      <c r="D10" s="493">
        <v>123983.98001999999</v>
      </c>
      <c r="E10" s="493"/>
      <c r="F10" s="493">
        <v>123983.98001999999</v>
      </c>
      <c r="G10" s="524">
        <v>207217.52413749998</v>
      </c>
    </row>
    <row r="11" spans="1:8" ht="9" customHeight="1">
      <c r="A11" s="522"/>
      <c r="B11" s="299" t="s">
        <v>311</v>
      </c>
      <c r="C11" s="493"/>
      <c r="D11" s="493">
        <v>1207.780555</v>
      </c>
      <c r="E11" s="493"/>
      <c r="F11" s="493">
        <v>1207.780555</v>
      </c>
      <c r="G11" s="524">
        <v>7671.0534099999995</v>
      </c>
    </row>
    <row r="12" spans="1:8" ht="9" customHeight="1">
      <c r="A12" s="522"/>
      <c r="B12" s="299" t="s">
        <v>413</v>
      </c>
      <c r="C12" s="493"/>
      <c r="D12" s="493"/>
      <c r="E12" s="493">
        <v>9879.7754750000004</v>
      </c>
      <c r="F12" s="493">
        <v>9879.7754750000004</v>
      </c>
      <c r="G12" s="524">
        <v>112083.14230000002</v>
      </c>
    </row>
    <row r="13" spans="1:8" ht="9" customHeight="1">
      <c r="A13" s="522"/>
      <c r="B13" s="299" t="s">
        <v>634</v>
      </c>
      <c r="C13" s="493"/>
      <c r="D13" s="493"/>
      <c r="E13" s="493">
        <v>112.80944</v>
      </c>
      <c r="F13" s="493">
        <v>112.80944</v>
      </c>
      <c r="G13" s="524">
        <v>112.80944</v>
      </c>
    </row>
    <row r="14" spans="1:8" ht="9" customHeight="1">
      <c r="A14" s="523" t="s">
        <v>489</v>
      </c>
      <c r="B14" s="400"/>
      <c r="C14" s="401">
        <v>89502.92035249999</v>
      </c>
      <c r="D14" s="401">
        <v>763776.43926999997</v>
      </c>
      <c r="E14" s="401">
        <v>9992.5849149999995</v>
      </c>
      <c r="F14" s="401">
        <v>863271.94453750004</v>
      </c>
      <c r="G14" s="525">
        <v>7102993.0548075009</v>
      </c>
    </row>
    <row r="15" spans="1:8" ht="9" customHeight="1">
      <c r="A15" s="522" t="s">
        <v>233</v>
      </c>
      <c r="B15" s="299" t="s">
        <v>312</v>
      </c>
      <c r="C15" s="493"/>
      <c r="D15" s="493">
        <v>404856.77055000002</v>
      </c>
      <c r="E15" s="493"/>
      <c r="F15" s="493">
        <v>404856.77055000002</v>
      </c>
      <c r="G15" s="524">
        <v>4321277.4731950006</v>
      </c>
    </row>
    <row r="16" spans="1:8" ht="9" customHeight="1">
      <c r="A16" s="523" t="s">
        <v>490</v>
      </c>
      <c r="B16" s="400"/>
      <c r="C16" s="401"/>
      <c r="D16" s="401">
        <v>404856.77055000002</v>
      </c>
      <c r="E16" s="401"/>
      <c r="F16" s="401">
        <v>404856.77055000002</v>
      </c>
      <c r="G16" s="525">
        <v>4321277.4731950006</v>
      </c>
    </row>
    <row r="17" spans="1:7" ht="9" customHeight="1">
      <c r="A17" s="522" t="s">
        <v>438</v>
      </c>
      <c r="B17" s="299" t="s">
        <v>442</v>
      </c>
      <c r="C17" s="493"/>
      <c r="D17" s="493"/>
      <c r="E17" s="493">
        <v>9390.3316674999987</v>
      </c>
      <c r="F17" s="493">
        <v>9390.3316674999987</v>
      </c>
      <c r="G17" s="524">
        <v>105974.89384749997</v>
      </c>
    </row>
    <row r="18" spans="1:7" ht="9" customHeight="1">
      <c r="A18" s="522"/>
      <c r="B18" s="299" t="s">
        <v>439</v>
      </c>
      <c r="C18" s="493"/>
      <c r="D18" s="493"/>
      <c r="E18" s="493">
        <v>3143.9067725</v>
      </c>
      <c r="F18" s="493">
        <v>3143.9067725</v>
      </c>
      <c r="G18" s="524">
        <v>41556.285369999998</v>
      </c>
    </row>
    <row r="19" spans="1:7" ht="9" customHeight="1">
      <c r="A19" s="523" t="s">
        <v>491</v>
      </c>
      <c r="B19" s="400"/>
      <c r="C19" s="401"/>
      <c r="D19" s="401"/>
      <c r="E19" s="401">
        <v>12534.238439999999</v>
      </c>
      <c r="F19" s="401">
        <v>12534.238439999999</v>
      </c>
      <c r="G19" s="525">
        <v>147531.17921749997</v>
      </c>
    </row>
    <row r="20" spans="1:7" ht="9" customHeight="1">
      <c r="A20" s="522" t="s">
        <v>107</v>
      </c>
      <c r="B20" s="299" t="s">
        <v>65</v>
      </c>
      <c r="C20" s="493"/>
      <c r="D20" s="493"/>
      <c r="E20" s="493">
        <v>4036.3346725000001</v>
      </c>
      <c r="F20" s="493">
        <v>4036.3346725000001</v>
      </c>
      <c r="G20" s="524">
        <v>56543.960842500004</v>
      </c>
    </row>
    <row r="21" spans="1:7" ht="9" customHeight="1">
      <c r="A21" s="522"/>
      <c r="B21" s="299" t="s">
        <v>404</v>
      </c>
      <c r="C21" s="493"/>
      <c r="D21" s="493"/>
      <c r="E21" s="493">
        <v>8911.3478374999995</v>
      </c>
      <c r="F21" s="493">
        <v>8911.3478374999995</v>
      </c>
      <c r="G21" s="524">
        <v>88664.150985</v>
      </c>
    </row>
    <row r="22" spans="1:7" ht="9" customHeight="1">
      <c r="A22" s="522"/>
      <c r="B22" s="299" t="s">
        <v>402</v>
      </c>
      <c r="C22" s="493"/>
      <c r="D22" s="493"/>
      <c r="E22" s="493">
        <v>10146.411990000001</v>
      </c>
      <c r="F22" s="493">
        <v>10146.411990000001</v>
      </c>
      <c r="G22" s="524">
        <v>97533.598812499986</v>
      </c>
    </row>
    <row r="23" spans="1:7" ht="9" customHeight="1">
      <c r="A23" s="522"/>
      <c r="B23" s="299" t="s">
        <v>403</v>
      </c>
      <c r="C23" s="493"/>
      <c r="D23" s="493"/>
      <c r="E23" s="493">
        <v>10125.749802499999</v>
      </c>
      <c r="F23" s="493">
        <v>10125.749802499999</v>
      </c>
      <c r="G23" s="524">
        <v>97339.91555749999</v>
      </c>
    </row>
    <row r="24" spans="1:7" ht="9" customHeight="1">
      <c r="A24" s="738" t="s">
        <v>492</v>
      </c>
      <c r="B24" s="739"/>
      <c r="C24" s="740"/>
      <c r="D24" s="740"/>
      <c r="E24" s="740">
        <v>33219.844302500002</v>
      </c>
      <c r="F24" s="740">
        <v>33219.844302500002</v>
      </c>
      <c r="G24" s="741">
        <v>340081.62619749998</v>
      </c>
    </row>
    <row r="25" spans="1:7" ht="9" customHeight="1">
      <c r="A25" s="522" t="s">
        <v>454</v>
      </c>
      <c r="B25" s="299" t="s">
        <v>462</v>
      </c>
      <c r="C25" s="493"/>
      <c r="D25" s="493"/>
      <c r="E25" s="493">
        <v>4042.1193750000002</v>
      </c>
      <c r="F25" s="493">
        <v>4042.1193750000002</v>
      </c>
      <c r="G25" s="524">
        <v>51260.619917500007</v>
      </c>
    </row>
    <row r="26" spans="1:7" ht="9" customHeight="1">
      <c r="A26" s="523" t="s">
        <v>493</v>
      </c>
      <c r="B26" s="400"/>
      <c r="C26" s="401"/>
      <c r="D26" s="401"/>
      <c r="E26" s="401">
        <v>4042.1193750000002</v>
      </c>
      <c r="F26" s="401">
        <v>4042.1193750000002</v>
      </c>
      <c r="G26" s="525">
        <v>51260.619917500007</v>
      </c>
    </row>
    <row r="27" spans="1:7" ht="9" customHeight="1">
      <c r="A27" s="522" t="s">
        <v>455</v>
      </c>
      <c r="B27" s="299" t="s">
        <v>463</v>
      </c>
      <c r="C27" s="493"/>
      <c r="D27" s="493"/>
      <c r="E27" s="493">
        <v>4573.4130974999998</v>
      </c>
      <c r="F27" s="493">
        <v>4573.4130974999998</v>
      </c>
      <c r="G27" s="524">
        <v>65732.050777500001</v>
      </c>
    </row>
    <row r="28" spans="1:7" ht="9" customHeight="1">
      <c r="A28" s="523" t="s">
        <v>494</v>
      </c>
      <c r="B28" s="400"/>
      <c r="C28" s="401"/>
      <c r="D28" s="401"/>
      <c r="E28" s="401">
        <v>4573.4130974999998</v>
      </c>
      <c r="F28" s="401">
        <v>4573.4130974999998</v>
      </c>
      <c r="G28" s="525">
        <v>65732.050777500001</v>
      </c>
    </row>
    <row r="29" spans="1:7" ht="9" customHeight="1">
      <c r="A29" s="522" t="s">
        <v>113</v>
      </c>
      <c r="B29" s="299" t="s">
        <v>73</v>
      </c>
      <c r="C29" s="493"/>
      <c r="D29" s="493"/>
      <c r="E29" s="493">
        <v>1933</v>
      </c>
      <c r="F29" s="493">
        <v>1933</v>
      </c>
      <c r="G29" s="524">
        <v>26818.400000000005</v>
      </c>
    </row>
    <row r="30" spans="1:7" ht="9" customHeight="1">
      <c r="A30" s="523" t="s">
        <v>495</v>
      </c>
      <c r="B30" s="400"/>
      <c r="C30" s="401"/>
      <c r="D30" s="401"/>
      <c r="E30" s="401">
        <v>1933</v>
      </c>
      <c r="F30" s="401">
        <v>1933</v>
      </c>
      <c r="G30" s="525">
        <v>26818.400000000005</v>
      </c>
    </row>
    <row r="31" spans="1:7" ht="9" customHeight="1">
      <c r="A31" s="522" t="s">
        <v>102</v>
      </c>
      <c r="B31" s="299" t="s">
        <v>313</v>
      </c>
      <c r="C31" s="493">
        <v>11851.234682499999</v>
      </c>
      <c r="D31" s="493"/>
      <c r="E31" s="493"/>
      <c r="F31" s="493">
        <v>11851.234682499999</v>
      </c>
      <c r="G31" s="524">
        <v>149341.91127500002</v>
      </c>
    </row>
    <row r="32" spans="1:7" ht="9" customHeight="1">
      <c r="A32" s="523" t="s">
        <v>496</v>
      </c>
      <c r="B32" s="400"/>
      <c r="C32" s="401">
        <v>11851.234682499999</v>
      </c>
      <c r="D32" s="401"/>
      <c r="E32" s="401"/>
      <c r="F32" s="401">
        <v>11851.234682499999</v>
      </c>
      <c r="G32" s="525">
        <v>149341.91127500002</v>
      </c>
    </row>
    <row r="33" spans="1:7" ht="9" customHeight="1">
      <c r="A33" s="522" t="s">
        <v>234</v>
      </c>
      <c r="B33" s="299" t="s">
        <v>58</v>
      </c>
      <c r="C33" s="493"/>
      <c r="D33" s="493"/>
      <c r="E33" s="493">
        <v>12079.364539999999</v>
      </c>
      <c r="F33" s="493">
        <v>12079.364539999999</v>
      </c>
      <c r="G33" s="524">
        <v>132770.16134000002</v>
      </c>
    </row>
    <row r="34" spans="1:7" ht="9" customHeight="1">
      <c r="A34" s="523" t="s">
        <v>497</v>
      </c>
      <c r="B34" s="400"/>
      <c r="C34" s="401"/>
      <c r="D34" s="401"/>
      <c r="E34" s="401">
        <v>12079.364539999999</v>
      </c>
      <c r="F34" s="401">
        <v>12079.364539999999</v>
      </c>
      <c r="G34" s="525">
        <v>132770.16134000002</v>
      </c>
    </row>
    <row r="35" spans="1:7" ht="9" customHeight="1">
      <c r="A35" s="522" t="s">
        <v>401</v>
      </c>
      <c r="B35" s="299" t="s">
        <v>577</v>
      </c>
      <c r="C35" s="493"/>
      <c r="D35" s="493"/>
      <c r="E35" s="493"/>
      <c r="F35" s="493"/>
      <c r="G35" s="524">
        <v>1444.7089999999998</v>
      </c>
    </row>
    <row r="36" spans="1:7" ht="7.8" customHeight="1">
      <c r="A36" s="523" t="s">
        <v>498</v>
      </c>
      <c r="B36" s="400"/>
      <c r="C36" s="401"/>
      <c r="D36" s="401"/>
      <c r="E36" s="401"/>
      <c r="F36" s="401"/>
      <c r="G36" s="525">
        <v>1444.7089999999998</v>
      </c>
    </row>
    <row r="37" spans="1:7" ht="9" customHeight="1">
      <c r="A37" s="522" t="s">
        <v>415</v>
      </c>
      <c r="B37" s="299" t="s">
        <v>419</v>
      </c>
      <c r="C37" s="493">
        <v>54042.1909275</v>
      </c>
      <c r="D37" s="493"/>
      <c r="E37" s="493"/>
      <c r="F37" s="493">
        <v>54042.1909275</v>
      </c>
      <c r="G37" s="524">
        <v>638449.2249850001</v>
      </c>
    </row>
    <row r="38" spans="1:7" ht="9" customHeight="1">
      <c r="A38" s="523" t="s">
        <v>499</v>
      </c>
      <c r="B38" s="400"/>
      <c r="C38" s="401">
        <v>54042.1909275</v>
      </c>
      <c r="D38" s="401"/>
      <c r="E38" s="401"/>
      <c r="F38" s="401">
        <v>54042.1909275</v>
      </c>
      <c r="G38" s="525">
        <v>638449.2249850001</v>
      </c>
    </row>
    <row r="39" spans="1:7" ht="9" customHeight="1">
      <c r="A39" s="522" t="s">
        <v>446</v>
      </c>
      <c r="B39" s="299" t="s">
        <v>450</v>
      </c>
      <c r="C39" s="493"/>
      <c r="D39" s="493"/>
      <c r="E39" s="493">
        <v>7069.3463425</v>
      </c>
      <c r="F39" s="493">
        <v>7069.3463425</v>
      </c>
      <c r="G39" s="524">
        <v>70240.410067499994</v>
      </c>
    </row>
    <row r="40" spans="1:7" ht="9" customHeight="1">
      <c r="A40" s="523" t="s">
        <v>500</v>
      </c>
      <c r="B40" s="400"/>
      <c r="C40" s="401"/>
      <c r="D40" s="401"/>
      <c r="E40" s="401">
        <v>7069.3463425</v>
      </c>
      <c r="F40" s="401">
        <v>7069.3463425</v>
      </c>
      <c r="G40" s="525">
        <v>70240.410067499994</v>
      </c>
    </row>
    <row r="41" spans="1:7" s="46" customFormat="1" ht="9" customHeight="1">
      <c r="A41" s="522" t="s">
        <v>115</v>
      </c>
      <c r="B41" s="299" t="s">
        <v>315</v>
      </c>
      <c r="C41" s="493"/>
      <c r="D41" s="493">
        <v>240.448545</v>
      </c>
      <c r="E41" s="493"/>
      <c r="F41" s="493">
        <v>240.448545</v>
      </c>
      <c r="G41" s="524">
        <v>731.07985999999994</v>
      </c>
    </row>
    <row r="42" spans="1:7" ht="9" customHeight="1">
      <c r="A42" s="522"/>
      <c r="B42" s="299" t="s">
        <v>316</v>
      </c>
      <c r="C42" s="493"/>
      <c r="D42" s="493">
        <v>0.96445250000000005</v>
      </c>
      <c r="E42" s="493"/>
      <c r="F42" s="493">
        <v>0.96445250000000005</v>
      </c>
      <c r="G42" s="524">
        <v>2410.3876450000002</v>
      </c>
    </row>
    <row r="43" spans="1:7" ht="9" customHeight="1">
      <c r="A43" s="523" t="s">
        <v>501</v>
      </c>
      <c r="B43" s="400"/>
      <c r="C43" s="401"/>
      <c r="D43" s="401">
        <v>241.41299749999999</v>
      </c>
      <c r="E43" s="401"/>
      <c r="F43" s="401">
        <v>241.41299749999999</v>
      </c>
      <c r="G43" s="525">
        <v>3141.4675050000001</v>
      </c>
    </row>
    <row r="44" spans="1:7" ht="9" customHeight="1">
      <c r="A44" s="522" t="s">
        <v>399</v>
      </c>
      <c r="B44" s="299" t="s">
        <v>317</v>
      </c>
      <c r="C44" s="493"/>
      <c r="D44" s="493">
        <v>595969.47829250002</v>
      </c>
      <c r="E44" s="493"/>
      <c r="F44" s="493">
        <v>595969.47829250002</v>
      </c>
      <c r="G44" s="524">
        <v>5701393.1586100003</v>
      </c>
    </row>
    <row r="45" spans="1:7" ht="9" customHeight="1">
      <c r="A45" s="522"/>
      <c r="B45" s="299" t="s">
        <v>578</v>
      </c>
      <c r="C45" s="493"/>
      <c r="D45" s="493">
        <v>232573.4232775</v>
      </c>
      <c r="E45" s="493"/>
      <c r="F45" s="493">
        <v>232573.4232775</v>
      </c>
      <c r="G45" s="524">
        <v>1798026.7574550004</v>
      </c>
    </row>
    <row r="46" spans="1:7" ht="9" customHeight="1">
      <c r="A46" s="522"/>
      <c r="B46" s="299" t="s">
        <v>417</v>
      </c>
      <c r="C46" s="493">
        <v>124836.56234749999</v>
      </c>
      <c r="D46" s="493"/>
      <c r="E46" s="493"/>
      <c r="F46" s="493">
        <v>124836.56234749999</v>
      </c>
      <c r="G46" s="524">
        <v>2754641.3723125001</v>
      </c>
    </row>
    <row r="47" spans="1:7" ht="9" customHeight="1">
      <c r="A47" s="522"/>
      <c r="B47" s="299" t="s">
        <v>318</v>
      </c>
      <c r="C47" s="493">
        <v>6989.61402</v>
      </c>
      <c r="D47" s="493"/>
      <c r="E47" s="493"/>
      <c r="F47" s="493">
        <v>6989.61402</v>
      </c>
      <c r="G47" s="524">
        <v>50814.595269999998</v>
      </c>
    </row>
    <row r="48" spans="1:7" ht="9" customHeight="1">
      <c r="A48" s="523" t="s">
        <v>502</v>
      </c>
      <c r="B48" s="400"/>
      <c r="C48" s="401">
        <v>131826.17636749998</v>
      </c>
      <c r="D48" s="401">
        <v>828542.90156999999</v>
      </c>
      <c r="E48" s="401"/>
      <c r="F48" s="401">
        <v>960369.07793749997</v>
      </c>
      <c r="G48" s="525">
        <v>10304875.883647501</v>
      </c>
    </row>
    <row r="49" spans="1:8" ht="9" customHeight="1">
      <c r="A49" s="522" t="s">
        <v>464</v>
      </c>
      <c r="B49" s="299" t="s">
        <v>548</v>
      </c>
      <c r="C49" s="493">
        <v>21498.3254275</v>
      </c>
      <c r="D49" s="493"/>
      <c r="E49" s="493"/>
      <c r="F49" s="493">
        <v>21498.3254275</v>
      </c>
      <c r="G49" s="524">
        <v>348049.32923249999</v>
      </c>
    </row>
    <row r="50" spans="1:8" ht="9" customHeight="1">
      <c r="A50" s="523" t="s">
        <v>503</v>
      </c>
      <c r="B50" s="400"/>
      <c r="C50" s="401">
        <v>21498.3254275</v>
      </c>
      <c r="D50" s="401"/>
      <c r="E50" s="401"/>
      <c r="F50" s="401">
        <v>21498.3254275</v>
      </c>
      <c r="G50" s="525">
        <v>348049.32923249999</v>
      </c>
    </row>
    <row r="51" spans="1:8" ht="9" customHeight="1">
      <c r="A51" s="522" t="s">
        <v>114</v>
      </c>
      <c r="B51" s="299" t="s">
        <v>71</v>
      </c>
      <c r="C51" s="493"/>
      <c r="D51" s="493"/>
      <c r="E51" s="493">
        <v>1423.1377500000001</v>
      </c>
      <c r="F51" s="493">
        <v>1423.1377500000001</v>
      </c>
      <c r="G51" s="524">
        <v>15784.341374999996</v>
      </c>
    </row>
    <row r="52" spans="1:8" ht="9" customHeight="1">
      <c r="A52" s="523" t="s">
        <v>504</v>
      </c>
      <c r="B52" s="400"/>
      <c r="C52" s="401"/>
      <c r="D52" s="401"/>
      <c r="E52" s="401">
        <v>1423.1377500000001</v>
      </c>
      <c r="F52" s="401">
        <v>1423.1377500000001</v>
      </c>
      <c r="G52" s="525">
        <v>15784.341374999996</v>
      </c>
      <c r="H52" s="319"/>
    </row>
    <row r="53" spans="1:8" ht="9" customHeight="1">
      <c r="A53" s="522" t="s">
        <v>452</v>
      </c>
      <c r="B53" s="299" t="s">
        <v>227</v>
      </c>
      <c r="C53" s="493"/>
      <c r="D53" s="493"/>
      <c r="E53" s="493">
        <v>3913.2</v>
      </c>
      <c r="F53" s="493">
        <v>3913.2</v>
      </c>
      <c r="G53" s="524">
        <v>45818.672599999998</v>
      </c>
    </row>
    <row r="54" spans="1:8" ht="9" customHeight="1">
      <c r="A54" s="523" t="s">
        <v>505</v>
      </c>
      <c r="B54" s="400"/>
      <c r="C54" s="401"/>
      <c r="D54" s="401"/>
      <c r="E54" s="401">
        <v>3913.2</v>
      </c>
      <c r="F54" s="401">
        <v>3913.2</v>
      </c>
      <c r="G54" s="525">
        <v>45818.672599999998</v>
      </c>
    </row>
    <row r="55" spans="1:8" ht="9" customHeight="1">
      <c r="A55" s="522" t="s">
        <v>109</v>
      </c>
      <c r="B55" s="299" t="s">
        <v>80</v>
      </c>
      <c r="C55" s="493"/>
      <c r="D55" s="493"/>
      <c r="E55" s="493">
        <v>4178.1094999999996</v>
      </c>
      <c r="F55" s="493">
        <v>4178.1094999999996</v>
      </c>
      <c r="G55" s="524">
        <v>48784.20119</v>
      </c>
    </row>
    <row r="56" spans="1:8" ht="9" customHeight="1">
      <c r="A56" s="523" t="s">
        <v>506</v>
      </c>
      <c r="B56" s="400"/>
      <c r="C56" s="401"/>
      <c r="D56" s="401"/>
      <c r="E56" s="401">
        <v>4178.1094999999996</v>
      </c>
      <c r="F56" s="401">
        <v>4178.1094999999996</v>
      </c>
      <c r="G56" s="525">
        <v>48784.20119</v>
      </c>
    </row>
    <row r="57" spans="1:8" ht="9" customHeight="1">
      <c r="A57" s="522" t="s">
        <v>235</v>
      </c>
      <c r="B57" s="299" t="s">
        <v>70</v>
      </c>
      <c r="C57" s="493"/>
      <c r="D57" s="493"/>
      <c r="E57" s="493">
        <v>2043.8209824999999</v>
      </c>
      <c r="F57" s="493">
        <v>2043.8209824999999</v>
      </c>
      <c r="G57" s="524">
        <v>36002.846440000001</v>
      </c>
    </row>
    <row r="58" spans="1:8" ht="9" customHeight="1">
      <c r="A58" s="522"/>
      <c r="B58" s="299" t="s">
        <v>319</v>
      </c>
      <c r="C58" s="493">
        <v>132962.0233875</v>
      </c>
      <c r="D58" s="493"/>
      <c r="E58" s="493"/>
      <c r="F58" s="493">
        <v>132962.0233875</v>
      </c>
      <c r="G58" s="524">
        <v>1342501.1548550003</v>
      </c>
    </row>
    <row r="59" spans="1:8" ht="9" customHeight="1">
      <c r="A59" s="522"/>
      <c r="B59" s="299" t="s">
        <v>320</v>
      </c>
      <c r="C59" s="493">
        <v>26987.264327500001</v>
      </c>
      <c r="D59" s="493"/>
      <c r="E59" s="493"/>
      <c r="F59" s="493">
        <v>26987.264327500001</v>
      </c>
      <c r="G59" s="524">
        <v>563391.97623000003</v>
      </c>
    </row>
    <row r="60" spans="1:8" ht="9" customHeight="1">
      <c r="A60" s="522"/>
      <c r="B60" s="299" t="s">
        <v>61</v>
      </c>
      <c r="C60" s="493"/>
      <c r="D60" s="493"/>
      <c r="E60" s="493">
        <v>6422.9840075000002</v>
      </c>
      <c r="F60" s="493">
        <v>6422.9840075000002</v>
      </c>
      <c r="G60" s="524">
        <v>79273.532372499991</v>
      </c>
    </row>
    <row r="61" spans="1:8" ht="9" customHeight="1">
      <c r="A61" s="523" t="s">
        <v>507</v>
      </c>
      <c r="B61" s="400"/>
      <c r="C61" s="401">
        <v>159949.28771499998</v>
      </c>
      <c r="D61" s="401"/>
      <c r="E61" s="401">
        <v>8466.8049900000005</v>
      </c>
      <c r="F61" s="401">
        <v>168416.09270500002</v>
      </c>
      <c r="G61" s="525">
        <v>2021169.5098975005</v>
      </c>
    </row>
    <row r="62" spans="1:8" ht="9" customHeight="1">
      <c r="A62" s="522" t="s">
        <v>236</v>
      </c>
      <c r="B62" s="299" t="s">
        <v>77</v>
      </c>
      <c r="C62" s="493"/>
      <c r="D62" s="493"/>
      <c r="E62" s="493">
        <v>11277.271790000001</v>
      </c>
      <c r="F62" s="493">
        <v>11277.271790000001</v>
      </c>
      <c r="G62" s="524">
        <v>180894.57168250001</v>
      </c>
    </row>
    <row r="63" spans="1:8" ht="9" customHeight="1">
      <c r="A63" s="523" t="s">
        <v>508</v>
      </c>
      <c r="B63" s="400"/>
      <c r="C63" s="401"/>
      <c r="D63" s="401"/>
      <c r="E63" s="401">
        <v>11277.271790000001</v>
      </c>
      <c r="F63" s="401">
        <v>11277.271790000001</v>
      </c>
      <c r="G63" s="525">
        <v>180894.57168250001</v>
      </c>
    </row>
    <row r="64" spans="1:8" ht="9" customHeight="1">
      <c r="A64" s="522" t="s">
        <v>98</v>
      </c>
      <c r="B64" s="299" t="s">
        <v>75</v>
      </c>
      <c r="C64" s="493"/>
      <c r="D64" s="493"/>
      <c r="E64" s="493">
        <v>33827.551359999998</v>
      </c>
      <c r="F64" s="493">
        <v>33827.551359999998</v>
      </c>
      <c r="G64" s="524">
        <v>531557.53810250002</v>
      </c>
    </row>
    <row r="65" spans="1:7" ht="9" customHeight="1">
      <c r="A65" s="523" t="s">
        <v>509</v>
      </c>
      <c r="B65" s="400"/>
      <c r="C65" s="401"/>
      <c r="D65" s="401"/>
      <c r="E65" s="401">
        <v>33827.551359999998</v>
      </c>
      <c r="F65" s="401">
        <v>33827.551359999998</v>
      </c>
      <c r="G65" s="525">
        <v>531557.53810250002</v>
      </c>
    </row>
    <row r="66" spans="1:7" ht="9" customHeight="1">
      <c r="A66" s="522" t="s">
        <v>106</v>
      </c>
      <c r="B66" s="299" t="s">
        <v>226</v>
      </c>
      <c r="C66" s="493"/>
      <c r="D66" s="493"/>
      <c r="E66" s="493">
        <v>5194.4155000000001</v>
      </c>
      <c r="F66" s="493">
        <v>5194.4155000000001</v>
      </c>
      <c r="G66" s="524">
        <v>58946.900655000005</v>
      </c>
    </row>
    <row r="67" spans="1:7" ht="9" customHeight="1">
      <c r="A67" s="523" t="s">
        <v>510</v>
      </c>
      <c r="B67" s="400"/>
      <c r="C67" s="401"/>
      <c r="D67" s="401"/>
      <c r="E67" s="401">
        <v>5194.4155000000001</v>
      </c>
      <c r="F67" s="401">
        <v>5194.4155000000001</v>
      </c>
      <c r="G67" s="525">
        <v>58946.900655000005</v>
      </c>
    </row>
    <row r="68" spans="1:7" ht="9" customHeight="1">
      <c r="A68" s="522" t="s">
        <v>400</v>
      </c>
      <c r="B68" s="299" t="s">
        <v>84</v>
      </c>
      <c r="C68" s="493"/>
      <c r="D68" s="493"/>
      <c r="E68" s="493">
        <v>945.82512499999996</v>
      </c>
      <c r="F68" s="493">
        <v>945.82512499999996</v>
      </c>
      <c r="G68" s="524">
        <v>19237.403889999998</v>
      </c>
    </row>
    <row r="69" spans="1:7" ht="9" customHeight="1">
      <c r="A69" s="522"/>
      <c r="B69" s="299" t="s">
        <v>83</v>
      </c>
      <c r="C69" s="493"/>
      <c r="D69" s="493"/>
      <c r="E69" s="493">
        <v>3083.8836499999998</v>
      </c>
      <c r="F69" s="493">
        <v>3083.8836499999998</v>
      </c>
      <c r="G69" s="524">
        <v>29456.604222500002</v>
      </c>
    </row>
    <row r="70" spans="1:7" ht="9" customHeight="1">
      <c r="A70" s="522"/>
      <c r="B70" s="299" t="s">
        <v>414</v>
      </c>
      <c r="C70" s="493"/>
      <c r="D70" s="493"/>
      <c r="E70" s="493">
        <v>1690.068775</v>
      </c>
      <c r="F70" s="493">
        <v>1690.068775</v>
      </c>
      <c r="G70" s="524">
        <v>15322.7709125</v>
      </c>
    </row>
    <row r="71" spans="1:7" ht="9" customHeight="1">
      <c r="A71" s="522"/>
      <c r="B71" s="299" t="s">
        <v>449</v>
      </c>
      <c r="C71" s="493"/>
      <c r="D71" s="493"/>
      <c r="E71" s="493">
        <v>1525.3026500000001</v>
      </c>
      <c r="F71" s="493">
        <v>1525.3026500000001</v>
      </c>
      <c r="G71" s="524">
        <v>14671.88485</v>
      </c>
    </row>
    <row r="72" spans="1:7" ht="10.199999999999999" customHeight="1">
      <c r="A72" s="523" t="s">
        <v>511</v>
      </c>
      <c r="B72" s="400"/>
      <c r="C72" s="401"/>
      <c r="D72" s="401"/>
      <c r="E72" s="401">
        <v>7245.0802000000003</v>
      </c>
      <c r="F72" s="401">
        <v>7245.0802000000003</v>
      </c>
      <c r="G72" s="525">
        <v>78688.663874999998</v>
      </c>
    </row>
    <row r="73" spans="1:7" ht="9" customHeight="1">
      <c r="A73" s="522" t="s">
        <v>237</v>
      </c>
      <c r="B73" s="299" t="s">
        <v>321</v>
      </c>
      <c r="C73" s="493"/>
      <c r="D73" s="493">
        <v>16.1927825</v>
      </c>
      <c r="E73" s="493"/>
      <c r="F73" s="493">
        <v>16.1927825</v>
      </c>
      <c r="G73" s="524">
        <v>3143.4661299999998</v>
      </c>
    </row>
    <row r="74" spans="1:7" ht="9" customHeight="1">
      <c r="A74" s="523" t="s">
        <v>512</v>
      </c>
      <c r="B74" s="400"/>
      <c r="C74" s="401"/>
      <c r="D74" s="401">
        <v>16.1927825</v>
      </c>
      <c r="E74" s="401"/>
      <c r="F74" s="401">
        <v>16.1927825</v>
      </c>
      <c r="G74" s="525">
        <v>3143.4661299999998</v>
      </c>
    </row>
    <row r="75" spans="1:7" ht="9" customHeight="1">
      <c r="A75" s="522" t="s">
        <v>453</v>
      </c>
      <c r="B75" s="299" t="s">
        <v>81</v>
      </c>
      <c r="C75" s="493"/>
      <c r="D75" s="493"/>
      <c r="E75" s="493">
        <v>3797.1046025000001</v>
      </c>
      <c r="F75" s="493">
        <v>3797.1046025000001</v>
      </c>
      <c r="G75" s="524">
        <v>44089.782500000001</v>
      </c>
    </row>
    <row r="76" spans="1:7" ht="9" customHeight="1">
      <c r="A76" s="523" t="s">
        <v>513</v>
      </c>
      <c r="B76" s="400"/>
      <c r="C76" s="401"/>
      <c r="D76" s="401"/>
      <c r="E76" s="401">
        <v>3797.1046025000001</v>
      </c>
      <c r="F76" s="401">
        <v>3797.1046025000001</v>
      </c>
      <c r="G76" s="525">
        <v>44089.782500000001</v>
      </c>
    </row>
    <row r="77" spans="1:7" ht="9" customHeight="1">
      <c r="A77" s="522" t="s">
        <v>429</v>
      </c>
      <c r="B77" s="299" t="s">
        <v>440</v>
      </c>
      <c r="C77" s="493"/>
      <c r="D77" s="493"/>
      <c r="E77" s="493">
        <v>9399.4577499999996</v>
      </c>
      <c r="F77" s="493">
        <v>9399.4577499999996</v>
      </c>
      <c r="G77" s="524">
        <v>119515.75127250001</v>
      </c>
    </row>
    <row r="78" spans="1:7" ht="9" customHeight="1">
      <c r="A78" s="523" t="s">
        <v>514</v>
      </c>
      <c r="B78" s="400"/>
      <c r="C78" s="401"/>
      <c r="D78" s="401"/>
      <c r="E78" s="401">
        <v>9399.4577499999996</v>
      </c>
      <c r="F78" s="401">
        <v>9399.4577499999996</v>
      </c>
      <c r="G78" s="525">
        <v>119515.75127250001</v>
      </c>
    </row>
    <row r="79" spans="1:7" ht="9" customHeight="1">
      <c r="A79" s="522" t="s">
        <v>103</v>
      </c>
      <c r="B79" s="299" t="s">
        <v>60</v>
      </c>
      <c r="C79" s="493"/>
      <c r="D79" s="493"/>
      <c r="E79" s="493">
        <v>4617.8374400000002</v>
      </c>
      <c r="F79" s="493">
        <v>4617.8374400000002</v>
      </c>
      <c r="G79" s="524">
        <v>98614.223667500002</v>
      </c>
    </row>
    <row r="80" spans="1:7" ht="9" customHeight="1">
      <c r="A80" s="523" t="s">
        <v>515</v>
      </c>
      <c r="B80" s="400"/>
      <c r="C80" s="401"/>
      <c r="D80" s="401"/>
      <c r="E80" s="401">
        <v>4617.8374400000002</v>
      </c>
      <c r="F80" s="401">
        <v>4617.8374400000002</v>
      </c>
      <c r="G80" s="525">
        <v>98614.223667500002</v>
      </c>
    </row>
    <row r="81" ht="12" customHeight="1"/>
  </sheetData>
  <mergeCells count="5">
    <mergeCell ref="A1:A4"/>
    <mergeCell ref="B1:B4"/>
    <mergeCell ref="C1:F1"/>
    <mergeCell ref="C2:E2"/>
    <mergeCell ref="F2:F3"/>
  </mergeCells>
  <pageMargins left="0.4365" right="0.33950000000000002" top="0.91341666666666665" bottom="0.51733333333333331"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7"/>
  <sheetViews>
    <sheetView showGridLines="0" view="pageBreakPreview" topLeftCell="A6" zoomScaleNormal="100" zoomScaleSheetLayoutView="100" zoomScalePageLayoutView="115" workbookViewId="0">
      <selection activeCell="K58" sqref="K58"/>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899" t="s">
        <v>244</v>
      </c>
      <c r="B1" s="902" t="s">
        <v>53</v>
      </c>
      <c r="C1" s="905" t="str">
        <f>+'19. ANEXOI-2'!C1:F1</f>
        <v>ENERGÍA PRODUCIDA DICIEMBE 2022</v>
      </c>
      <c r="D1" s="905"/>
      <c r="E1" s="905"/>
      <c r="F1" s="905"/>
      <c r="G1" s="494" t="s">
        <v>270</v>
      </c>
      <c r="H1" s="203"/>
    </row>
    <row r="2" spans="1:8" ht="11.25" customHeight="1">
      <c r="A2" s="900"/>
      <c r="B2" s="903"/>
      <c r="C2" s="906" t="s">
        <v>271</v>
      </c>
      <c r="D2" s="906"/>
      <c r="E2" s="906"/>
      <c r="F2" s="907" t="str">
        <f>"TOTAL 
"&amp;UPPER('1. Resumen'!Q4)</f>
        <v>TOTAL 
DICIEMBE</v>
      </c>
      <c r="G2" s="495" t="s">
        <v>272</v>
      </c>
      <c r="H2" s="194"/>
    </row>
    <row r="3" spans="1:8" ht="11.25" customHeight="1">
      <c r="A3" s="900"/>
      <c r="B3" s="903"/>
      <c r="C3" s="490" t="s">
        <v>209</v>
      </c>
      <c r="D3" s="490" t="s">
        <v>210</v>
      </c>
      <c r="E3" s="490" t="s">
        <v>273</v>
      </c>
      <c r="F3" s="908"/>
      <c r="G3" s="495">
        <v>2022</v>
      </c>
      <c r="H3" s="196"/>
    </row>
    <row r="4" spans="1:8" ht="11.25" customHeight="1">
      <c r="A4" s="909"/>
      <c r="B4" s="910"/>
      <c r="C4" s="491" t="s">
        <v>274</v>
      </c>
      <c r="D4" s="491" t="s">
        <v>274</v>
      </c>
      <c r="E4" s="491" t="s">
        <v>274</v>
      </c>
      <c r="F4" s="491" t="s">
        <v>274</v>
      </c>
      <c r="G4" s="496" t="s">
        <v>202</v>
      </c>
      <c r="H4" s="196"/>
    </row>
    <row r="5" spans="1:8" s="299" customFormat="1" ht="9" customHeight="1">
      <c r="A5" s="522" t="s">
        <v>238</v>
      </c>
      <c r="B5" s="299" t="s">
        <v>322</v>
      </c>
      <c r="C5" s="493"/>
      <c r="D5" s="493">
        <v>45594.597900000001</v>
      </c>
      <c r="E5" s="493"/>
      <c r="F5" s="493">
        <v>45594.597900000001</v>
      </c>
      <c r="G5" s="524">
        <v>52655.9280125</v>
      </c>
    </row>
    <row r="6" spans="1:8" s="299" customFormat="1" ht="9" customHeight="1">
      <c r="A6" s="523" t="s">
        <v>516</v>
      </c>
      <c r="B6" s="400"/>
      <c r="C6" s="401"/>
      <c r="D6" s="401">
        <v>45594.597900000001</v>
      </c>
      <c r="E6" s="401"/>
      <c r="F6" s="401">
        <v>45594.597900000001</v>
      </c>
      <c r="G6" s="525">
        <v>52655.9280125</v>
      </c>
    </row>
    <row r="7" spans="1:8" s="299" customFormat="1" ht="9" customHeight="1">
      <c r="A7" s="522" t="s">
        <v>94</v>
      </c>
      <c r="B7" s="299" t="s">
        <v>323</v>
      </c>
      <c r="C7" s="493">
        <v>64815.070157499998</v>
      </c>
      <c r="D7" s="493"/>
      <c r="E7" s="493"/>
      <c r="F7" s="493">
        <v>64815.070157499998</v>
      </c>
      <c r="G7" s="524">
        <v>742206.25847999996</v>
      </c>
    </row>
    <row r="8" spans="1:8" s="299" customFormat="1" ht="9" customHeight="1">
      <c r="A8" s="522"/>
      <c r="B8" s="299" t="s">
        <v>550</v>
      </c>
      <c r="C8" s="493">
        <v>0</v>
      </c>
      <c r="D8" s="493"/>
      <c r="E8" s="493"/>
      <c r="F8" s="493">
        <v>0</v>
      </c>
      <c r="G8" s="524">
        <v>1378.2734850000002</v>
      </c>
    </row>
    <row r="9" spans="1:8" s="299" customFormat="1" ht="9" customHeight="1">
      <c r="A9" s="523" t="s">
        <v>517</v>
      </c>
      <c r="B9" s="400"/>
      <c r="C9" s="401">
        <v>64815.070157499998</v>
      </c>
      <c r="D9" s="401"/>
      <c r="E9" s="401"/>
      <c r="F9" s="401">
        <v>64815.070157499998</v>
      </c>
      <c r="G9" s="525">
        <v>743584.53196499997</v>
      </c>
    </row>
    <row r="10" spans="1:8" s="299" customFormat="1" ht="9" customHeight="1">
      <c r="A10" s="522" t="s">
        <v>416</v>
      </c>
      <c r="B10" s="299" t="s">
        <v>445</v>
      </c>
      <c r="C10" s="493"/>
      <c r="D10" s="493"/>
      <c r="E10" s="493">
        <v>3844.2692425</v>
      </c>
      <c r="F10" s="493">
        <v>3844.2692425</v>
      </c>
      <c r="G10" s="524">
        <v>46680.482934999993</v>
      </c>
    </row>
    <row r="11" spans="1:8" s="299" customFormat="1" ht="9" customHeight="1">
      <c r="A11" s="523" t="s">
        <v>518</v>
      </c>
      <c r="B11" s="400"/>
      <c r="C11" s="401"/>
      <c r="D11" s="401"/>
      <c r="E11" s="401">
        <v>3844.2692425</v>
      </c>
      <c r="F11" s="401">
        <v>3844.2692425</v>
      </c>
      <c r="G11" s="525">
        <v>46680.482934999993</v>
      </c>
    </row>
    <row r="12" spans="1:8" s="299" customFormat="1" ht="9" customHeight="1">
      <c r="A12" s="522" t="s">
        <v>391</v>
      </c>
      <c r="B12" s="299" t="s">
        <v>395</v>
      </c>
      <c r="C12" s="493"/>
      <c r="D12" s="493"/>
      <c r="E12" s="493">
        <v>12587.67776</v>
      </c>
      <c r="F12" s="493">
        <v>12587.67776</v>
      </c>
      <c r="G12" s="524">
        <v>158317.77659249998</v>
      </c>
    </row>
    <row r="13" spans="1:8" s="299" customFormat="1" ht="9" customHeight="1">
      <c r="A13" s="523" t="s">
        <v>519</v>
      </c>
      <c r="B13" s="400"/>
      <c r="C13" s="401"/>
      <c r="D13" s="401"/>
      <c r="E13" s="401">
        <v>12587.67776</v>
      </c>
      <c r="F13" s="401">
        <v>12587.67776</v>
      </c>
      <c r="G13" s="525">
        <v>158317.77659249998</v>
      </c>
    </row>
    <row r="14" spans="1:8" s="299" customFormat="1" ht="9" customHeight="1">
      <c r="A14" s="522" t="s">
        <v>101</v>
      </c>
      <c r="B14" s="299" t="s">
        <v>324</v>
      </c>
      <c r="C14" s="493"/>
      <c r="D14" s="493">
        <v>0</v>
      </c>
      <c r="E14" s="493"/>
      <c r="F14" s="493">
        <v>0</v>
      </c>
      <c r="G14" s="524">
        <v>176085.74801500002</v>
      </c>
    </row>
    <row r="15" spans="1:8" s="299" customFormat="1" ht="9" customHeight="1">
      <c r="A15" s="523" t="s">
        <v>520</v>
      </c>
      <c r="B15" s="400"/>
      <c r="C15" s="401"/>
      <c r="D15" s="401">
        <v>0</v>
      </c>
      <c r="E15" s="401"/>
      <c r="F15" s="401">
        <v>0</v>
      </c>
      <c r="G15" s="525">
        <v>176085.74801500002</v>
      </c>
    </row>
    <row r="16" spans="1:8" s="299" customFormat="1" ht="9" customHeight="1">
      <c r="A16" s="522" t="s">
        <v>116</v>
      </c>
      <c r="B16" s="299" t="s">
        <v>325</v>
      </c>
      <c r="C16" s="493"/>
      <c r="D16" s="493">
        <v>108.45420999999999</v>
      </c>
      <c r="E16" s="493"/>
      <c r="F16" s="493">
        <v>108.45420999999999</v>
      </c>
      <c r="G16" s="524">
        <v>10035.6124875</v>
      </c>
    </row>
    <row r="17" spans="1:7" s="299" customFormat="1" ht="9" customHeight="1">
      <c r="A17" s="523" t="s">
        <v>521</v>
      </c>
      <c r="B17" s="400"/>
      <c r="C17" s="401"/>
      <c r="D17" s="401">
        <v>108.45420999999999</v>
      </c>
      <c r="E17" s="401"/>
      <c r="F17" s="401">
        <v>108.45420999999999</v>
      </c>
      <c r="G17" s="525">
        <v>10035.6124875</v>
      </c>
    </row>
    <row r="18" spans="1:7" s="299" customFormat="1" ht="9" customHeight="1">
      <c r="A18" s="522" t="s">
        <v>110</v>
      </c>
      <c r="B18" s="299" t="s">
        <v>441</v>
      </c>
      <c r="C18" s="493"/>
      <c r="D18" s="493"/>
      <c r="E18" s="493">
        <v>11425.5292075</v>
      </c>
      <c r="F18" s="493">
        <v>11425.5292075</v>
      </c>
      <c r="G18" s="524">
        <v>144733.47163749998</v>
      </c>
    </row>
    <row r="19" spans="1:7" s="299" customFormat="1" ht="9" customHeight="1">
      <c r="A19" s="522"/>
      <c r="B19" s="299" t="s">
        <v>68</v>
      </c>
      <c r="C19" s="493"/>
      <c r="D19" s="493"/>
      <c r="E19" s="493">
        <v>1201.272995</v>
      </c>
      <c r="F19" s="493">
        <v>1201.272995</v>
      </c>
      <c r="G19" s="524">
        <v>51048.915792500004</v>
      </c>
    </row>
    <row r="20" spans="1:7" s="299" customFormat="1" ht="9" customHeight="1">
      <c r="A20" s="523" t="s">
        <v>522</v>
      </c>
      <c r="B20" s="400"/>
      <c r="C20" s="401"/>
      <c r="D20" s="401"/>
      <c r="E20" s="401">
        <v>12626.802202499999</v>
      </c>
      <c r="F20" s="401">
        <v>12626.802202499999</v>
      </c>
      <c r="G20" s="525">
        <v>195782.38743</v>
      </c>
    </row>
    <row r="21" spans="1:7" s="299" customFormat="1" ht="9" customHeight="1">
      <c r="A21" s="522" t="s">
        <v>89</v>
      </c>
      <c r="B21" s="299" t="s">
        <v>326</v>
      </c>
      <c r="C21" s="493">
        <v>22775.850672499997</v>
      </c>
      <c r="D21" s="493"/>
      <c r="E21" s="493"/>
      <c r="F21" s="493">
        <v>22775.850672499997</v>
      </c>
      <c r="G21" s="524">
        <v>243142.73040999999</v>
      </c>
    </row>
    <row r="22" spans="1:7" s="299" customFormat="1" ht="9" customHeight="1">
      <c r="A22" s="522"/>
      <c r="B22" s="299" t="s">
        <v>327</v>
      </c>
      <c r="C22" s="493">
        <v>47751.505650000006</v>
      </c>
      <c r="D22" s="493"/>
      <c r="E22" s="493"/>
      <c r="F22" s="493">
        <v>47751.505650000006</v>
      </c>
      <c r="G22" s="524">
        <v>709239.88475749991</v>
      </c>
    </row>
    <row r="23" spans="1:7" s="299" customFormat="1" ht="9" customHeight="1">
      <c r="A23" s="522"/>
      <c r="B23" s="299" t="s">
        <v>328</v>
      </c>
      <c r="C23" s="493">
        <v>19286.8424075</v>
      </c>
      <c r="D23" s="493"/>
      <c r="E23" s="493"/>
      <c r="F23" s="493">
        <v>19286.8424075</v>
      </c>
      <c r="G23" s="524">
        <v>185406.50288749998</v>
      </c>
    </row>
    <row r="24" spans="1:7" s="299" customFormat="1" ht="9" customHeight="1">
      <c r="A24" s="522"/>
      <c r="B24" s="299" t="s">
        <v>329</v>
      </c>
      <c r="C24" s="493">
        <v>19.840027500000001</v>
      </c>
      <c r="D24" s="493"/>
      <c r="E24" s="493"/>
      <c r="F24" s="493">
        <v>19.840027500000001</v>
      </c>
      <c r="G24" s="524">
        <v>1183.1176925</v>
      </c>
    </row>
    <row r="25" spans="1:7" s="299" customFormat="1" ht="9" customHeight="1">
      <c r="A25" s="522"/>
      <c r="B25" s="299" t="s">
        <v>330</v>
      </c>
      <c r="C25" s="493">
        <v>6512.5435350000007</v>
      </c>
      <c r="D25" s="493"/>
      <c r="E25" s="493"/>
      <c r="F25" s="493">
        <v>6512.5435350000007</v>
      </c>
      <c r="G25" s="524">
        <v>209637.04906999998</v>
      </c>
    </row>
    <row r="26" spans="1:7" s="299" customFormat="1" ht="9" customHeight="1">
      <c r="A26" s="522"/>
      <c r="B26" s="299" t="s">
        <v>331</v>
      </c>
      <c r="C26" s="493">
        <v>662.21539499999994</v>
      </c>
      <c r="D26" s="493"/>
      <c r="E26" s="493"/>
      <c r="F26" s="493">
        <v>662.21539499999994</v>
      </c>
      <c r="G26" s="524">
        <v>23728.5374625</v>
      </c>
    </row>
    <row r="27" spans="1:7" s="299" customFormat="1" ht="9" customHeight="1">
      <c r="A27" s="522"/>
      <c r="B27" s="299" t="s">
        <v>332</v>
      </c>
      <c r="C27" s="493">
        <v>3390.7971600000001</v>
      </c>
      <c r="D27" s="493"/>
      <c r="E27" s="493"/>
      <c r="F27" s="493">
        <v>3390.7971600000001</v>
      </c>
      <c r="G27" s="524">
        <v>50702.267970000001</v>
      </c>
    </row>
    <row r="28" spans="1:7" s="299" customFormat="1" ht="9" customHeight="1">
      <c r="A28" s="522"/>
      <c r="B28" s="299" t="s">
        <v>333</v>
      </c>
      <c r="C28" s="493">
        <v>1382.6821849999999</v>
      </c>
      <c r="D28" s="493"/>
      <c r="E28" s="493"/>
      <c r="F28" s="493">
        <v>1382.6821849999999</v>
      </c>
      <c r="G28" s="524">
        <v>31471.95045</v>
      </c>
    </row>
    <row r="29" spans="1:7" s="299" customFormat="1" ht="9" customHeight="1">
      <c r="A29" s="522"/>
      <c r="B29" s="299" t="s">
        <v>334</v>
      </c>
      <c r="C29" s="493">
        <v>1847.9100574999998</v>
      </c>
      <c r="D29" s="493"/>
      <c r="E29" s="493"/>
      <c r="F29" s="493">
        <v>1847.9100574999998</v>
      </c>
      <c r="G29" s="524">
        <v>17655.793604999999</v>
      </c>
    </row>
    <row r="30" spans="1:7" s="299" customFormat="1" ht="9" customHeight="1">
      <c r="A30" s="522"/>
      <c r="B30" s="299" t="s">
        <v>335</v>
      </c>
      <c r="C30" s="493">
        <v>8.4738325000000003</v>
      </c>
      <c r="D30" s="493"/>
      <c r="E30" s="493"/>
      <c r="F30" s="493">
        <v>8.4738325000000003</v>
      </c>
      <c r="G30" s="524">
        <v>2458.4810050000006</v>
      </c>
    </row>
    <row r="31" spans="1:7" s="299" customFormat="1" ht="9" customHeight="1">
      <c r="A31" s="522"/>
      <c r="B31" s="299" t="s">
        <v>336</v>
      </c>
      <c r="C31" s="493">
        <v>6.5944525000000001</v>
      </c>
      <c r="D31" s="493"/>
      <c r="E31" s="493"/>
      <c r="F31" s="493">
        <v>6.5944525000000001</v>
      </c>
      <c r="G31" s="524">
        <v>1871.4699549999998</v>
      </c>
    </row>
    <row r="32" spans="1:7" s="299" customFormat="1" ht="9" customHeight="1">
      <c r="A32" s="522"/>
      <c r="B32" s="299" t="s">
        <v>337</v>
      </c>
      <c r="C32" s="493">
        <v>59946.073875000009</v>
      </c>
      <c r="D32" s="493"/>
      <c r="E32" s="493"/>
      <c r="F32" s="493">
        <v>59946.073875000009</v>
      </c>
      <c r="G32" s="524">
        <v>782568.43057500001</v>
      </c>
    </row>
    <row r="33" spans="1:8" s="299" customFormat="1" ht="9" customHeight="1">
      <c r="A33" s="523" t="s">
        <v>523</v>
      </c>
      <c r="B33" s="400"/>
      <c r="C33" s="401">
        <v>163591.32925000004</v>
      </c>
      <c r="D33" s="401"/>
      <c r="E33" s="401"/>
      <c r="F33" s="401">
        <v>163591.32925000004</v>
      </c>
      <c r="G33" s="525">
        <v>2259066.2158399997</v>
      </c>
    </row>
    <row r="34" spans="1:8" s="299" customFormat="1" ht="9" customHeight="1">
      <c r="A34" s="522" t="s">
        <v>108</v>
      </c>
      <c r="B34" s="299" t="s">
        <v>225</v>
      </c>
      <c r="C34" s="493"/>
      <c r="D34" s="493"/>
      <c r="E34" s="493">
        <v>5319.3370000000004</v>
      </c>
      <c r="F34" s="493">
        <v>5319.3370000000004</v>
      </c>
      <c r="G34" s="524">
        <v>56026.624692499994</v>
      </c>
    </row>
    <row r="35" spans="1:8" s="299" customFormat="1" ht="9" customHeight="1">
      <c r="A35" s="523" t="s">
        <v>524</v>
      </c>
      <c r="B35" s="400"/>
      <c r="C35" s="401"/>
      <c r="D35" s="401"/>
      <c r="E35" s="401">
        <v>5319.3370000000004</v>
      </c>
      <c r="F35" s="401">
        <v>5319.3370000000004</v>
      </c>
      <c r="G35" s="525">
        <v>56026.624692499994</v>
      </c>
    </row>
    <row r="36" spans="1:8" s="299" customFormat="1" ht="9" customHeight="1">
      <c r="A36" s="522" t="s">
        <v>99</v>
      </c>
      <c r="B36" s="299" t="s">
        <v>418</v>
      </c>
      <c r="C36" s="493"/>
      <c r="D36" s="493">
        <v>124831.2688475</v>
      </c>
      <c r="E36" s="493"/>
      <c r="F36" s="493">
        <v>124831.2688475</v>
      </c>
      <c r="G36" s="524">
        <v>1715435.5132599999</v>
      </c>
    </row>
    <row r="37" spans="1:8" s="299" customFormat="1" ht="9" customHeight="1">
      <c r="A37" s="523" t="s">
        <v>525</v>
      </c>
      <c r="B37" s="400"/>
      <c r="C37" s="401"/>
      <c r="D37" s="401">
        <v>124831.2688475</v>
      </c>
      <c r="E37" s="401"/>
      <c r="F37" s="401">
        <v>124831.2688475</v>
      </c>
      <c r="G37" s="525">
        <v>1715435.5132599999</v>
      </c>
    </row>
    <row r="38" spans="1:8" s="299" customFormat="1" ht="9" customHeight="1">
      <c r="A38" s="522" t="s">
        <v>104</v>
      </c>
      <c r="B38" s="299" t="s">
        <v>338</v>
      </c>
      <c r="C38" s="493"/>
      <c r="D38" s="493">
        <v>42048.998820000001</v>
      </c>
      <c r="E38" s="493"/>
      <c r="F38" s="493">
        <v>42048.998820000001</v>
      </c>
      <c r="G38" s="524">
        <v>306478.11698249995</v>
      </c>
    </row>
    <row r="39" spans="1:8" s="299" customFormat="1" ht="9" customHeight="1">
      <c r="A39" s="523" t="s">
        <v>526</v>
      </c>
      <c r="B39" s="400"/>
      <c r="C39" s="401"/>
      <c r="D39" s="401">
        <v>42048.998820000001</v>
      </c>
      <c r="E39" s="401"/>
      <c r="F39" s="401">
        <v>42048.998820000001</v>
      </c>
      <c r="G39" s="525">
        <v>306478.11698249995</v>
      </c>
    </row>
    <row r="40" spans="1:8">
      <c r="A40" s="386" t="s">
        <v>410</v>
      </c>
      <c r="B40" s="386"/>
      <c r="C40" s="385">
        <v>1904834.3057074999</v>
      </c>
      <c r="D40" s="385">
        <v>2702149.9180624997</v>
      </c>
      <c r="E40" s="385">
        <v>405805.66041999997</v>
      </c>
      <c r="F40" s="385">
        <v>5012789.8841899997</v>
      </c>
      <c r="G40" s="497">
        <v>56084197.6996575</v>
      </c>
    </row>
    <row r="41" spans="1:8">
      <c r="A41" s="386" t="s">
        <v>339</v>
      </c>
      <c r="B41" s="386"/>
      <c r="C41" s="387"/>
      <c r="D41" s="387"/>
      <c r="E41" s="412"/>
      <c r="F41" s="388">
        <f>+'3. Tipo Generación'!D14*1000</f>
        <v>0</v>
      </c>
      <c r="G41" s="498">
        <f>+'4. Tipo Recurso'!$G$21*1000</f>
        <v>32101.867080000004</v>
      </c>
    </row>
    <row r="42" spans="1:8">
      <c r="A42" s="499" t="s">
        <v>340</v>
      </c>
      <c r="B42" s="386"/>
      <c r="C42" s="387"/>
      <c r="D42" s="387"/>
      <c r="E42" s="412"/>
      <c r="F42" s="388">
        <f>+'3. Tipo Generación'!D15*1000</f>
        <v>530.31637999999998</v>
      </c>
      <c r="G42" s="498">
        <f>+'4. Tipo Recurso'!$G$22*1000</f>
        <v>530.31637999999998</v>
      </c>
    </row>
    <row r="43" spans="1:8" ht="6.75" customHeight="1">
      <c r="A43" s="500"/>
      <c r="B43" s="500"/>
      <c r="C43" s="500"/>
      <c r="D43" s="500"/>
      <c r="E43" s="500"/>
      <c r="F43" s="500"/>
      <c r="G43" s="500"/>
    </row>
    <row r="44" spans="1:8" ht="23.25" customHeight="1">
      <c r="A44" s="911" t="s">
        <v>534</v>
      </c>
      <c r="B44" s="911"/>
      <c r="C44" s="911"/>
      <c r="D44" s="911"/>
      <c r="E44" s="911"/>
      <c r="F44" s="911"/>
      <c r="G44" s="911"/>
    </row>
    <row r="45" spans="1:8" ht="17.25" customHeight="1">
      <c r="A45" s="535"/>
      <c r="B45" s="535"/>
      <c r="C45" s="535"/>
      <c r="D45" s="535"/>
      <c r="E45" s="535"/>
      <c r="F45" s="535"/>
      <c r="G45" s="535"/>
      <c r="H45" s="46"/>
    </row>
    <row r="46" spans="1:8" ht="17.25" customHeight="1">
      <c r="A46" s="653" t="s">
        <v>549</v>
      </c>
      <c r="B46" s="535"/>
      <c r="C46" s="535"/>
      <c r="D46" s="535"/>
      <c r="E46" s="535"/>
      <c r="F46" s="535"/>
      <c r="G46" s="535"/>
      <c r="H46" s="46"/>
    </row>
    <row r="47" spans="1:8" ht="17.25" customHeight="1">
      <c r="A47" s="535" t="s">
        <v>575</v>
      </c>
      <c r="B47" s="535"/>
      <c r="C47" s="535"/>
      <c r="D47" s="535"/>
      <c r="E47" s="535"/>
      <c r="F47" s="535"/>
      <c r="G47" s="535"/>
      <c r="H47" s="46"/>
    </row>
    <row r="48" spans="1:8" ht="17.25" customHeight="1">
      <c r="A48" s="535" t="s">
        <v>576</v>
      </c>
      <c r="B48" s="535"/>
      <c r="C48" s="535"/>
      <c r="D48" s="535"/>
      <c r="E48" s="535"/>
      <c r="F48" s="535"/>
      <c r="G48" s="535"/>
      <c r="H48" s="46"/>
    </row>
    <row r="49" spans="1:8" ht="17.25" customHeight="1">
      <c r="A49" s="535" t="s">
        <v>635</v>
      </c>
      <c r="B49" s="535"/>
      <c r="C49" s="535"/>
      <c r="D49" s="535"/>
      <c r="E49" s="535"/>
      <c r="F49" s="535"/>
      <c r="G49" s="535"/>
      <c r="H49" s="46"/>
    </row>
    <row r="50" spans="1:8" ht="18.600000000000001" customHeight="1">
      <c r="A50" s="535" t="s">
        <v>761</v>
      </c>
      <c r="B50" s="270"/>
      <c r="C50" s="270"/>
      <c r="D50" s="270"/>
      <c r="E50" s="270"/>
      <c r="F50" s="270"/>
    </row>
    <row r="51" spans="1:8">
      <c r="A51" s="299"/>
      <c r="B51" s="270"/>
      <c r="C51" s="270"/>
      <c r="D51" s="270"/>
      <c r="E51" s="270"/>
      <c r="F51" s="270"/>
    </row>
    <row r="52" spans="1:8">
      <c r="A52" s="299"/>
      <c r="B52" s="270"/>
      <c r="C52" s="270"/>
      <c r="D52" s="270"/>
      <c r="E52" s="270"/>
      <c r="F52" s="270"/>
    </row>
    <row r="53" spans="1:8">
      <c r="A53" s="299"/>
      <c r="B53" s="270"/>
      <c r="C53" s="270"/>
      <c r="D53" s="270"/>
      <c r="E53" s="270"/>
      <c r="F53" s="270"/>
    </row>
    <row r="54" spans="1:8">
      <c r="A54" s="299"/>
      <c r="B54" s="270"/>
      <c r="C54" s="270"/>
      <c r="D54" s="270"/>
      <c r="E54" s="270"/>
      <c r="F54" s="270"/>
    </row>
    <row r="55" spans="1:8">
      <c r="A55" s="299"/>
    </row>
    <row r="56" spans="1:8">
      <c r="A56" s="299"/>
    </row>
    <row r="57" spans="1:8">
      <c r="A57" s="299"/>
    </row>
  </sheetData>
  <mergeCells count="6">
    <mergeCell ref="A44:G44"/>
    <mergeCell ref="A1:A4"/>
    <mergeCell ref="B1:B4"/>
    <mergeCell ref="C1:F1"/>
    <mergeCell ref="C2:E2"/>
    <mergeCell ref="F2:F3"/>
  </mergeCells>
  <phoneticPr fontId="13" type="noConversion"/>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K58" sqref="K58"/>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9" t="s">
        <v>343</v>
      </c>
      <c r="B1" s="510"/>
      <c r="C1" s="510"/>
      <c r="D1" s="510"/>
      <c r="E1" s="510"/>
      <c r="F1" s="510"/>
    </row>
    <row r="2" spans="1:12" s="299" customFormat="1" ht="11.25" customHeight="1">
      <c r="A2" s="912" t="s">
        <v>244</v>
      </c>
      <c r="B2" s="915" t="s">
        <v>53</v>
      </c>
      <c r="C2" s="915" t="s">
        <v>344</v>
      </c>
      <c r="D2" s="915"/>
      <c r="E2" s="915"/>
      <c r="F2" s="918"/>
      <c r="G2" s="337"/>
      <c r="H2" s="337"/>
      <c r="I2" s="337"/>
      <c r="J2" s="337"/>
      <c r="K2" s="337"/>
    </row>
    <row r="3" spans="1:12" s="299" customFormat="1" ht="11.25" customHeight="1">
      <c r="A3" s="913"/>
      <c r="B3" s="916"/>
      <c r="C3" s="389" t="str">
        <f>UPPER('1. Resumen'!Q4)&amp;" "&amp;'1. Resumen'!Q5</f>
        <v>DICIEMBE 2022</v>
      </c>
      <c r="D3" s="390" t="str">
        <f>UPPER('1. Resumen'!Q4)&amp;" "&amp;'1. Resumen'!Q5-1</f>
        <v>DICIEMBE 2021</v>
      </c>
      <c r="E3" s="390">
        <v>2022</v>
      </c>
      <c r="F3" s="501" t="s">
        <v>544</v>
      </c>
      <c r="G3" s="338"/>
      <c r="H3" s="338"/>
      <c r="I3" s="338"/>
      <c r="J3" s="338"/>
      <c r="K3" s="338"/>
      <c r="L3" s="337"/>
    </row>
    <row r="4" spans="1:12" s="299" customFormat="1" ht="11.25" customHeight="1">
      <c r="A4" s="913"/>
      <c r="B4" s="916"/>
      <c r="C4" s="391">
        <f>+'8. Max Potencia'!D8</f>
        <v>44901.8125</v>
      </c>
      <c r="D4" s="391">
        <f>+'8. Max Potencia'!E8</f>
        <v>44543.822916666664</v>
      </c>
      <c r="E4" s="391">
        <f>+'8. Max Potencia'!G8</f>
        <v>44901.8125</v>
      </c>
      <c r="F4" s="502" t="s">
        <v>341</v>
      </c>
      <c r="G4" s="339"/>
      <c r="H4" s="339"/>
      <c r="I4" s="340"/>
      <c r="J4" s="340"/>
      <c r="K4" s="340"/>
      <c r="L4" s="337"/>
    </row>
    <row r="5" spans="1:12" s="299" customFormat="1" ht="11.25" customHeight="1">
      <c r="A5" s="914"/>
      <c r="B5" s="917"/>
      <c r="C5" s="504">
        <f>+'8. Max Potencia'!D9</f>
        <v>44901.8125</v>
      </c>
      <c r="D5" s="504">
        <f>+'8. Max Potencia'!E9</f>
        <v>44543.822916666664</v>
      </c>
      <c r="E5" s="504">
        <f>+'8. Max Potencia'!G9</f>
        <v>44901.8125</v>
      </c>
      <c r="F5" s="505" t="s">
        <v>342</v>
      </c>
      <c r="G5" s="339"/>
      <c r="H5" s="339"/>
      <c r="I5" s="339"/>
      <c r="J5" s="339"/>
      <c r="K5" s="339"/>
      <c r="L5" s="341"/>
    </row>
    <row r="6" spans="1:12" s="299" customFormat="1" ht="9" customHeight="1">
      <c r="A6" s="527" t="s">
        <v>118</v>
      </c>
      <c r="B6" s="335" t="s">
        <v>85</v>
      </c>
      <c r="C6" s="336">
        <v>17.54785</v>
      </c>
      <c r="D6" s="336">
        <v>10.801080000000001</v>
      </c>
      <c r="E6" s="336">
        <v>17.54785</v>
      </c>
      <c r="F6" s="623">
        <f>+IF(D6=0,"",C6/D6-1)</f>
        <v>0.62463846207971785</v>
      </c>
      <c r="G6" s="339"/>
      <c r="H6" s="543"/>
      <c r="I6" s="543"/>
      <c r="J6" s="339"/>
      <c r="K6" s="339"/>
      <c r="L6" s="342"/>
    </row>
    <row r="7" spans="1:12" s="299" customFormat="1" ht="9" customHeight="1">
      <c r="A7" s="523" t="s">
        <v>466</v>
      </c>
      <c r="B7" s="400"/>
      <c r="C7" s="401">
        <v>17.54785</v>
      </c>
      <c r="D7" s="401">
        <v>10.801080000000001</v>
      </c>
      <c r="E7" s="401">
        <v>17.54785</v>
      </c>
      <c r="F7" s="624">
        <f t="shared" ref="F7:F66" si="0">+IF(D7=0,"",C7/D7-1)</f>
        <v>0.62463846207971785</v>
      </c>
      <c r="G7" s="339"/>
      <c r="H7" s="543"/>
      <c r="I7" s="543"/>
      <c r="J7" s="339"/>
      <c r="K7" s="339"/>
      <c r="L7" s="343"/>
    </row>
    <row r="8" spans="1:12" s="299" customFormat="1" ht="9" customHeight="1">
      <c r="A8" s="527" t="s">
        <v>117</v>
      </c>
      <c r="B8" s="335" t="s">
        <v>62</v>
      </c>
      <c r="C8" s="336">
        <v>3.11693</v>
      </c>
      <c r="D8" s="336">
        <v>19.947469999999999</v>
      </c>
      <c r="E8" s="336">
        <v>3.11693</v>
      </c>
      <c r="F8" s="623">
        <f t="shared" si="0"/>
        <v>-0.84374309122911328</v>
      </c>
      <c r="G8" s="339"/>
      <c r="H8" s="543"/>
      <c r="I8" s="543"/>
      <c r="J8" s="339"/>
      <c r="K8" s="339"/>
      <c r="L8" s="344"/>
    </row>
    <row r="9" spans="1:12" s="299" customFormat="1" ht="9" customHeight="1">
      <c r="A9" s="523" t="s">
        <v>467</v>
      </c>
      <c r="B9" s="400"/>
      <c r="C9" s="401">
        <v>3.11693</v>
      </c>
      <c r="D9" s="401">
        <v>19.947469999999999</v>
      </c>
      <c r="E9" s="401">
        <v>3.11693</v>
      </c>
      <c r="F9" s="624">
        <f t="shared" si="0"/>
        <v>-0.84374309122911328</v>
      </c>
      <c r="G9" s="339"/>
      <c r="H9" s="543"/>
      <c r="I9" s="543"/>
      <c r="J9" s="339"/>
      <c r="K9" s="339"/>
      <c r="L9" s="343"/>
    </row>
    <row r="10" spans="1:12" s="299" customFormat="1" ht="9" customHeight="1">
      <c r="A10" s="522" t="s">
        <v>105</v>
      </c>
      <c r="B10" s="299" t="s">
        <v>82</v>
      </c>
      <c r="C10" s="493">
        <v>15.864420000000001</v>
      </c>
      <c r="D10" s="493">
        <v>15.353859999999999</v>
      </c>
      <c r="E10" s="493">
        <v>15.864420000000001</v>
      </c>
      <c r="F10" s="625">
        <f t="shared" si="0"/>
        <v>3.3252875824060002E-2</v>
      </c>
      <c r="G10" s="339"/>
      <c r="H10" s="543"/>
      <c r="I10" s="543"/>
      <c r="J10" s="339"/>
      <c r="K10" s="339"/>
      <c r="L10" s="343"/>
    </row>
    <row r="11" spans="1:12" s="299" customFormat="1" ht="9" customHeight="1">
      <c r="A11" s="523" t="s">
        <v>468</v>
      </c>
      <c r="B11" s="400"/>
      <c r="C11" s="401">
        <v>15.864420000000001</v>
      </c>
      <c r="D11" s="401">
        <v>15.353859999999999</v>
      </c>
      <c r="E11" s="401">
        <v>15.864420000000001</v>
      </c>
      <c r="F11" s="624">
        <f t="shared" si="0"/>
        <v>3.3252875824060002E-2</v>
      </c>
      <c r="G11" s="339"/>
      <c r="H11" s="543"/>
      <c r="I11" s="543"/>
      <c r="J11" s="339"/>
      <c r="K11" s="339"/>
      <c r="L11" s="343"/>
    </row>
    <row r="12" spans="1:12" s="299" customFormat="1" ht="9" customHeight="1">
      <c r="A12" s="522" t="s">
        <v>407</v>
      </c>
      <c r="B12" s="299" t="s">
        <v>409</v>
      </c>
      <c r="C12" s="493">
        <v>17.317910000000001</v>
      </c>
      <c r="D12" s="493">
        <v>12.058070000000001</v>
      </c>
      <c r="E12" s="493">
        <v>17.317910000000001</v>
      </c>
      <c r="F12" s="625">
        <f t="shared" si="0"/>
        <v>0.43620911140837637</v>
      </c>
      <c r="G12" s="339"/>
      <c r="H12" s="543"/>
      <c r="I12" s="543"/>
      <c r="J12" s="339"/>
      <c r="K12" s="339"/>
      <c r="L12" s="343"/>
    </row>
    <row r="13" spans="1:12" s="299" customFormat="1" ht="9" customHeight="1">
      <c r="A13" s="523" t="s">
        <v>469</v>
      </c>
      <c r="B13" s="400"/>
      <c r="C13" s="401">
        <v>17.317910000000001</v>
      </c>
      <c r="D13" s="401">
        <v>12.058070000000001</v>
      </c>
      <c r="E13" s="401">
        <v>17.317910000000001</v>
      </c>
      <c r="F13" s="624">
        <f t="shared" si="0"/>
        <v>0.43620911140837637</v>
      </c>
      <c r="G13" s="339"/>
      <c r="H13" s="543"/>
      <c r="I13" s="543"/>
      <c r="J13" s="339"/>
      <c r="K13" s="339"/>
      <c r="L13" s="343"/>
    </row>
    <row r="14" spans="1:12" s="299" customFormat="1" ht="9" customHeight="1">
      <c r="A14" s="522" t="s">
        <v>456</v>
      </c>
      <c r="B14" s="299" t="s">
        <v>74</v>
      </c>
      <c r="C14" s="493">
        <v>0.57291000000000003</v>
      </c>
      <c r="D14" s="493">
        <v>0</v>
      </c>
      <c r="E14" s="493">
        <v>0.57291000000000003</v>
      </c>
      <c r="F14" s="625" t="str">
        <f t="shared" si="0"/>
        <v/>
      </c>
      <c r="G14" s="339"/>
      <c r="H14" s="543"/>
      <c r="I14" s="543"/>
      <c r="J14" s="339"/>
      <c r="K14" s="339"/>
      <c r="L14" s="343"/>
    </row>
    <row r="15" spans="1:12" s="299" customFormat="1" ht="9" customHeight="1">
      <c r="A15" s="523" t="s">
        <v>470</v>
      </c>
      <c r="B15" s="400"/>
      <c r="C15" s="401">
        <v>0.57291000000000003</v>
      </c>
      <c r="D15" s="401">
        <v>0</v>
      </c>
      <c r="E15" s="401">
        <v>0.57291000000000003</v>
      </c>
      <c r="F15" s="624" t="str">
        <f t="shared" si="0"/>
        <v/>
      </c>
      <c r="G15" s="339"/>
      <c r="H15" s="543"/>
      <c r="I15" s="543"/>
      <c r="J15" s="339"/>
      <c r="K15" s="339"/>
      <c r="L15" s="343"/>
    </row>
    <row r="16" spans="1:12" s="299" customFormat="1" ht="9" customHeight="1">
      <c r="A16" s="522" t="s">
        <v>437</v>
      </c>
      <c r="B16" s="299" t="s">
        <v>443</v>
      </c>
      <c r="C16" s="493">
        <v>7.38835</v>
      </c>
      <c r="D16" s="493">
        <v>9.7611799999999995</v>
      </c>
      <c r="E16" s="493">
        <v>7.38835</v>
      </c>
      <c r="F16" s="625">
        <f t="shared" si="0"/>
        <v>-0.24308843807818314</v>
      </c>
      <c r="G16" s="339"/>
      <c r="H16" s="543"/>
      <c r="I16" s="543"/>
      <c r="J16" s="339"/>
      <c r="K16" s="339"/>
      <c r="L16" s="343"/>
    </row>
    <row r="17" spans="1:16" s="299" customFormat="1" ht="9" customHeight="1">
      <c r="A17" s="523" t="s">
        <v>471</v>
      </c>
      <c r="B17" s="400"/>
      <c r="C17" s="401">
        <v>7.38835</v>
      </c>
      <c r="D17" s="401">
        <v>9.7611799999999995</v>
      </c>
      <c r="E17" s="401">
        <v>7.38835</v>
      </c>
      <c r="F17" s="624">
        <f t="shared" si="0"/>
        <v>-0.24308843807818314</v>
      </c>
      <c r="G17" s="339"/>
      <c r="H17" s="543"/>
      <c r="I17" s="543"/>
      <c r="J17" s="339"/>
      <c r="K17" s="339"/>
      <c r="L17" s="344"/>
    </row>
    <row r="18" spans="1:16" s="299" customFormat="1" ht="9" customHeight="1">
      <c r="A18" s="522" t="s">
        <v>93</v>
      </c>
      <c r="B18" s="299" t="s">
        <v>275</v>
      </c>
      <c r="C18" s="493">
        <v>48.963499999999996</v>
      </c>
      <c r="D18" s="493">
        <v>210.72300000000001</v>
      </c>
      <c r="E18" s="493">
        <v>48.963499999999996</v>
      </c>
      <c r="F18" s="625">
        <f t="shared" si="0"/>
        <v>-0.76764045690313831</v>
      </c>
      <c r="G18" s="339"/>
      <c r="H18" s="543"/>
      <c r="I18" s="543"/>
      <c r="J18" s="339"/>
      <c r="K18" s="339"/>
      <c r="L18" s="344"/>
    </row>
    <row r="19" spans="1:16" s="299" customFormat="1" ht="9" customHeight="1">
      <c r="A19" s="523" t="s">
        <v>472</v>
      </c>
      <c r="B19" s="400"/>
      <c r="C19" s="401">
        <v>48.963499999999996</v>
      </c>
      <c r="D19" s="401">
        <v>210.72300000000001</v>
      </c>
      <c r="E19" s="401">
        <v>48.963499999999996</v>
      </c>
      <c r="F19" s="624">
        <f t="shared" si="0"/>
        <v>-0.76764045690313831</v>
      </c>
      <c r="G19" s="339"/>
      <c r="H19" s="543"/>
      <c r="I19" s="543"/>
      <c r="J19" s="339"/>
      <c r="K19" s="339"/>
      <c r="L19" s="344"/>
    </row>
    <row r="20" spans="1:16" s="299" customFormat="1" ht="9" customHeight="1">
      <c r="A20" s="522" t="s">
        <v>458</v>
      </c>
      <c r="B20" s="299" t="s">
        <v>314</v>
      </c>
      <c r="C20" s="493">
        <v>10.9998</v>
      </c>
      <c r="D20" s="493">
        <v>19.745669999999997</v>
      </c>
      <c r="E20" s="493">
        <v>10.9998</v>
      </c>
      <c r="F20" s="625">
        <f t="shared" si="0"/>
        <v>-0.44292596807300022</v>
      </c>
      <c r="G20" s="339"/>
      <c r="H20" s="543"/>
      <c r="I20" s="543"/>
      <c r="J20" s="339"/>
      <c r="K20" s="339"/>
      <c r="L20" s="339"/>
      <c r="M20" s="339"/>
      <c r="N20" s="339"/>
      <c r="O20" s="339"/>
      <c r="P20" s="339"/>
    </row>
    <row r="21" spans="1:16" s="299" customFormat="1" ht="9" customHeight="1">
      <c r="A21" s="523" t="s">
        <v>473</v>
      </c>
      <c r="B21" s="400"/>
      <c r="C21" s="401">
        <v>10.9998</v>
      </c>
      <c r="D21" s="401">
        <v>19.745669999999997</v>
      </c>
      <c r="E21" s="401">
        <v>10.9998</v>
      </c>
      <c r="F21" s="624">
        <f t="shared" si="0"/>
        <v>-0.44292596807300022</v>
      </c>
      <c r="G21" s="339"/>
      <c r="H21" s="543"/>
      <c r="I21" s="543"/>
      <c r="J21" s="339"/>
      <c r="K21" s="339"/>
      <c r="L21" s="339"/>
      <c r="M21" s="339"/>
      <c r="N21" s="339"/>
      <c r="O21" s="339"/>
      <c r="P21" s="339"/>
    </row>
    <row r="22" spans="1:16" s="299" customFormat="1" ht="9" customHeight="1">
      <c r="A22" s="522" t="s">
        <v>530</v>
      </c>
      <c r="B22" s="299" t="s">
        <v>545</v>
      </c>
      <c r="C22" s="493">
        <v>0.46672999999999998</v>
      </c>
      <c r="D22" s="493">
        <v>1.1077999999999999</v>
      </c>
      <c r="E22" s="493">
        <v>0.46672999999999998</v>
      </c>
      <c r="F22" s="625">
        <f t="shared" si="0"/>
        <v>-0.57868748871637476</v>
      </c>
      <c r="G22" s="339"/>
      <c r="H22" s="543"/>
      <c r="I22" s="543"/>
      <c r="J22" s="339"/>
      <c r="K22" s="339"/>
      <c r="L22" s="343"/>
    </row>
    <row r="23" spans="1:16" s="299" customFormat="1" ht="9" customHeight="1">
      <c r="A23" s="522"/>
      <c r="B23" s="299" t="s">
        <v>546</v>
      </c>
      <c r="C23" s="493">
        <v>1.0276400000000001</v>
      </c>
      <c r="D23" s="493">
        <v>1.8839399999999999</v>
      </c>
      <c r="E23" s="493">
        <v>1.0276400000000001</v>
      </c>
      <c r="F23" s="625">
        <f t="shared" si="0"/>
        <v>-0.45452615263755736</v>
      </c>
      <c r="G23" s="339"/>
      <c r="H23" s="543"/>
      <c r="I23" s="543"/>
      <c r="J23" s="339"/>
      <c r="K23" s="339"/>
      <c r="L23" s="343"/>
    </row>
    <row r="24" spans="1:16" s="299" customFormat="1" ht="9" customHeight="1">
      <c r="A24" s="523" t="s">
        <v>532</v>
      </c>
      <c r="B24" s="400"/>
      <c r="C24" s="401">
        <v>1.49437</v>
      </c>
      <c r="D24" s="401">
        <v>2.9917400000000001</v>
      </c>
      <c r="E24" s="401">
        <v>1.49437</v>
      </c>
      <c r="F24" s="624">
        <f t="shared" si="0"/>
        <v>-0.50050138046755399</v>
      </c>
      <c r="G24" s="339"/>
      <c r="H24" s="543"/>
      <c r="I24" s="543"/>
      <c r="J24" s="339"/>
      <c r="K24" s="339"/>
      <c r="L24" s="343"/>
    </row>
    <row r="25" spans="1:16" s="299" customFormat="1" ht="9" customHeight="1">
      <c r="A25" s="522" t="s">
        <v>230</v>
      </c>
      <c r="B25" s="299" t="s">
        <v>276</v>
      </c>
      <c r="C25" s="493">
        <v>0</v>
      </c>
      <c r="D25" s="493">
        <v>0</v>
      </c>
      <c r="E25" s="493">
        <v>0</v>
      </c>
      <c r="F25" s="625" t="str">
        <f t="shared" si="0"/>
        <v/>
      </c>
      <c r="G25" s="339"/>
      <c r="H25" s="543"/>
      <c r="I25" s="543"/>
      <c r="J25" s="339"/>
      <c r="K25" s="339"/>
      <c r="L25" s="343"/>
    </row>
    <row r="26" spans="1:16" s="299" customFormat="1" ht="9" customHeight="1">
      <c r="A26" s="523" t="s">
        <v>474</v>
      </c>
      <c r="B26" s="400"/>
      <c r="C26" s="401">
        <v>0</v>
      </c>
      <c r="D26" s="401">
        <v>0</v>
      </c>
      <c r="E26" s="401">
        <v>0</v>
      </c>
      <c r="F26" s="624" t="str">
        <f t="shared" si="0"/>
        <v/>
      </c>
      <c r="G26" s="339"/>
      <c r="H26" s="543"/>
      <c r="I26" s="543"/>
      <c r="J26" s="339"/>
      <c r="K26" s="339"/>
      <c r="L26" s="343"/>
    </row>
    <row r="27" spans="1:16" s="299" customFormat="1" ht="9" customHeight="1">
      <c r="A27" s="522" t="s">
        <v>92</v>
      </c>
      <c r="B27" s="299" t="s">
        <v>277</v>
      </c>
      <c r="C27" s="493">
        <v>74.239999999999995</v>
      </c>
      <c r="D27" s="493">
        <v>147.185</v>
      </c>
      <c r="E27" s="493">
        <v>74.239999999999995</v>
      </c>
      <c r="F27" s="625">
        <f t="shared" si="0"/>
        <v>-0.4956007745354486</v>
      </c>
      <c r="G27" s="339"/>
      <c r="H27" s="543"/>
      <c r="I27" s="543"/>
      <c r="J27" s="339"/>
      <c r="K27" s="339"/>
      <c r="L27" s="343"/>
    </row>
    <row r="28" spans="1:16" s="299" customFormat="1" ht="9" customHeight="1">
      <c r="A28" s="522"/>
      <c r="B28" s="299" t="s">
        <v>278</v>
      </c>
      <c r="C28" s="493">
        <v>5.9530000000000003</v>
      </c>
      <c r="D28" s="493">
        <v>29.385000000000002</v>
      </c>
      <c r="E28" s="493">
        <v>5.9530000000000003</v>
      </c>
      <c r="F28" s="625">
        <f t="shared" si="0"/>
        <v>-0.79741364641824064</v>
      </c>
      <c r="G28" s="339"/>
      <c r="H28" s="543"/>
      <c r="I28" s="543"/>
      <c r="J28" s="339"/>
      <c r="K28" s="339"/>
      <c r="L28" s="343"/>
    </row>
    <row r="29" spans="1:16" s="299" customFormat="1" ht="9" customHeight="1">
      <c r="A29" s="523" t="s">
        <v>475</v>
      </c>
      <c r="B29" s="400"/>
      <c r="C29" s="401">
        <v>80.192999999999998</v>
      </c>
      <c r="D29" s="401">
        <v>176.57</v>
      </c>
      <c r="E29" s="401">
        <v>80.192999999999998</v>
      </c>
      <c r="F29" s="624">
        <f t="shared" si="0"/>
        <v>-0.5458288497479753</v>
      </c>
      <c r="G29" s="339"/>
      <c r="H29" s="543"/>
      <c r="I29" s="543"/>
      <c r="J29" s="339"/>
      <c r="K29" s="339"/>
      <c r="L29" s="345"/>
    </row>
    <row r="30" spans="1:16" s="299" customFormat="1" ht="9" customHeight="1">
      <c r="A30" s="522" t="s">
        <v>531</v>
      </c>
      <c r="B30" s="299" t="s">
        <v>547</v>
      </c>
      <c r="C30" s="493">
        <v>0</v>
      </c>
      <c r="D30" s="493">
        <v>0</v>
      </c>
      <c r="E30" s="493">
        <v>0</v>
      </c>
      <c r="F30" s="625" t="str">
        <f t="shared" si="0"/>
        <v/>
      </c>
      <c r="G30" s="339"/>
      <c r="H30" s="543"/>
      <c r="I30" s="543"/>
      <c r="J30" s="339"/>
      <c r="K30" s="339"/>
      <c r="L30" s="343"/>
    </row>
    <row r="31" spans="1:16" s="299" customFormat="1" ht="9" customHeight="1">
      <c r="A31" s="523" t="s">
        <v>533</v>
      </c>
      <c r="B31" s="400"/>
      <c r="C31" s="401">
        <v>0</v>
      </c>
      <c r="D31" s="401">
        <v>0</v>
      </c>
      <c r="E31" s="401">
        <v>0</v>
      </c>
      <c r="F31" s="624" t="str">
        <f t="shared" si="0"/>
        <v/>
      </c>
      <c r="G31" s="339"/>
      <c r="H31" s="543"/>
      <c r="I31" s="543"/>
      <c r="J31" s="339"/>
      <c r="K31" s="339"/>
      <c r="L31" s="343"/>
    </row>
    <row r="32" spans="1:16" s="299" customFormat="1" ht="9" customHeight="1">
      <c r="A32" s="522" t="s">
        <v>90</v>
      </c>
      <c r="B32" s="299" t="s">
        <v>279</v>
      </c>
      <c r="C32" s="493">
        <v>1.65801</v>
      </c>
      <c r="D32" s="493">
        <v>1.67665</v>
      </c>
      <c r="E32" s="493">
        <v>1.65801</v>
      </c>
      <c r="F32" s="625">
        <f t="shared" si="0"/>
        <v>-1.1117406733665347E-2</v>
      </c>
      <c r="G32" s="339"/>
      <c r="H32" s="543"/>
      <c r="I32" s="543"/>
      <c r="J32" s="339"/>
      <c r="K32" s="339"/>
      <c r="L32" s="343"/>
    </row>
    <row r="33" spans="1:12" s="299" customFormat="1" ht="9" customHeight="1">
      <c r="A33" s="522"/>
      <c r="B33" s="299" t="s">
        <v>280</v>
      </c>
      <c r="C33" s="493">
        <v>0.56101000000000001</v>
      </c>
      <c r="D33" s="493">
        <v>0.58724999999999994</v>
      </c>
      <c r="E33" s="493">
        <v>0.56101000000000001</v>
      </c>
      <c r="F33" s="625">
        <f t="shared" si="0"/>
        <v>-4.4682843763303448E-2</v>
      </c>
      <c r="G33" s="339"/>
      <c r="H33" s="543"/>
      <c r="I33" s="543"/>
      <c r="J33" s="339"/>
      <c r="K33" s="339"/>
      <c r="L33" s="345"/>
    </row>
    <row r="34" spans="1:12" s="299" customFormat="1" ht="9" customHeight="1">
      <c r="A34" s="522"/>
      <c r="B34" s="299" t="s">
        <v>281</v>
      </c>
      <c r="C34" s="493">
        <v>4.6606500000000004</v>
      </c>
      <c r="D34" s="493">
        <v>4.6497200000000003</v>
      </c>
      <c r="E34" s="493">
        <v>4.6606500000000004</v>
      </c>
      <c r="F34" s="625">
        <f t="shared" si="0"/>
        <v>2.3506791806817695E-3</v>
      </c>
      <c r="G34" s="339"/>
      <c r="H34" s="543"/>
      <c r="I34" s="543"/>
      <c r="J34" s="339"/>
      <c r="K34" s="339"/>
      <c r="L34" s="343"/>
    </row>
    <row r="35" spans="1:12" s="299" customFormat="1" ht="9" customHeight="1">
      <c r="A35" s="522"/>
      <c r="B35" s="299" t="s">
        <v>282</v>
      </c>
      <c r="C35" s="493">
        <v>10.138920000000001</v>
      </c>
      <c r="D35" s="493">
        <v>13.82436</v>
      </c>
      <c r="E35" s="493">
        <v>10.138920000000001</v>
      </c>
      <c r="F35" s="625">
        <f t="shared" si="0"/>
        <v>-0.26659027976701999</v>
      </c>
      <c r="G35" s="339"/>
      <c r="H35" s="543"/>
      <c r="I35" s="543"/>
      <c r="J35" s="339"/>
      <c r="K35" s="339"/>
      <c r="L35" s="343"/>
    </row>
    <row r="36" spans="1:12" s="299" customFormat="1" ht="9" customHeight="1">
      <c r="A36" s="522"/>
      <c r="B36" s="299" t="s">
        <v>283</v>
      </c>
      <c r="C36" s="493">
        <v>133.41834</v>
      </c>
      <c r="D36" s="493">
        <v>141.88830999999999</v>
      </c>
      <c r="E36" s="493">
        <v>133.41834</v>
      </c>
      <c r="F36" s="625">
        <f t="shared" si="0"/>
        <v>-5.9694628824601526E-2</v>
      </c>
      <c r="G36" s="339"/>
      <c r="H36" s="543"/>
      <c r="I36" s="543"/>
      <c r="J36" s="339"/>
      <c r="K36" s="339"/>
      <c r="L36" s="343"/>
    </row>
    <row r="37" spans="1:12" s="299" customFormat="1" ht="9" customHeight="1">
      <c r="A37" s="522"/>
      <c r="B37" s="299" t="s">
        <v>284</v>
      </c>
      <c r="C37" s="493">
        <v>1.99587</v>
      </c>
      <c r="D37" s="493">
        <v>8.2745700000000006</v>
      </c>
      <c r="E37" s="493">
        <v>1.99587</v>
      </c>
      <c r="F37" s="625">
        <f t="shared" si="0"/>
        <v>-0.75879471682516431</v>
      </c>
      <c r="G37" s="339"/>
      <c r="H37" s="543"/>
      <c r="I37" s="543"/>
      <c r="J37" s="339"/>
      <c r="K37" s="339"/>
      <c r="L37" s="343"/>
    </row>
    <row r="38" spans="1:12" s="299" customFormat="1" ht="9" customHeight="1">
      <c r="A38" s="522"/>
      <c r="B38" s="299" t="s">
        <v>285</v>
      </c>
      <c r="C38" s="493">
        <v>0</v>
      </c>
      <c r="D38" s="493">
        <v>0</v>
      </c>
      <c r="E38" s="493">
        <v>0</v>
      </c>
      <c r="F38" s="625" t="str">
        <f t="shared" si="0"/>
        <v/>
      </c>
      <c r="G38" s="339"/>
      <c r="H38" s="543"/>
      <c r="I38" s="543"/>
      <c r="J38" s="339"/>
      <c r="K38" s="339"/>
      <c r="L38" s="343"/>
    </row>
    <row r="39" spans="1:12" s="299" customFormat="1" ht="9" customHeight="1">
      <c r="A39" s="522"/>
      <c r="B39" s="299" t="s">
        <v>286</v>
      </c>
      <c r="C39" s="493">
        <v>0</v>
      </c>
      <c r="D39" s="493">
        <v>0</v>
      </c>
      <c r="E39" s="493">
        <v>0</v>
      </c>
      <c r="F39" s="625" t="str">
        <f t="shared" si="0"/>
        <v/>
      </c>
      <c r="G39" s="339"/>
      <c r="H39" s="543"/>
      <c r="I39" s="543"/>
      <c r="J39" s="339"/>
      <c r="K39" s="339"/>
      <c r="L39" s="343"/>
    </row>
    <row r="40" spans="1:12" s="299" customFormat="1" ht="9" customHeight="1">
      <c r="A40" s="523" t="s">
        <v>476</v>
      </c>
      <c r="B40" s="400"/>
      <c r="C40" s="401">
        <v>152.43280000000001</v>
      </c>
      <c r="D40" s="401">
        <v>170.90085999999999</v>
      </c>
      <c r="E40" s="401">
        <v>152.43280000000001</v>
      </c>
      <c r="F40" s="624">
        <f t="shared" si="0"/>
        <v>-0.1080630021405391</v>
      </c>
      <c r="G40" s="339"/>
      <c r="H40" s="543"/>
      <c r="I40" s="543"/>
      <c r="J40" s="339"/>
      <c r="K40" s="339"/>
      <c r="L40" s="343"/>
    </row>
    <row r="41" spans="1:12" s="299" customFormat="1" ht="9" customHeight="1">
      <c r="A41" s="522" t="s">
        <v>111</v>
      </c>
      <c r="B41" s="299" t="s">
        <v>69</v>
      </c>
      <c r="C41" s="493">
        <v>2.50197</v>
      </c>
      <c r="D41" s="493">
        <v>2.3924099999999999</v>
      </c>
      <c r="E41" s="493">
        <v>2.50197</v>
      </c>
      <c r="F41" s="625">
        <f t="shared" si="0"/>
        <v>4.5794826137660394E-2</v>
      </c>
      <c r="G41" s="339"/>
      <c r="H41" s="543"/>
      <c r="I41" s="543"/>
      <c r="J41" s="339"/>
      <c r="K41" s="339"/>
      <c r="L41" s="343"/>
    </row>
    <row r="42" spans="1:12" s="299" customFormat="1" ht="9" customHeight="1">
      <c r="A42" s="523" t="s">
        <v>477</v>
      </c>
      <c r="B42" s="400"/>
      <c r="C42" s="401">
        <v>2.50197</v>
      </c>
      <c r="D42" s="401">
        <v>2.3924099999999999</v>
      </c>
      <c r="E42" s="401">
        <v>2.50197</v>
      </c>
      <c r="F42" s="624">
        <f t="shared" si="0"/>
        <v>4.5794826137660394E-2</v>
      </c>
      <c r="G42" s="339"/>
      <c r="H42" s="543"/>
      <c r="I42" s="543"/>
      <c r="J42" s="339"/>
      <c r="K42" s="339"/>
      <c r="L42" s="343"/>
    </row>
    <row r="43" spans="1:12" s="299" customFormat="1" ht="9" customHeight="1">
      <c r="A43" s="522" t="s">
        <v>91</v>
      </c>
      <c r="B43" s="299" t="s">
        <v>287</v>
      </c>
      <c r="C43" s="493">
        <v>109.188</v>
      </c>
      <c r="D43" s="493">
        <v>165.25199999999998</v>
      </c>
      <c r="E43" s="493">
        <v>109.188</v>
      </c>
      <c r="F43" s="625">
        <f t="shared" si="0"/>
        <v>-0.33926367003122493</v>
      </c>
      <c r="G43" s="339"/>
      <c r="H43" s="543"/>
      <c r="I43" s="543"/>
      <c r="J43" s="339"/>
      <c r="K43" s="339"/>
      <c r="L43" s="343"/>
    </row>
    <row r="44" spans="1:12" s="299" customFormat="1" ht="9" customHeight="1">
      <c r="A44" s="523" t="s">
        <v>478</v>
      </c>
      <c r="B44" s="400"/>
      <c r="C44" s="401">
        <v>109.188</v>
      </c>
      <c r="D44" s="401">
        <v>165.25199999999998</v>
      </c>
      <c r="E44" s="401">
        <v>109.188</v>
      </c>
      <c r="F44" s="624">
        <f t="shared" si="0"/>
        <v>-0.33926367003122493</v>
      </c>
      <c r="G44" s="339"/>
      <c r="H44" s="543"/>
      <c r="I44" s="543"/>
      <c r="J44" s="339"/>
      <c r="K44" s="339"/>
      <c r="L44" s="343"/>
    </row>
    <row r="45" spans="1:12" s="299" customFormat="1" ht="9" customHeight="1">
      <c r="A45" s="522" t="s">
        <v>100</v>
      </c>
      <c r="B45" s="299" t="s">
        <v>288</v>
      </c>
      <c r="C45" s="493">
        <v>4.2430300000000001</v>
      </c>
      <c r="D45" s="493">
        <v>7.69815</v>
      </c>
      <c r="E45" s="493">
        <v>4.2430300000000001</v>
      </c>
      <c r="F45" s="625">
        <f t="shared" si="0"/>
        <v>-0.4488247176269623</v>
      </c>
      <c r="G45" s="339"/>
      <c r="H45" s="543"/>
      <c r="I45" s="543"/>
      <c r="J45" s="339"/>
      <c r="K45" s="339"/>
      <c r="L45" s="346"/>
    </row>
    <row r="46" spans="1:12" s="299" customFormat="1" ht="9" customHeight="1">
      <c r="A46" s="522"/>
      <c r="B46" s="299" t="s">
        <v>289</v>
      </c>
      <c r="C46" s="493">
        <v>0</v>
      </c>
      <c r="D46" s="493">
        <v>4.6351199999999997</v>
      </c>
      <c r="E46" s="493">
        <v>0</v>
      </c>
      <c r="F46" s="625">
        <f t="shared" si="0"/>
        <v>-1</v>
      </c>
      <c r="G46" s="339"/>
      <c r="H46" s="543"/>
      <c r="I46" s="543"/>
      <c r="J46" s="339"/>
      <c r="K46" s="339"/>
      <c r="L46" s="343"/>
    </row>
    <row r="47" spans="1:12" s="299" customFormat="1" ht="9" customHeight="1">
      <c r="A47" s="522"/>
      <c r="B47" s="299" t="s">
        <v>290</v>
      </c>
      <c r="C47" s="493">
        <v>22.537389999999998</v>
      </c>
      <c r="D47" s="493">
        <v>22.73582</v>
      </c>
      <c r="E47" s="493">
        <v>22.537389999999998</v>
      </c>
      <c r="F47" s="625">
        <f t="shared" si="0"/>
        <v>-8.7276377100100611E-3</v>
      </c>
      <c r="G47" s="339"/>
      <c r="H47" s="543"/>
      <c r="I47" s="543"/>
      <c r="J47" s="339"/>
      <c r="K47" s="339"/>
      <c r="L47" s="343"/>
    </row>
    <row r="48" spans="1:12" s="299" customFormat="1" ht="9" customHeight="1">
      <c r="A48" s="523" t="s">
        <v>479</v>
      </c>
      <c r="B48" s="400"/>
      <c r="C48" s="401">
        <v>26.780419999999999</v>
      </c>
      <c r="D48" s="401">
        <v>35.069090000000003</v>
      </c>
      <c r="E48" s="401">
        <v>26.780419999999999</v>
      </c>
      <c r="F48" s="624">
        <f t="shared" si="0"/>
        <v>-0.23635258285858007</v>
      </c>
      <c r="G48" s="339"/>
      <c r="H48" s="543"/>
      <c r="I48" s="543"/>
      <c r="J48" s="339"/>
      <c r="K48" s="339"/>
      <c r="L48" s="343"/>
    </row>
    <row r="49" spans="1:12" s="299" customFormat="1" ht="9" customHeight="1">
      <c r="A49" s="522" t="s">
        <v>112</v>
      </c>
      <c r="B49" s="299" t="s">
        <v>72</v>
      </c>
      <c r="C49" s="493">
        <v>2.1389999999999998</v>
      </c>
      <c r="D49" s="493">
        <v>3.391</v>
      </c>
      <c r="E49" s="493">
        <v>2.1389999999999998</v>
      </c>
      <c r="F49" s="625">
        <f t="shared" si="0"/>
        <v>-0.36921262164553237</v>
      </c>
      <c r="G49" s="339"/>
      <c r="H49" s="543"/>
      <c r="I49" s="543"/>
      <c r="J49" s="339"/>
      <c r="K49" s="339"/>
      <c r="L49" s="343"/>
    </row>
    <row r="50" spans="1:12" s="299" customFormat="1" ht="9" customHeight="1">
      <c r="A50" s="523" t="s">
        <v>480</v>
      </c>
      <c r="B50" s="400"/>
      <c r="C50" s="401">
        <v>2.1389999999999998</v>
      </c>
      <c r="D50" s="401">
        <v>3.391</v>
      </c>
      <c r="E50" s="401">
        <v>2.1389999999999998</v>
      </c>
      <c r="F50" s="624">
        <f t="shared" si="0"/>
        <v>-0.36921262164553237</v>
      </c>
      <c r="G50" s="339"/>
      <c r="H50" s="543"/>
      <c r="I50" s="543"/>
      <c r="J50" s="339"/>
      <c r="K50" s="339"/>
      <c r="L50" s="343"/>
    </row>
    <row r="51" spans="1:12" s="299" customFormat="1" ht="9" customHeight="1">
      <c r="A51" s="522" t="s">
        <v>88</v>
      </c>
      <c r="B51" s="299" t="s">
        <v>291</v>
      </c>
      <c r="C51" s="493">
        <v>453.13679999999999</v>
      </c>
      <c r="D51" s="493">
        <v>602.94960000000003</v>
      </c>
      <c r="E51" s="493">
        <v>453.13679999999999</v>
      </c>
      <c r="F51" s="625">
        <f t="shared" si="0"/>
        <v>-0.24846653849675004</v>
      </c>
      <c r="G51" s="339"/>
      <c r="H51" s="543"/>
      <c r="I51" s="543"/>
      <c r="J51" s="339"/>
      <c r="K51" s="339"/>
      <c r="L51" s="343"/>
    </row>
    <row r="52" spans="1:12" s="299" customFormat="1" ht="9" customHeight="1">
      <c r="A52" s="522"/>
      <c r="B52" s="299" t="s">
        <v>292</v>
      </c>
      <c r="C52" s="493">
        <v>142.32767999999999</v>
      </c>
      <c r="D52" s="493">
        <v>198.27840000000003</v>
      </c>
      <c r="E52" s="493">
        <v>142.32767999999999</v>
      </c>
      <c r="F52" s="625">
        <f t="shared" si="0"/>
        <v>-0.28218262806236094</v>
      </c>
      <c r="G52" s="339"/>
      <c r="H52" s="543"/>
      <c r="I52" s="543"/>
      <c r="J52" s="339"/>
      <c r="K52" s="339"/>
    </row>
    <row r="53" spans="1:12" s="299" customFormat="1" ht="9" customHeight="1">
      <c r="A53" s="523" t="s">
        <v>481</v>
      </c>
      <c r="B53" s="400"/>
      <c r="C53" s="401">
        <v>595.46447999999998</v>
      </c>
      <c r="D53" s="401">
        <v>801.22800000000007</v>
      </c>
      <c r="E53" s="401">
        <v>595.46447999999998</v>
      </c>
      <c r="F53" s="624">
        <f t="shared" si="0"/>
        <v>-0.25681019634860502</v>
      </c>
      <c r="G53" s="339"/>
      <c r="H53" s="543"/>
      <c r="I53" s="543"/>
      <c r="J53" s="339"/>
      <c r="K53" s="339"/>
    </row>
    <row r="54" spans="1:12" s="299" customFormat="1" ht="9" customHeight="1">
      <c r="A54" s="522" t="s">
        <v>231</v>
      </c>
      <c r="B54" s="299" t="s">
        <v>293</v>
      </c>
      <c r="C54" s="493">
        <v>178.86281</v>
      </c>
      <c r="D54" s="493">
        <v>459.69691999999998</v>
      </c>
      <c r="E54" s="493">
        <v>178.86281</v>
      </c>
      <c r="F54" s="625">
        <f t="shared" si="0"/>
        <v>-0.61091144574125056</v>
      </c>
      <c r="G54" s="339"/>
      <c r="H54" s="543"/>
      <c r="I54" s="543"/>
      <c r="J54" s="339"/>
      <c r="K54" s="339"/>
    </row>
    <row r="55" spans="1:12" s="299" customFormat="1" ht="9" customHeight="1">
      <c r="A55" s="522"/>
      <c r="B55" s="299" t="s">
        <v>294</v>
      </c>
      <c r="C55" s="493">
        <v>6.4579500000000003</v>
      </c>
      <c r="D55" s="493">
        <v>6.4434300000000002</v>
      </c>
      <c r="E55" s="493">
        <v>6.4579500000000003</v>
      </c>
      <c r="F55" s="625">
        <f t="shared" si="0"/>
        <v>2.2534581736746162E-3</v>
      </c>
      <c r="G55" s="339"/>
      <c r="H55" s="543"/>
      <c r="I55" s="543"/>
      <c r="J55" s="339"/>
      <c r="K55" s="339"/>
    </row>
    <row r="56" spans="1:12" s="299" customFormat="1" ht="9" customHeight="1">
      <c r="A56" s="523" t="s">
        <v>482</v>
      </c>
      <c r="B56" s="400"/>
      <c r="C56" s="401">
        <v>185.32076000000001</v>
      </c>
      <c r="D56" s="401">
        <v>466.14034999999996</v>
      </c>
      <c r="E56" s="401">
        <v>185.32076000000001</v>
      </c>
      <c r="F56" s="624">
        <f t="shared" si="0"/>
        <v>-0.60243570418222747</v>
      </c>
      <c r="G56" s="339"/>
      <c r="H56" s="543"/>
      <c r="I56" s="543"/>
      <c r="J56" s="339"/>
      <c r="K56" s="339"/>
    </row>
    <row r="57" spans="1:12" s="299" customFormat="1" ht="9" customHeight="1">
      <c r="A57" s="522" t="s">
        <v>232</v>
      </c>
      <c r="B57" s="299" t="s">
        <v>295</v>
      </c>
      <c r="C57" s="493">
        <v>47.760480000000001</v>
      </c>
      <c r="D57" s="493">
        <v>40.86</v>
      </c>
      <c r="E57" s="493">
        <v>47.760480000000001</v>
      </c>
      <c r="F57" s="625">
        <f t="shared" si="0"/>
        <v>0.16888105726872249</v>
      </c>
      <c r="G57" s="339"/>
      <c r="H57" s="543"/>
      <c r="I57" s="543"/>
      <c r="J57" s="339"/>
      <c r="K57" s="339"/>
    </row>
    <row r="58" spans="1:12" s="299" customFormat="1" ht="9" customHeight="1">
      <c r="A58" s="523" t="s">
        <v>483</v>
      </c>
      <c r="B58" s="400"/>
      <c r="C58" s="401">
        <v>47.760480000000001</v>
      </c>
      <c r="D58" s="401">
        <v>40.86</v>
      </c>
      <c r="E58" s="401">
        <v>47.760480000000001</v>
      </c>
      <c r="F58" s="624">
        <f t="shared" si="0"/>
        <v>0.16888105726872249</v>
      </c>
      <c r="G58" s="339"/>
      <c r="H58" s="543"/>
      <c r="I58" s="543"/>
      <c r="J58" s="339"/>
      <c r="K58" s="339"/>
    </row>
    <row r="59" spans="1:12" s="299" customFormat="1" ht="9" customHeight="1">
      <c r="A59" s="522" t="s">
        <v>457</v>
      </c>
      <c r="B59" s="299" t="s">
        <v>64</v>
      </c>
      <c r="C59" s="493">
        <v>0</v>
      </c>
      <c r="D59" s="493">
        <v>5.8346299999999998</v>
      </c>
      <c r="E59" s="493">
        <v>0</v>
      </c>
      <c r="F59" s="625">
        <f t="shared" si="0"/>
        <v>-1</v>
      </c>
      <c r="G59" s="339"/>
      <c r="H59" s="543"/>
      <c r="I59" s="543"/>
      <c r="J59" s="339"/>
      <c r="K59" s="339"/>
    </row>
    <row r="60" spans="1:12" s="299" customFormat="1" ht="9" customHeight="1">
      <c r="A60" s="522"/>
      <c r="B60" s="299" t="s">
        <v>63</v>
      </c>
      <c r="C60" s="493">
        <v>0</v>
      </c>
      <c r="D60" s="493">
        <v>6.2573299999999996</v>
      </c>
      <c r="E60" s="493">
        <v>0</v>
      </c>
      <c r="F60" s="625">
        <f t="shared" si="0"/>
        <v>-1</v>
      </c>
      <c r="G60" s="339"/>
      <c r="H60" s="543"/>
      <c r="I60" s="543"/>
      <c r="J60" s="339"/>
      <c r="K60" s="339"/>
    </row>
    <row r="61" spans="1:12" s="299" customFormat="1" ht="9" customHeight="1">
      <c r="A61" s="522"/>
      <c r="B61" s="299" t="s">
        <v>59</v>
      </c>
      <c r="C61" s="493">
        <v>2.4544800000000002</v>
      </c>
      <c r="D61" s="493">
        <v>20.012930000000001</v>
      </c>
      <c r="E61" s="493">
        <v>2.4544800000000002</v>
      </c>
      <c r="F61" s="625">
        <f t="shared" si="0"/>
        <v>-0.87735528980514099</v>
      </c>
      <c r="G61" s="339"/>
      <c r="H61" s="543"/>
      <c r="I61" s="543"/>
      <c r="J61" s="339"/>
      <c r="K61" s="339"/>
    </row>
    <row r="62" spans="1:12" s="299" customFormat="1" ht="9" customHeight="1">
      <c r="A62" s="522"/>
      <c r="B62" s="299" t="s">
        <v>56</v>
      </c>
      <c r="C62" s="493">
        <v>3.3036400000000001</v>
      </c>
      <c r="D62" s="493">
        <v>20.133209999999998</v>
      </c>
      <c r="E62" s="493">
        <v>3.3036400000000001</v>
      </c>
      <c r="F62" s="625">
        <f t="shared" si="0"/>
        <v>-0.83591091534832251</v>
      </c>
      <c r="G62" s="339"/>
      <c r="H62" s="544"/>
      <c r="I62" s="543"/>
      <c r="J62" s="339"/>
      <c r="K62" s="339"/>
    </row>
    <row r="63" spans="1:12" s="299" customFormat="1" ht="9" customHeight="1">
      <c r="A63" s="522"/>
      <c r="B63" s="299" t="s">
        <v>67</v>
      </c>
      <c r="C63" s="493">
        <v>3.3961000000000001</v>
      </c>
      <c r="D63" s="493">
        <v>6.4352499999999999</v>
      </c>
      <c r="E63" s="493">
        <v>3.3961000000000001</v>
      </c>
      <c r="F63" s="625">
        <f t="shared" si="0"/>
        <v>-0.47226603473058537</v>
      </c>
      <c r="G63" s="339"/>
      <c r="H63" s="544"/>
      <c r="I63" s="543"/>
      <c r="J63" s="339"/>
      <c r="K63" s="339"/>
    </row>
    <row r="64" spans="1:12" s="299" customFormat="1" ht="9" customHeight="1">
      <c r="A64" s="522"/>
      <c r="B64" s="299" t="s">
        <v>66</v>
      </c>
      <c r="C64" s="493">
        <v>3.7527499999999998</v>
      </c>
      <c r="D64" s="493">
        <v>6.89628</v>
      </c>
      <c r="E64" s="493">
        <v>3.7527499999999998</v>
      </c>
      <c r="F64" s="625">
        <f t="shared" si="0"/>
        <v>-0.45582980969450204</v>
      </c>
      <c r="G64" s="347"/>
      <c r="H64" s="544"/>
      <c r="I64" s="543"/>
      <c r="J64" s="339"/>
      <c r="K64" s="339"/>
    </row>
    <row r="65" spans="1:11" s="299" customFormat="1" ht="9" customHeight="1">
      <c r="A65" s="523" t="s">
        <v>484</v>
      </c>
      <c r="B65" s="400"/>
      <c r="C65" s="401">
        <v>12.906970000000001</v>
      </c>
      <c r="D65" s="401">
        <v>65.569630000000004</v>
      </c>
      <c r="E65" s="401">
        <v>12.906970000000001</v>
      </c>
      <c r="F65" s="624">
        <f t="shared" si="0"/>
        <v>-0.80315627829530223</v>
      </c>
      <c r="G65" s="347"/>
      <c r="H65" s="544"/>
      <c r="I65" s="543"/>
      <c r="J65" s="339"/>
      <c r="K65" s="339"/>
    </row>
    <row r="66" spans="1:11" s="299" customFormat="1" ht="9" customHeight="1">
      <c r="A66" s="522" t="s">
        <v>87</v>
      </c>
      <c r="B66" s="299" t="s">
        <v>444</v>
      </c>
      <c r="C66" s="493">
        <v>60.788999999999994</v>
      </c>
      <c r="D66" s="493">
        <v>67.875999999999991</v>
      </c>
      <c r="E66" s="493">
        <v>60.788999999999994</v>
      </c>
      <c r="F66" s="625">
        <f t="shared" si="0"/>
        <v>-0.10441098473687305</v>
      </c>
      <c r="G66" s="347"/>
      <c r="H66" s="544"/>
      <c r="I66" s="543"/>
      <c r="J66" s="339"/>
      <c r="K66" s="339"/>
    </row>
    <row r="67" spans="1:11" s="299" customFormat="1" ht="9" customHeight="1">
      <c r="A67" s="522"/>
      <c r="B67" s="299" t="s">
        <v>296</v>
      </c>
      <c r="C67" s="493">
        <v>28.138999999999999</v>
      </c>
      <c r="D67" s="493">
        <v>29.121000000000002</v>
      </c>
      <c r="E67" s="493">
        <v>28.138999999999999</v>
      </c>
      <c r="F67" s="625">
        <f t="shared" ref="F67:F77" si="1">+IF(D67=0,"",C67/D67-1)</f>
        <v>-3.3721369458466488E-2</v>
      </c>
      <c r="G67" s="347"/>
      <c r="H67" s="543"/>
      <c r="I67" s="543"/>
      <c r="J67" s="339"/>
      <c r="K67" s="339"/>
    </row>
    <row r="68" spans="1:11" s="299" customFormat="1" ht="9" customHeight="1">
      <c r="A68" s="522"/>
      <c r="B68" s="299" t="s">
        <v>297</v>
      </c>
      <c r="C68" s="493">
        <v>205.839</v>
      </c>
      <c r="D68" s="493">
        <v>172.745</v>
      </c>
      <c r="E68" s="493">
        <v>205.839</v>
      </c>
      <c r="F68" s="625">
        <f t="shared" si="1"/>
        <v>0.19157718023676518</v>
      </c>
      <c r="G68" s="347"/>
      <c r="H68" s="543"/>
      <c r="I68" s="543"/>
      <c r="J68" s="339"/>
      <c r="K68" s="339"/>
    </row>
    <row r="69" spans="1:11" s="299" customFormat="1" ht="9" customHeight="1">
      <c r="A69" s="522"/>
      <c r="B69" s="299" t="s">
        <v>298</v>
      </c>
      <c r="C69" s="493">
        <v>73.989000000000004</v>
      </c>
      <c r="D69" s="493">
        <v>65.822999999999993</v>
      </c>
      <c r="E69" s="493">
        <v>73.989000000000004</v>
      </c>
      <c r="F69" s="625">
        <f t="shared" si="1"/>
        <v>0.12405997903468413</v>
      </c>
      <c r="G69" s="339"/>
      <c r="H69" s="543"/>
      <c r="I69" s="543"/>
      <c r="J69" s="339"/>
      <c r="K69" s="339"/>
    </row>
    <row r="70" spans="1:11" s="299" customFormat="1" ht="9" customHeight="1">
      <c r="A70" s="522"/>
      <c r="B70" s="299" t="s">
        <v>299</v>
      </c>
      <c r="C70" s="493">
        <v>66.010999999999996</v>
      </c>
      <c r="D70" s="493">
        <v>60.011999999999993</v>
      </c>
      <c r="E70" s="493">
        <v>66.010999999999996</v>
      </c>
      <c r="F70" s="625">
        <f t="shared" si="1"/>
        <v>9.9963340665200295E-2</v>
      </c>
      <c r="G70" s="339"/>
      <c r="H70" s="543"/>
      <c r="I70" s="543"/>
      <c r="J70" s="339"/>
      <c r="K70" s="339"/>
    </row>
    <row r="71" spans="1:11" s="299" customFormat="1" ht="9" customHeight="1">
      <c r="A71" s="522"/>
      <c r="B71" s="299" t="s">
        <v>300</v>
      </c>
      <c r="C71" s="493">
        <v>210.892</v>
      </c>
      <c r="D71" s="493">
        <v>92.891999999999996</v>
      </c>
      <c r="E71" s="493">
        <v>210.892</v>
      </c>
      <c r="F71" s="625">
        <f t="shared" si="1"/>
        <v>1.2702923825517805</v>
      </c>
      <c r="G71" s="339"/>
      <c r="H71" s="543"/>
      <c r="I71" s="543"/>
      <c r="J71" s="339"/>
      <c r="K71" s="339"/>
    </row>
    <row r="72" spans="1:11" s="299" customFormat="1" ht="9" customHeight="1">
      <c r="A72" s="522"/>
      <c r="B72" s="299" t="s">
        <v>301</v>
      </c>
      <c r="C72" s="493">
        <v>0</v>
      </c>
      <c r="D72" s="493">
        <v>0</v>
      </c>
      <c r="E72" s="493">
        <v>0</v>
      </c>
      <c r="F72" s="625" t="str">
        <f t="shared" si="1"/>
        <v/>
      </c>
      <c r="G72" s="348"/>
      <c r="H72" s="543"/>
      <c r="I72" s="543"/>
      <c r="J72" s="339"/>
      <c r="K72" s="339"/>
    </row>
    <row r="73" spans="1:11" s="299" customFormat="1" ht="9" customHeight="1">
      <c r="A73" s="522"/>
      <c r="B73" s="299" t="s">
        <v>302</v>
      </c>
      <c r="C73" s="493">
        <v>454.35400000000004</v>
      </c>
      <c r="D73" s="493">
        <v>145.70599999999999</v>
      </c>
      <c r="E73" s="493">
        <v>454.35400000000004</v>
      </c>
      <c r="F73" s="625">
        <f t="shared" si="1"/>
        <v>2.1182930009745657</v>
      </c>
      <c r="G73" s="348"/>
      <c r="H73" s="270"/>
      <c r="I73" s="543"/>
      <c r="J73" s="339"/>
      <c r="K73" s="339"/>
    </row>
    <row r="74" spans="1:11" s="299" customFormat="1" ht="9" customHeight="1">
      <c r="A74" s="522"/>
      <c r="B74" s="299" t="s">
        <v>405</v>
      </c>
      <c r="C74" s="493">
        <v>0.33600000000000002</v>
      </c>
      <c r="D74" s="493">
        <v>0.32800000000000001</v>
      </c>
      <c r="E74" s="493">
        <v>0.33600000000000002</v>
      </c>
      <c r="F74" s="625">
        <f t="shared" si="1"/>
        <v>2.4390243902439046E-2</v>
      </c>
      <c r="G74" s="348"/>
      <c r="H74" s="270"/>
      <c r="I74" s="543"/>
      <c r="J74" s="339"/>
      <c r="K74" s="339"/>
    </row>
    <row r="75" spans="1:11" s="299" customFormat="1" ht="9" customHeight="1">
      <c r="A75" s="523" t="s">
        <v>485</v>
      </c>
      <c r="B75" s="400"/>
      <c r="C75" s="401">
        <v>1100.3489999999999</v>
      </c>
      <c r="D75" s="401">
        <v>634.50299999999993</v>
      </c>
      <c r="E75" s="401">
        <v>1100.3489999999999</v>
      </c>
      <c r="F75" s="624">
        <f t="shared" si="1"/>
        <v>0.73419038207857179</v>
      </c>
      <c r="H75" s="270"/>
      <c r="I75" s="543"/>
      <c r="J75" s="339"/>
      <c r="K75" s="339"/>
    </row>
    <row r="76" spans="1:11" s="299" customFormat="1" ht="9" customHeight="1">
      <c r="A76" s="522" t="s">
        <v>95</v>
      </c>
      <c r="B76" s="299" t="s">
        <v>303</v>
      </c>
      <c r="C76" s="493">
        <v>0</v>
      </c>
      <c r="D76" s="493">
        <v>0</v>
      </c>
      <c r="E76" s="493">
        <v>0</v>
      </c>
      <c r="F76" s="625" t="str">
        <f t="shared" si="1"/>
        <v/>
      </c>
    </row>
    <row r="77" spans="1:11" s="299" customFormat="1" ht="9" customHeight="1">
      <c r="A77" s="522"/>
      <c r="B77" s="299" t="s">
        <v>304</v>
      </c>
      <c r="C77" s="493">
        <v>90.43</v>
      </c>
      <c r="D77" s="493">
        <v>0</v>
      </c>
      <c r="E77" s="493">
        <v>90.43</v>
      </c>
      <c r="F77" s="625" t="str">
        <f t="shared" si="1"/>
        <v/>
      </c>
    </row>
    <row r="78" spans="1:11" s="299" customFormat="1" ht="9" customHeight="1">
      <c r="A78" s="522"/>
      <c r="B78" s="299" t="s">
        <v>305</v>
      </c>
      <c r="C78" s="493">
        <v>0</v>
      </c>
      <c r="D78" s="493">
        <v>90.474000000000004</v>
      </c>
      <c r="E78" s="493">
        <v>0</v>
      </c>
      <c r="F78" s="625"/>
    </row>
    <row r="79" spans="1:11" s="299" customFormat="1" ht="9" customHeight="1">
      <c r="A79" s="523" t="s">
        <v>486</v>
      </c>
      <c r="B79" s="400"/>
      <c r="C79" s="401">
        <v>90.43</v>
      </c>
      <c r="D79" s="401">
        <v>90.474000000000004</v>
      </c>
      <c r="E79" s="401">
        <v>90.43</v>
      </c>
      <c r="F79" s="624"/>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4365" right="0.33950000000000002" top="0.8997101449275362"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topLeftCell="A3" zoomScale="110" zoomScaleNormal="100" zoomScaleSheetLayoutView="110" workbookViewId="0">
      <selection activeCell="K58" sqref="K58"/>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19" t="s">
        <v>244</v>
      </c>
      <c r="B1" s="921" t="s">
        <v>53</v>
      </c>
      <c r="C1" s="921" t="s">
        <v>344</v>
      </c>
      <c r="D1" s="921"/>
      <c r="E1" s="921"/>
      <c r="F1" s="923"/>
      <c r="G1" s="337"/>
    </row>
    <row r="2" spans="1:11" s="299" customFormat="1" ht="11.25" customHeight="1">
      <c r="A2" s="913"/>
      <c r="B2" s="916"/>
      <c r="C2" s="389" t="str">
        <f>UPPER('1. Resumen'!Q4)&amp;" "&amp;'1. Resumen'!Q5</f>
        <v>DICIEMBE 2022</v>
      </c>
      <c r="D2" s="390" t="str">
        <f>UPPER('1. Resumen'!Q4)&amp;" "&amp;'1. Resumen'!Q5-1</f>
        <v>DICIEMBE 2021</v>
      </c>
      <c r="E2" s="390">
        <v>2022</v>
      </c>
      <c r="F2" s="501" t="s">
        <v>544</v>
      </c>
      <c r="G2" s="338"/>
      <c r="H2" s="337"/>
    </row>
    <row r="3" spans="1:11" s="299" customFormat="1" ht="11.25" customHeight="1">
      <c r="A3" s="913"/>
      <c r="B3" s="916"/>
      <c r="C3" s="391">
        <f>'21. ANEXOII-1'!C4</f>
        <v>44901.8125</v>
      </c>
      <c r="D3" s="391">
        <f>'21. ANEXOII-1'!D4</f>
        <v>44543.822916666664</v>
      </c>
      <c r="E3" s="391">
        <f>'21. ANEXOII-1'!E4</f>
        <v>44901.8125</v>
      </c>
      <c r="F3" s="502" t="s">
        <v>341</v>
      </c>
      <c r="G3" s="339"/>
      <c r="H3" s="337"/>
    </row>
    <row r="4" spans="1:11" s="299" customFormat="1" ht="9" customHeight="1">
      <c r="A4" s="920"/>
      <c r="B4" s="922"/>
      <c r="C4" s="392">
        <f>+'8. Max Potencia'!D9</f>
        <v>44901.8125</v>
      </c>
      <c r="D4" s="392">
        <f>+'8. Max Potencia'!E9</f>
        <v>44543.822916666664</v>
      </c>
      <c r="E4" s="392">
        <f>+'21. ANEXOII-1'!E5</f>
        <v>44901.8125</v>
      </c>
      <c r="F4" s="503" t="s">
        <v>342</v>
      </c>
      <c r="G4" s="339"/>
      <c r="H4" s="341"/>
    </row>
    <row r="5" spans="1:11" s="299" customFormat="1" ht="9.6" customHeight="1">
      <c r="A5" s="672" t="s">
        <v>97</v>
      </c>
      <c r="B5" s="535" t="s">
        <v>412</v>
      </c>
      <c r="C5" s="661">
        <v>0</v>
      </c>
      <c r="D5" s="661">
        <v>0</v>
      </c>
      <c r="E5" s="661">
        <v>0</v>
      </c>
      <c r="F5" s="662" t="str">
        <f t="shared" ref="F5:F70" si="0">+IF(D5=0,"",C5/D5-1)</f>
        <v/>
      </c>
      <c r="J5" s="411"/>
      <c r="K5" s="411"/>
    </row>
    <row r="6" spans="1:11" s="299" customFormat="1" ht="9.6" customHeight="1">
      <c r="A6" s="672"/>
      <c r="B6" s="535" t="s">
        <v>411</v>
      </c>
      <c r="C6" s="661">
        <v>116.925</v>
      </c>
      <c r="D6" s="661">
        <v>120.842</v>
      </c>
      <c r="E6" s="661">
        <v>116.925</v>
      </c>
      <c r="F6" s="662">
        <f t="shared" si="0"/>
        <v>-3.2414226841661065E-2</v>
      </c>
      <c r="J6" s="411"/>
      <c r="K6" s="411"/>
    </row>
    <row r="7" spans="1:11" s="299" customFormat="1" ht="9.6" customHeight="1">
      <c r="A7" s="673" t="s">
        <v>487</v>
      </c>
      <c r="B7" s="674"/>
      <c r="C7" s="675">
        <v>116.925</v>
      </c>
      <c r="D7" s="675">
        <v>120.842</v>
      </c>
      <c r="E7" s="675">
        <v>116.925</v>
      </c>
      <c r="F7" s="676">
        <f t="shared" si="0"/>
        <v>-3.2414226841661065E-2</v>
      </c>
      <c r="J7" s="411"/>
      <c r="K7" s="411"/>
    </row>
    <row r="8" spans="1:11" s="299" customFormat="1" ht="9.6" customHeight="1">
      <c r="A8" s="672" t="s">
        <v>96</v>
      </c>
      <c r="B8" s="535" t="s">
        <v>76</v>
      </c>
      <c r="C8" s="661">
        <v>47.037999999999997</v>
      </c>
      <c r="D8" s="661">
        <v>33.975000000000001</v>
      </c>
      <c r="E8" s="661">
        <v>47.037999999999997</v>
      </c>
      <c r="F8" s="662">
        <f t="shared" si="0"/>
        <v>0.38448859455481954</v>
      </c>
      <c r="K8" s="411"/>
    </row>
    <row r="9" spans="1:11" s="299" customFormat="1" ht="9.6" customHeight="1">
      <c r="A9" s="672"/>
      <c r="B9" s="535" t="s">
        <v>78</v>
      </c>
      <c r="C9" s="661">
        <v>3.5203000000000002</v>
      </c>
      <c r="D9" s="661">
        <v>9.4162999999999997</v>
      </c>
      <c r="E9" s="661">
        <v>3.5203000000000002</v>
      </c>
      <c r="F9" s="662">
        <f t="shared" si="0"/>
        <v>-0.62614827480008062</v>
      </c>
      <c r="K9" s="411"/>
    </row>
    <row r="10" spans="1:11" s="299" customFormat="1" ht="9.6" customHeight="1">
      <c r="A10" s="673" t="s">
        <v>488</v>
      </c>
      <c r="B10" s="674"/>
      <c r="C10" s="675">
        <v>50.558299999999996</v>
      </c>
      <c r="D10" s="675">
        <v>43.391300000000001</v>
      </c>
      <c r="E10" s="675">
        <v>50.558299999999996</v>
      </c>
      <c r="F10" s="676">
        <f t="shared" si="0"/>
        <v>0.165171359235607</v>
      </c>
      <c r="K10" s="411"/>
    </row>
    <row r="11" spans="1:11" s="299" customFormat="1" ht="9.6" customHeight="1">
      <c r="A11" s="672" t="s">
        <v>86</v>
      </c>
      <c r="B11" s="535" t="s">
        <v>306</v>
      </c>
      <c r="C11" s="661">
        <v>28.03444</v>
      </c>
      <c r="D11" s="661">
        <v>35.071950000000001</v>
      </c>
      <c r="E11" s="661">
        <v>28.03444</v>
      </c>
      <c r="F11" s="662">
        <f t="shared" si="0"/>
        <v>-0.20065921626827143</v>
      </c>
      <c r="J11" s="411"/>
      <c r="K11" s="411"/>
    </row>
    <row r="12" spans="1:11" s="299" customFormat="1" ht="9.6" customHeight="1">
      <c r="A12" s="672"/>
      <c r="B12" s="535" t="s">
        <v>307</v>
      </c>
      <c r="C12" s="661">
        <v>27.48414</v>
      </c>
      <c r="D12" s="661">
        <v>110.53308000000001</v>
      </c>
      <c r="E12" s="661">
        <v>27.48414</v>
      </c>
      <c r="F12" s="662">
        <f t="shared" si="0"/>
        <v>-0.75134918885821333</v>
      </c>
      <c r="J12" s="411"/>
      <c r="K12" s="411"/>
    </row>
    <row r="13" spans="1:11" s="299" customFormat="1" ht="9.6" customHeight="1">
      <c r="A13" s="672"/>
      <c r="B13" s="535" t="s">
        <v>308</v>
      </c>
      <c r="C13" s="661">
        <v>787.29093999999998</v>
      </c>
      <c r="D13" s="661">
        <v>781.72061000000008</v>
      </c>
      <c r="E13" s="661">
        <v>787.29093999999998</v>
      </c>
      <c r="F13" s="662">
        <f t="shared" si="0"/>
        <v>7.1257299970637344E-3</v>
      </c>
      <c r="J13" s="411"/>
      <c r="K13" s="411"/>
    </row>
    <row r="14" spans="1:11" s="299" customFormat="1" ht="9.6" customHeight="1">
      <c r="A14" s="672"/>
      <c r="B14" s="535" t="s">
        <v>309</v>
      </c>
      <c r="C14" s="661">
        <v>104.55445</v>
      </c>
      <c r="D14" s="661">
        <v>101.93995000000001</v>
      </c>
      <c r="E14" s="661">
        <v>104.55445</v>
      </c>
      <c r="F14" s="662">
        <f t="shared" si="0"/>
        <v>2.5647452250074698E-2</v>
      </c>
      <c r="J14" s="411"/>
      <c r="K14" s="411"/>
    </row>
    <row r="15" spans="1:11" s="299" customFormat="1" ht="9.6" customHeight="1">
      <c r="A15" s="672"/>
      <c r="B15" s="535" t="s">
        <v>762</v>
      </c>
      <c r="C15" s="661">
        <v>59.187829999999998</v>
      </c>
      <c r="D15" s="661">
        <v>129.80266</v>
      </c>
      <c r="E15" s="661">
        <v>59.187829999999998</v>
      </c>
      <c r="F15" s="662">
        <f t="shared" si="0"/>
        <v>-0.54401681752900899</v>
      </c>
      <c r="J15" s="411"/>
      <c r="K15" s="411"/>
    </row>
    <row r="16" spans="1:11" s="299" customFormat="1" ht="9.6" customHeight="1">
      <c r="A16" s="672"/>
      <c r="B16" s="535" t="s">
        <v>310</v>
      </c>
      <c r="C16" s="661">
        <v>576.97881999999993</v>
      </c>
      <c r="D16" s="661">
        <v>193.20819</v>
      </c>
      <c r="E16" s="661">
        <v>576.97881999999993</v>
      </c>
      <c r="F16" s="662">
        <f t="shared" si="0"/>
        <v>1.9863062223190431</v>
      </c>
      <c r="J16" s="411"/>
      <c r="K16" s="411"/>
    </row>
    <row r="17" spans="1:11" s="299" customFormat="1" ht="9.6" customHeight="1">
      <c r="A17" s="672"/>
      <c r="B17" s="535" t="s">
        <v>311</v>
      </c>
      <c r="C17" s="661">
        <v>0</v>
      </c>
      <c r="D17" s="661">
        <v>0</v>
      </c>
      <c r="E17" s="661">
        <v>0</v>
      </c>
      <c r="F17" s="662" t="str">
        <f t="shared" si="0"/>
        <v/>
      </c>
      <c r="J17" s="411"/>
      <c r="K17" s="411"/>
    </row>
    <row r="18" spans="1:11" s="299" customFormat="1" ht="9.6" customHeight="1">
      <c r="A18" s="672"/>
      <c r="B18" s="535" t="s">
        <v>413</v>
      </c>
      <c r="C18" s="661">
        <v>0</v>
      </c>
      <c r="D18" s="661">
        <v>0</v>
      </c>
      <c r="E18" s="661">
        <v>0</v>
      </c>
      <c r="F18" s="662" t="str">
        <f t="shared" si="0"/>
        <v/>
      </c>
      <c r="J18" s="411"/>
      <c r="K18" s="411"/>
    </row>
    <row r="19" spans="1:11" s="299" customFormat="1" ht="9.6" customHeight="1">
      <c r="A19" s="672"/>
      <c r="B19" s="535" t="s">
        <v>634</v>
      </c>
      <c r="C19" s="661">
        <v>0</v>
      </c>
      <c r="D19" s="661"/>
      <c r="E19" s="661">
        <v>0</v>
      </c>
      <c r="F19" s="662"/>
      <c r="J19" s="411"/>
      <c r="K19" s="411"/>
    </row>
    <row r="20" spans="1:11" s="299" customFormat="1" ht="9.6" customHeight="1">
      <c r="A20" s="673" t="s">
        <v>489</v>
      </c>
      <c r="B20" s="674"/>
      <c r="C20" s="675">
        <v>1583.53062</v>
      </c>
      <c r="D20" s="675">
        <v>1352.2764400000001</v>
      </c>
      <c r="E20" s="675">
        <v>1583.53062</v>
      </c>
      <c r="F20" s="676">
        <f t="shared" si="0"/>
        <v>0.17101102493510867</v>
      </c>
      <c r="J20" s="411"/>
      <c r="K20" s="411"/>
    </row>
    <row r="21" spans="1:11" s="299" customFormat="1" ht="9.6" customHeight="1">
      <c r="A21" s="672" t="s">
        <v>233</v>
      </c>
      <c r="B21" s="535" t="s">
        <v>312</v>
      </c>
      <c r="C21" s="661">
        <v>564.15017</v>
      </c>
      <c r="D21" s="661">
        <v>565.02558999999997</v>
      </c>
      <c r="E21" s="661">
        <v>564.15017</v>
      </c>
      <c r="F21" s="662"/>
      <c r="J21" s="411"/>
      <c r="K21" s="411"/>
    </row>
    <row r="22" spans="1:11" s="299" customFormat="1" ht="9.6" customHeight="1">
      <c r="A22" s="673" t="s">
        <v>490</v>
      </c>
      <c r="B22" s="674"/>
      <c r="C22" s="675">
        <v>564.15017</v>
      </c>
      <c r="D22" s="675">
        <v>565.02558999999997</v>
      </c>
      <c r="E22" s="675">
        <v>564.15017</v>
      </c>
      <c r="F22" s="676"/>
      <c r="J22" s="411"/>
      <c r="K22" s="411"/>
    </row>
    <row r="23" spans="1:11" s="299" customFormat="1" ht="9.6" customHeight="1">
      <c r="A23" s="672" t="s">
        <v>438</v>
      </c>
      <c r="B23" s="535" t="s">
        <v>442</v>
      </c>
      <c r="C23" s="661">
        <v>5.3825700000000003</v>
      </c>
      <c r="D23" s="661">
        <v>7.7673100000000002</v>
      </c>
      <c r="E23" s="661">
        <v>5.3825700000000003</v>
      </c>
      <c r="F23" s="662"/>
      <c r="J23" s="411"/>
      <c r="K23" s="411"/>
    </row>
    <row r="24" spans="1:11" s="299" customFormat="1" ht="9.6" customHeight="1">
      <c r="A24" s="672"/>
      <c r="B24" s="535" t="s">
        <v>439</v>
      </c>
      <c r="C24" s="661">
        <v>2.1493500000000001</v>
      </c>
      <c r="D24" s="661">
        <v>2.8917600000000001</v>
      </c>
      <c r="E24" s="661">
        <v>2.1493500000000001</v>
      </c>
      <c r="F24" s="662">
        <f t="shared" si="0"/>
        <v>-0.25673292389409907</v>
      </c>
      <c r="J24" s="411"/>
      <c r="K24" s="411"/>
    </row>
    <row r="25" spans="1:11" s="299" customFormat="1" ht="9.6" customHeight="1">
      <c r="A25" s="673" t="s">
        <v>491</v>
      </c>
      <c r="B25" s="674"/>
      <c r="C25" s="675">
        <v>7.5319200000000004</v>
      </c>
      <c r="D25" s="675">
        <v>10.65907</v>
      </c>
      <c r="E25" s="675">
        <v>7.5319200000000004</v>
      </c>
      <c r="F25" s="676">
        <f t="shared" si="0"/>
        <v>-0.29337925353712846</v>
      </c>
      <c r="J25" s="411"/>
      <c r="K25" s="411"/>
    </row>
    <row r="26" spans="1:11" s="299" customFormat="1" ht="9.6" customHeight="1">
      <c r="A26" s="672" t="s">
        <v>107</v>
      </c>
      <c r="B26" s="535" t="s">
        <v>65</v>
      </c>
      <c r="C26" s="661">
        <v>6.3560600000000003</v>
      </c>
      <c r="D26" s="661">
        <v>7.4688099999999995</v>
      </c>
      <c r="E26" s="661">
        <v>6.3560600000000003</v>
      </c>
      <c r="F26" s="662">
        <f t="shared" si="0"/>
        <v>-0.14898625082175065</v>
      </c>
      <c r="J26" s="411"/>
      <c r="K26" s="411"/>
    </row>
    <row r="27" spans="1:11" s="299" customFormat="1" ht="9.6" customHeight="1">
      <c r="A27" s="672"/>
      <c r="B27" s="535" t="s">
        <v>404</v>
      </c>
      <c r="C27" s="661">
        <v>4.4863999999999997</v>
      </c>
      <c r="D27" s="661">
        <v>4.3692799999999998</v>
      </c>
      <c r="E27" s="661">
        <v>4.4863999999999997</v>
      </c>
      <c r="F27" s="662">
        <f t="shared" si="0"/>
        <v>2.6805331770909602E-2</v>
      </c>
      <c r="J27" s="411"/>
      <c r="K27" s="411"/>
    </row>
    <row r="28" spans="1:11" s="299" customFormat="1" ht="9.6" customHeight="1">
      <c r="A28" s="672"/>
      <c r="B28" s="535" t="s">
        <v>402</v>
      </c>
      <c r="C28" s="661">
        <v>6.0018700000000003</v>
      </c>
      <c r="D28" s="661">
        <v>5.7966199999999999</v>
      </c>
      <c r="E28" s="661">
        <v>6.0018700000000003</v>
      </c>
      <c r="F28" s="662">
        <f t="shared" si="0"/>
        <v>3.5408565681379844E-2</v>
      </c>
      <c r="J28" s="411"/>
      <c r="K28" s="411"/>
    </row>
    <row r="29" spans="1:11" s="299" customFormat="1" ht="9.6" customHeight="1">
      <c r="A29" s="672"/>
      <c r="B29" s="535" t="s">
        <v>403</v>
      </c>
      <c r="C29" s="661">
        <v>5.9374099999999999</v>
      </c>
      <c r="D29" s="661">
        <v>5.7429100000000002</v>
      </c>
      <c r="E29" s="661">
        <v>5.9374099999999999</v>
      </c>
      <c r="F29" s="662">
        <f t="shared" si="0"/>
        <v>3.3867847484985836E-2</v>
      </c>
      <c r="J29" s="411"/>
      <c r="K29" s="411"/>
    </row>
    <row r="30" spans="1:11" s="299" customFormat="1" ht="9.6" customHeight="1">
      <c r="A30" s="673" t="s">
        <v>492</v>
      </c>
      <c r="B30" s="674"/>
      <c r="C30" s="675">
        <v>22.781739999999999</v>
      </c>
      <c r="D30" s="675">
        <v>23.37762</v>
      </c>
      <c r="E30" s="675">
        <v>22.781739999999999</v>
      </c>
      <c r="F30" s="676">
        <f t="shared" si="0"/>
        <v>-2.548933552688426E-2</v>
      </c>
      <c r="J30" s="411"/>
      <c r="K30" s="411"/>
    </row>
    <row r="31" spans="1:11" s="299" customFormat="1" ht="9.6" customHeight="1">
      <c r="A31" s="672" t="s">
        <v>454</v>
      </c>
      <c r="B31" s="535" t="s">
        <v>462</v>
      </c>
      <c r="C31" s="661">
        <v>3.3434300000000001</v>
      </c>
      <c r="D31" s="661">
        <v>3.2993100000000002</v>
      </c>
      <c r="E31" s="661">
        <v>3.3434300000000001</v>
      </c>
      <c r="F31" s="662">
        <f t="shared" si="0"/>
        <v>1.3372493036422739E-2</v>
      </c>
      <c r="J31" s="411"/>
      <c r="K31" s="411"/>
    </row>
    <row r="32" spans="1:11" s="299" customFormat="1" ht="9.6" customHeight="1">
      <c r="A32" s="673" t="s">
        <v>493</v>
      </c>
      <c r="B32" s="674"/>
      <c r="C32" s="675">
        <v>3.3434300000000001</v>
      </c>
      <c r="D32" s="675">
        <v>3.2993100000000002</v>
      </c>
      <c r="E32" s="675">
        <v>3.3434300000000001</v>
      </c>
      <c r="F32" s="676">
        <f t="shared" si="0"/>
        <v>1.3372493036422739E-2</v>
      </c>
      <c r="J32" s="411"/>
      <c r="K32" s="411"/>
    </row>
    <row r="33" spans="1:11" s="299" customFormat="1" ht="9.6" customHeight="1">
      <c r="A33" s="672" t="s">
        <v>455</v>
      </c>
      <c r="B33" s="535" t="s">
        <v>463</v>
      </c>
      <c r="C33" s="661">
        <v>2.1560199999999998</v>
      </c>
      <c r="D33" s="661">
        <v>2.7781199999999999</v>
      </c>
      <c r="E33" s="661">
        <v>2.1560199999999998</v>
      </c>
      <c r="F33" s="662">
        <f t="shared" si="0"/>
        <v>-0.2239284120196392</v>
      </c>
      <c r="J33" s="411"/>
      <c r="K33" s="411"/>
    </row>
    <row r="34" spans="1:11" s="299" customFormat="1" ht="9.6" customHeight="1">
      <c r="A34" s="673" t="s">
        <v>494</v>
      </c>
      <c r="B34" s="674"/>
      <c r="C34" s="675">
        <v>2.1560199999999998</v>
      </c>
      <c r="D34" s="675">
        <v>2.7781199999999999</v>
      </c>
      <c r="E34" s="675">
        <v>2.1560199999999998</v>
      </c>
      <c r="F34" s="676">
        <f t="shared" si="0"/>
        <v>-0.2239284120196392</v>
      </c>
      <c r="J34" s="411"/>
      <c r="K34" s="411"/>
    </row>
    <row r="35" spans="1:11" s="299" customFormat="1" ht="9.6" customHeight="1">
      <c r="A35" s="672" t="s">
        <v>113</v>
      </c>
      <c r="B35" s="535" t="s">
        <v>73</v>
      </c>
      <c r="C35" s="661">
        <v>1.6</v>
      </c>
      <c r="D35" s="661">
        <v>3.2</v>
      </c>
      <c r="E35" s="661">
        <v>1.6</v>
      </c>
      <c r="F35" s="662">
        <f t="shared" si="0"/>
        <v>-0.5</v>
      </c>
      <c r="J35" s="411"/>
      <c r="K35" s="411"/>
    </row>
    <row r="36" spans="1:11" s="299" customFormat="1" ht="9.6" customHeight="1">
      <c r="A36" s="673" t="s">
        <v>495</v>
      </c>
      <c r="B36" s="674"/>
      <c r="C36" s="675">
        <v>1.6</v>
      </c>
      <c r="D36" s="675">
        <v>3.2</v>
      </c>
      <c r="E36" s="675">
        <v>1.6</v>
      </c>
      <c r="F36" s="676">
        <f t="shared" si="0"/>
        <v>-0.5</v>
      </c>
      <c r="J36" s="411"/>
      <c r="K36" s="411"/>
    </row>
    <row r="37" spans="1:11" s="299" customFormat="1" ht="9.6" customHeight="1">
      <c r="A37" s="672" t="s">
        <v>102</v>
      </c>
      <c r="B37" s="535" t="s">
        <v>313</v>
      </c>
      <c r="C37" s="661">
        <v>13.07714</v>
      </c>
      <c r="D37" s="661">
        <v>12.751570000000001</v>
      </c>
      <c r="E37" s="661">
        <v>13.07714</v>
      </c>
      <c r="F37" s="662">
        <f t="shared" si="0"/>
        <v>2.5531758050185038E-2</v>
      </c>
      <c r="J37" s="411"/>
      <c r="K37" s="411"/>
    </row>
    <row r="38" spans="1:11" s="299" customFormat="1" ht="9.6" customHeight="1">
      <c r="A38" s="673" t="s">
        <v>496</v>
      </c>
      <c r="B38" s="674"/>
      <c r="C38" s="675">
        <v>13.07714</v>
      </c>
      <c r="D38" s="675">
        <v>12.751570000000001</v>
      </c>
      <c r="E38" s="675">
        <v>13.07714</v>
      </c>
      <c r="F38" s="676">
        <f t="shared" si="0"/>
        <v>2.5531758050185038E-2</v>
      </c>
      <c r="J38" s="411"/>
      <c r="K38" s="411"/>
    </row>
    <row r="39" spans="1:11" s="535" customFormat="1" ht="18" customHeight="1">
      <c r="A39" s="672" t="s">
        <v>234</v>
      </c>
      <c r="B39" s="535" t="s">
        <v>58</v>
      </c>
      <c r="C39" s="661">
        <v>13.591619999999999</v>
      </c>
      <c r="D39" s="661">
        <v>15.853999999999999</v>
      </c>
      <c r="E39" s="661">
        <v>13.591619999999999</v>
      </c>
      <c r="F39" s="662">
        <f t="shared" si="0"/>
        <v>-0.14270089567301625</v>
      </c>
      <c r="J39" s="663"/>
      <c r="K39" s="663"/>
    </row>
    <row r="40" spans="1:11" s="299" customFormat="1" ht="9.6" customHeight="1">
      <c r="A40" s="673" t="s">
        <v>497</v>
      </c>
      <c r="B40" s="674"/>
      <c r="C40" s="675">
        <v>13.591619999999999</v>
      </c>
      <c r="D40" s="675">
        <v>15.853999999999999</v>
      </c>
      <c r="E40" s="675">
        <v>13.591619999999999</v>
      </c>
      <c r="F40" s="676">
        <f t="shared" si="0"/>
        <v>-0.14270089567301625</v>
      </c>
      <c r="J40" s="411"/>
      <c r="K40" s="411"/>
    </row>
    <row r="41" spans="1:11" s="299" customFormat="1" ht="9.6" customHeight="1">
      <c r="A41" s="672" t="s">
        <v>401</v>
      </c>
      <c r="B41" s="535" t="s">
        <v>579</v>
      </c>
      <c r="C41" s="661"/>
      <c r="D41" s="661"/>
      <c r="E41" s="661"/>
      <c r="F41" s="662" t="str">
        <f t="shared" si="0"/>
        <v/>
      </c>
      <c r="J41" s="411"/>
      <c r="K41" s="411"/>
    </row>
    <row r="42" spans="1:11" s="299" customFormat="1" ht="9.6" customHeight="1">
      <c r="A42" s="673" t="s">
        <v>498</v>
      </c>
      <c r="B42" s="674"/>
      <c r="C42" s="675"/>
      <c r="D42" s="675"/>
      <c r="E42" s="675"/>
      <c r="F42" s="676" t="str">
        <f t="shared" si="0"/>
        <v/>
      </c>
      <c r="J42" s="411"/>
      <c r="K42" s="411"/>
    </row>
    <row r="43" spans="1:11" s="299" customFormat="1" ht="9.6" customHeight="1">
      <c r="A43" s="672" t="s">
        <v>415</v>
      </c>
      <c r="B43" s="535" t="s">
        <v>419</v>
      </c>
      <c r="C43" s="661">
        <v>56.74933</v>
      </c>
      <c r="D43" s="661">
        <v>64.792670000000001</v>
      </c>
      <c r="E43" s="661">
        <v>56.74933</v>
      </c>
      <c r="F43" s="662">
        <f t="shared" si="0"/>
        <v>-0.124139659625078</v>
      </c>
      <c r="J43" s="411"/>
      <c r="K43" s="411"/>
    </row>
    <row r="44" spans="1:11" s="299" customFormat="1" ht="9.6" customHeight="1">
      <c r="A44" s="673" t="s">
        <v>499</v>
      </c>
      <c r="B44" s="674"/>
      <c r="C44" s="675">
        <v>56.74933</v>
      </c>
      <c r="D44" s="675">
        <v>64.792670000000001</v>
      </c>
      <c r="E44" s="675">
        <v>56.74933</v>
      </c>
      <c r="F44" s="676">
        <f t="shared" si="0"/>
        <v>-0.124139659625078</v>
      </c>
      <c r="J44" s="411"/>
      <c r="K44" s="411"/>
    </row>
    <row r="45" spans="1:11" s="299" customFormat="1" ht="19.95" customHeight="1">
      <c r="A45" s="660" t="s">
        <v>446</v>
      </c>
      <c r="B45" s="535" t="s">
        <v>450</v>
      </c>
      <c r="C45" s="661">
        <v>2.9914100000000001</v>
      </c>
      <c r="D45" s="661">
        <v>0</v>
      </c>
      <c r="E45" s="661">
        <v>2.9914100000000001</v>
      </c>
      <c r="F45" s="662" t="str">
        <f t="shared" si="0"/>
        <v/>
      </c>
      <c r="J45" s="411"/>
      <c r="K45" s="411"/>
    </row>
    <row r="46" spans="1:11" s="299" customFormat="1" ht="11.4" customHeight="1">
      <c r="A46" s="673" t="s">
        <v>500</v>
      </c>
      <c r="B46" s="674"/>
      <c r="C46" s="675">
        <v>2.9914100000000001</v>
      </c>
      <c r="D46" s="675">
        <v>0</v>
      </c>
      <c r="E46" s="675">
        <v>2.9914100000000001</v>
      </c>
      <c r="F46" s="676" t="str">
        <f t="shared" si="0"/>
        <v/>
      </c>
      <c r="J46" s="411"/>
      <c r="K46" s="411"/>
    </row>
    <row r="47" spans="1:11" s="299" customFormat="1" ht="11.4" customHeight="1">
      <c r="A47" s="672" t="s">
        <v>115</v>
      </c>
      <c r="B47" s="535" t="s">
        <v>315</v>
      </c>
      <c r="C47" s="661">
        <v>0</v>
      </c>
      <c r="D47" s="661">
        <v>0</v>
      </c>
      <c r="E47" s="661">
        <v>0</v>
      </c>
      <c r="F47" s="662" t="str">
        <f t="shared" si="0"/>
        <v/>
      </c>
      <c r="J47" s="411"/>
      <c r="K47" s="411"/>
    </row>
    <row r="48" spans="1:11" s="299" customFormat="1" ht="11.4" customHeight="1">
      <c r="A48" s="672"/>
      <c r="B48" s="535" t="s">
        <v>316</v>
      </c>
      <c r="C48" s="661">
        <v>0</v>
      </c>
      <c r="D48" s="661">
        <v>0</v>
      </c>
      <c r="E48" s="661">
        <v>0</v>
      </c>
      <c r="F48" s="662" t="str">
        <f t="shared" si="0"/>
        <v/>
      </c>
      <c r="J48" s="411"/>
      <c r="K48" s="411"/>
    </row>
    <row r="49" spans="1:11" s="299" customFormat="1" ht="11.4" customHeight="1">
      <c r="A49" s="673" t="s">
        <v>501</v>
      </c>
      <c r="B49" s="674"/>
      <c r="C49" s="675">
        <v>0</v>
      </c>
      <c r="D49" s="675">
        <v>0</v>
      </c>
      <c r="E49" s="675">
        <v>0</v>
      </c>
      <c r="F49" s="676" t="str">
        <f t="shared" si="0"/>
        <v/>
      </c>
      <c r="J49" s="411"/>
      <c r="K49" s="411"/>
    </row>
    <row r="50" spans="1:11" s="299" customFormat="1" ht="11.4" customHeight="1">
      <c r="A50" s="672" t="s">
        <v>399</v>
      </c>
      <c r="B50" s="535" t="s">
        <v>317</v>
      </c>
      <c r="C50" s="661">
        <v>876.25539000000003</v>
      </c>
      <c r="D50" s="661">
        <v>881.13006000000007</v>
      </c>
      <c r="E50" s="661">
        <v>876.25539000000003</v>
      </c>
      <c r="F50" s="662">
        <f t="shared" si="0"/>
        <v>-5.5322933824321074E-3</v>
      </c>
      <c r="J50" s="411"/>
      <c r="K50" s="411"/>
    </row>
    <row r="51" spans="1:11" s="299" customFormat="1" ht="11.4" customHeight="1">
      <c r="A51" s="672"/>
      <c r="B51" s="535" t="s">
        <v>580</v>
      </c>
      <c r="C51" s="661">
        <v>318.72757000000001</v>
      </c>
      <c r="D51" s="661">
        <v>319.62990000000002</v>
      </c>
      <c r="E51" s="661">
        <v>318.72757000000001</v>
      </c>
      <c r="F51" s="662">
        <f t="shared" si="0"/>
        <v>-2.8230462794626154E-3</v>
      </c>
      <c r="J51" s="411"/>
      <c r="K51" s="411"/>
    </row>
    <row r="52" spans="1:11" s="299" customFormat="1" ht="11.4" customHeight="1">
      <c r="A52" s="672"/>
      <c r="B52" s="535" t="s">
        <v>417</v>
      </c>
      <c r="C52" s="661">
        <v>179.68701999999999</v>
      </c>
      <c r="D52" s="661">
        <v>217.8049</v>
      </c>
      <c r="E52" s="661">
        <v>179.68701999999999</v>
      </c>
      <c r="F52" s="662">
        <f t="shared" si="0"/>
        <v>-0.17500928583333075</v>
      </c>
      <c r="J52" s="411"/>
      <c r="K52" s="411"/>
    </row>
    <row r="53" spans="1:11" s="299" customFormat="1" ht="11.4" customHeight="1">
      <c r="A53" s="672"/>
      <c r="B53" s="535" t="s">
        <v>318</v>
      </c>
      <c r="C53" s="661">
        <v>9.1167400000000001</v>
      </c>
      <c r="D53" s="661">
        <v>5.1500599999999999</v>
      </c>
      <c r="E53" s="661">
        <v>9.1167400000000001</v>
      </c>
      <c r="F53" s="662">
        <f t="shared" si="0"/>
        <v>0.77022015277491929</v>
      </c>
      <c r="J53" s="411"/>
      <c r="K53" s="411"/>
    </row>
    <row r="54" spans="1:11" s="299" customFormat="1" ht="11.4" customHeight="1">
      <c r="A54" s="673" t="s">
        <v>502</v>
      </c>
      <c r="B54" s="674"/>
      <c r="C54" s="675">
        <v>1383.7867200000001</v>
      </c>
      <c r="D54" s="675">
        <v>1423.7149200000001</v>
      </c>
      <c r="E54" s="675">
        <v>1383.7867200000001</v>
      </c>
      <c r="F54" s="676">
        <f t="shared" si="0"/>
        <v>-2.8045080822781565E-2</v>
      </c>
      <c r="J54" s="411"/>
      <c r="K54" s="411"/>
    </row>
    <row r="55" spans="1:11" s="299" customFormat="1" ht="11.4" customHeight="1">
      <c r="A55" s="672" t="s">
        <v>464</v>
      </c>
      <c r="B55" s="535" t="s">
        <v>548</v>
      </c>
      <c r="C55" s="661">
        <v>13.50037</v>
      </c>
      <c r="D55" s="661">
        <v>18.012340000000002</v>
      </c>
      <c r="E55" s="661">
        <v>13.50037</v>
      </c>
      <c r="F55" s="662">
        <f t="shared" si="0"/>
        <v>-0.25049327294510326</v>
      </c>
      <c r="J55" s="411"/>
      <c r="K55" s="411"/>
    </row>
    <row r="56" spans="1:11" s="299" customFormat="1" ht="11.4" customHeight="1">
      <c r="A56" s="673" t="s">
        <v>503</v>
      </c>
      <c r="B56" s="674"/>
      <c r="C56" s="675">
        <v>13.50037</v>
      </c>
      <c r="D56" s="675">
        <v>18.012340000000002</v>
      </c>
      <c r="E56" s="675">
        <v>13.50037</v>
      </c>
      <c r="F56" s="676">
        <f t="shared" si="0"/>
        <v>-0.25049327294510326</v>
      </c>
      <c r="J56" s="411"/>
      <c r="K56" s="411"/>
    </row>
    <row r="57" spans="1:11" s="299" customFormat="1" ht="11.4" customHeight="1">
      <c r="A57" s="672" t="s">
        <v>114</v>
      </c>
      <c r="B57" s="535" t="s">
        <v>71</v>
      </c>
      <c r="C57" s="661">
        <v>1.3240000000000001</v>
      </c>
      <c r="D57" s="661">
        <v>1.252</v>
      </c>
      <c r="E57" s="661">
        <v>1.3240000000000001</v>
      </c>
      <c r="F57" s="662">
        <f t="shared" si="0"/>
        <v>5.7507987220447365E-2</v>
      </c>
      <c r="J57" s="411"/>
      <c r="K57" s="411"/>
    </row>
    <row r="58" spans="1:11" s="299" customFormat="1" ht="11.4" customHeight="1">
      <c r="A58" s="673" t="s">
        <v>504</v>
      </c>
      <c r="B58" s="674"/>
      <c r="C58" s="675">
        <v>1.3240000000000001</v>
      </c>
      <c r="D58" s="675">
        <v>1.252</v>
      </c>
      <c r="E58" s="675">
        <v>1.3240000000000001</v>
      </c>
      <c r="F58" s="676">
        <f t="shared" si="0"/>
        <v>5.7507987220447365E-2</v>
      </c>
      <c r="J58" s="411"/>
      <c r="K58" s="411"/>
    </row>
    <row r="59" spans="1:11" s="299" customFormat="1" ht="11.4" customHeight="1">
      <c r="A59" s="672" t="s">
        <v>452</v>
      </c>
      <c r="B59" s="535" t="s">
        <v>227</v>
      </c>
      <c r="C59" s="661">
        <v>0</v>
      </c>
      <c r="D59" s="661">
        <v>0</v>
      </c>
      <c r="E59" s="661">
        <v>0</v>
      </c>
      <c r="F59" s="662" t="str">
        <f t="shared" si="0"/>
        <v/>
      </c>
      <c r="J59" s="411"/>
      <c r="K59" s="411"/>
    </row>
    <row r="60" spans="1:11" s="299" customFormat="1" ht="11.4" customHeight="1">
      <c r="A60" s="673" t="s">
        <v>505</v>
      </c>
      <c r="B60" s="674"/>
      <c r="C60" s="675">
        <v>0</v>
      </c>
      <c r="D60" s="675">
        <v>0</v>
      </c>
      <c r="E60" s="675">
        <v>0</v>
      </c>
      <c r="F60" s="676" t="str">
        <f t="shared" si="0"/>
        <v/>
      </c>
      <c r="J60" s="411"/>
      <c r="K60" s="411"/>
    </row>
    <row r="61" spans="1:11" s="299" customFormat="1" ht="11.4" customHeight="1">
      <c r="A61" s="672" t="s">
        <v>109</v>
      </c>
      <c r="B61" s="535" t="s">
        <v>80</v>
      </c>
      <c r="C61" s="661">
        <v>0</v>
      </c>
      <c r="D61" s="661">
        <v>0</v>
      </c>
      <c r="E61" s="661">
        <v>0</v>
      </c>
      <c r="F61" s="662" t="str">
        <f t="shared" si="0"/>
        <v/>
      </c>
      <c r="J61" s="411"/>
      <c r="K61" s="411"/>
    </row>
    <row r="62" spans="1:11" s="299" customFormat="1" ht="11.4" customHeight="1">
      <c r="A62" s="673" t="s">
        <v>506</v>
      </c>
      <c r="B62" s="674"/>
      <c r="C62" s="675">
        <v>0</v>
      </c>
      <c r="D62" s="675">
        <v>0</v>
      </c>
      <c r="E62" s="675">
        <v>0</v>
      </c>
      <c r="F62" s="676" t="str">
        <f t="shared" si="0"/>
        <v/>
      </c>
      <c r="J62" s="411"/>
      <c r="K62" s="411"/>
    </row>
    <row r="63" spans="1:11" s="299" customFormat="1" ht="11.4" customHeight="1">
      <c r="A63" s="672" t="s">
        <v>235</v>
      </c>
      <c r="B63" s="535" t="s">
        <v>70</v>
      </c>
      <c r="C63" s="661">
        <v>0</v>
      </c>
      <c r="D63" s="661">
        <v>0.93928</v>
      </c>
      <c r="E63" s="661">
        <v>0</v>
      </c>
      <c r="F63" s="662">
        <f t="shared" si="0"/>
        <v>-1</v>
      </c>
      <c r="J63" s="411"/>
      <c r="K63" s="411"/>
    </row>
    <row r="64" spans="1:11" s="299" customFormat="1" ht="11.4" customHeight="1">
      <c r="A64" s="672"/>
      <c r="B64" s="535" t="s">
        <v>319</v>
      </c>
      <c r="C64" s="661">
        <v>245.05642999999998</v>
      </c>
      <c r="D64" s="661">
        <v>200.20573000000002</v>
      </c>
      <c r="E64" s="661">
        <v>245.05642999999998</v>
      </c>
      <c r="F64" s="662">
        <f t="shared" si="0"/>
        <v>0.22402305868068795</v>
      </c>
      <c r="J64" s="411"/>
      <c r="K64" s="411"/>
    </row>
    <row r="65" spans="1:11" s="299" customFormat="1" ht="11.4" customHeight="1">
      <c r="A65" s="672"/>
      <c r="B65" s="535" t="s">
        <v>320</v>
      </c>
      <c r="C65" s="661">
        <v>6.5500000000000003E-3</v>
      </c>
      <c r="D65" s="661">
        <v>70.056250000000006</v>
      </c>
      <c r="E65" s="661">
        <v>6.5500000000000003E-3</v>
      </c>
      <c r="F65" s="662">
        <f t="shared" si="0"/>
        <v>-0.99990650370238199</v>
      </c>
      <c r="J65" s="411"/>
      <c r="K65" s="411"/>
    </row>
    <row r="66" spans="1:11" s="299" customFormat="1" ht="11.4" customHeight="1">
      <c r="A66" s="672"/>
      <c r="B66" s="535" t="s">
        <v>61</v>
      </c>
      <c r="C66" s="661">
        <v>0</v>
      </c>
      <c r="D66" s="661">
        <v>9.9174199999999999</v>
      </c>
      <c r="E66" s="661">
        <v>0</v>
      </c>
      <c r="F66" s="662">
        <f t="shared" si="0"/>
        <v>-1</v>
      </c>
      <c r="J66" s="411"/>
      <c r="K66" s="411"/>
    </row>
    <row r="67" spans="1:11" s="299" customFormat="1" ht="11.4" customHeight="1">
      <c r="A67" s="673" t="s">
        <v>507</v>
      </c>
      <c r="B67" s="674"/>
      <c r="C67" s="675">
        <v>245.06297999999998</v>
      </c>
      <c r="D67" s="675">
        <v>281.11868000000004</v>
      </c>
      <c r="E67" s="675">
        <v>245.06297999999998</v>
      </c>
      <c r="F67" s="676">
        <f t="shared" si="0"/>
        <v>-0.12825793006711628</v>
      </c>
      <c r="J67" s="411"/>
      <c r="K67" s="411"/>
    </row>
    <row r="68" spans="1:11" s="299" customFormat="1" ht="11.4" customHeight="1">
      <c r="A68" s="672" t="s">
        <v>236</v>
      </c>
      <c r="B68" s="535" t="s">
        <v>77</v>
      </c>
      <c r="C68" s="661">
        <v>22.666609999999999</v>
      </c>
      <c r="D68" s="661">
        <v>21.733830000000001</v>
      </c>
      <c r="E68" s="661">
        <v>22.666609999999999</v>
      </c>
      <c r="F68" s="662">
        <f t="shared" si="0"/>
        <v>4.2918344350719506E-2</v>
      </c>
      <c r="J68" s="411"/>
      <c r="K68" s="411"/>
    </row>
    <row r="69" spans="1:11" s="299" customFormat="1" ht="11.4" customHeight="1">
      <c r="A69" s="673" t="s">
        <v>508</v>
      </c>
      <c r="B69" s="674"/>
      <c r="C69" s="675">
        <v>22.666609999999999</v>
      </c>
      <c r="D69" s="675">
        <v>21.733830000000001</v>
      </c>
      <c r="E69" s="675">
        <v>22.666609999999999</v>
      </c>
      <c r="F69" s="676">
        <f t="shared" si="0"/>
        <v>4.2918344350719506E-2</v>
      </c>
      <c r="J69" s="411"/>
      <c r="K69" s="411"/>
    </row>
    <row r="70" spans="1:11" s="299" customFormat="1" ht="11.4" customHeight="1">
      <c r="A70" s="672" t="s">
        <v>98</v>
      </c>
      <c r="B70" s="535" t="s">
        <v>75</v>
      </c>
      <c r="C70" s="661">
        <v>69.947050000000004</v>
      </c>
      <c r="D70" s="661">
        <v>66.667869999999994</v>
      </c>
      <c r="E70" s="661">
        <v>69.947050000000004</v>
      </c>
      <c r="F70" s="662">
        <f t="shared" si="0"/>
        <v>4.9186812178040329E-2</v>
      </c>
      <c r="J70" s="411"/>
      <c r="K70" s="411"/>
    </row>
    <row r="71" spans="1:11" ht="11.4" customHeight="1">
      <c r="A71" s="673" t="s">
        <v>509</v>
      </c>
      <c r="B71" s="674"/>
      <c r="C71" s="675">
        <v>69.947050000000004</v>
      </c>
      <c r="D71" s="675">
        <v>66.667869999999994</v>
      </c>
      <c r="E71" s="675">
        <v>69.947050000000004</v>
      </c>
      <c r="F71" s="676">
        <f t="shared" ref="F71" si="1">+IF(D71=0,"",C71/D71-1)</f>
        <v>4.9186812178040329E-2</v>
      </c>
    </row>
    <row r="72" spans="1:11">
      <c r="A72" s="274"/>
      <c r="B72" s="274"/>
      <c r="C72" s="274"/>
      <c r="D72" s="274"/>
      <c r="E72" s="274"/>
      <c r="F72" s="677"/>
    </row>
    <row r="73" spans="1:11">
      <c r="F73" s="626"/>
    </row>
    <row r="74" spans="1:11">
      <c r="F74" s="626"/>
    </row>
    <row r="75" spans="1:11">
      <c r="F75" s="626"/>
    </row>
    <row r="76" spans="1:11">
      <c r="F76" s="626"/>
    </row>
    <row r="77" spans="1:11">
      <c r="F77" s="626"/>
    </row>
  </sheetData>
  <mergeCells count="3">
    <mergeCell ref="A1:A4"/>
    <mergeCell ref="B1:B4"/>
    <mergeCell ref="C1:F1"/>
  </mergeCells>
  <pageMargins left="0.4365" right="0.33950000000000002" top="0.88916666666666666" bottom="0.53349999999999997"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6"/>
  <sheetViews>
    <sheetView showGridLines="0" view="pageBreakPreview" topLeftCell="A3" zoomScale="110" zoomScaleNormal="100" zoomScaleSheetLayoutView="110" zoomScalePageLayoutView="140" workbookViewId="0">
      <selection activeCell="K58" sqref="K58"/>
    </sheetView>
  </sheetViews>
  <sheetFormatPr baseColWidth="10" defaultColWidth="9.28515625" defaultRowHeight="9.6"/>
  <cols>
    <col min="1" max="1" width="27" style="270" customWidth="1"/>
    <col min="2" max="2" width="19.4257812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19" t="s">
        <v>244</v>
      </c>
      <c r="B1" s="921" t="s">
        <v>53</v>
      </c>
      <c r="C1" s="921" t="s">
        <v>344</v>
      </c>
      <c r="D1" s="921"/>
      <c r="E1" s="921"/>
      <c r="F1" s="923"/>
    </row>
    <row r="2" spans="1:6" s="299" customFormat="1" ht="11.25" customHeight="1">
      <c r="A2" s="913"/>
      <c r="B2" s="916"/>
      <c r="C2" s="389" t="str">
        <f>UPPER('1. Resumen'!Q4)&amp;" "&amp;'1. Resumen'!Q5</f>
        <v>DICIEMBE 2022</v>
      </c>
      <c r="D2" s="390" t="str">
        <f>UPPER('1. Resumen'!Q4)&amp;" "&amp;'1. Resumen'!Q5-1</f>
        <v>DICIEMBE 2021</v>
      </c>
      <c r="E2" s="390">
        <v>2022</v>
      </c>
      <c r="F2" s="501" t="s">
        <v>544</v>
      </c>
    </row>
    <row r="3" spans="1:6" s="299" customFormat="1" ht="11.25" customHeight="1">
      <c r="A3" s="913"/>
      <c r="B3" s="916"/>
      <c r="C3" s="391">
        <f>'21. ANEXOII-1'!C4</f>
        <v>44901.8125</v>
      </c>
      <c r="D3" s="391">
        <f>'21. ANEXOII-1'!D4</f>
        <v>44543.822916666664</v>
      </c>
      <c r="E3" s="391">
        <f>'21. ANEXOII-1'!E4</f>
        <v>44901.8125</v>
      </c>
      <c r="F3" s="502" t="s">
        <v>341</v>
      </c>
    </row>
    <row r="4" spans="1:6" s="299" customFormat="1" ht="11.25" customHeight="1">
      <c r="A4" s="920"/>
      <c r="B4" s="922"/>
      <c r="C4" s="392">
        <f>+'8. Max Potencia'!D9</f>
        <v>44901.8125</v>
      </c>
      <c r="D4" s="392">
        <f>+'8. Max Potencia'!E9</f>
        <v>44543.822916666664</v>
      </c>
      <c r="E4" s="392">
        <f>+'22. ANEXOII-2'!E4</f>
        <v>44901.8125</v>
      </c>
      <c r="F4" s="503" t="s">
        <v>342</v>
      </c>
    </row>
    <row r="5" spans="1:6" s="299" customFormat="1" ht="9" customHeight="1">
      <c r="A5" s="522" t="s">
        <v>106</v>
      </c>
      <c r="B5" s="299" t="s">
        <v>226</v>
      </c>
      <c r="C5" s="493">
        <v>0</v>
      </c>
      <c r="D5" s="493">
        <v>0</v>
      </c>
      <c r="E5" s="493">
        <v>0</v>
      </c>
      <c r="F5" s="625" t="str">
        <f t="shared" ref="F5:F54" si="0">+IF(D5=0,"",C5/D5-1)</f>
        <v/>
      </c>
    </row>
    <row r="6" spans="1:6" s="299" customFormat="1" ht="9" customHeight="1">
      <c r="A6" s="523" t="s">
        <v>510</v>
      </c>
      <c r="B6" s="400"/>
      <c r="C6" s="401">
        <v>0</v>
      </c>
      <c r="D6" s="401">
        <v>0</v>
      </c>
      <c r="E6" s="401">
        <v>0</v>
      </c>
      <c r="F6" s="624" t="str">
        <f t="shared" si="0"/>
        <v/>
      </c>
    </row>
    <row r="7" spans="1:6" s="299" customFormat="1" ht="9" customHeight="1">
      <c r="A7" s="522" t="s">
        <v>400</v>
      </c>
      <c r="B7" s="299" t="s">
        <v>84</v>
      </c>
      <c r="C7" s="493">
        <v>1.4503999999999999</v>
      </c>
      <c r="D7" s="493">
        <v>0</v>
      </c>
      <c r="E7" s="493">
        <v>1.4503999999999999</v>
      </c>
      <c r="F7" s="625" t="str">
        <f t="shared" si="0"/>
        <v/>
      </c>
    </row>
    <row r="8" spans="1:6" s="299" customFormat="1" ht="9" customHeight="1">
      <c r="A8" s="522"/>
      <c r="B8" s="299" t="s">
        <v>83</v>
      </c>
      <c r="C8" s="493">
        <v>3.1078999999999999</v>
      </c>
      <c r="D8" s="493">
        <v>4.5913000000000004</v>
      </c>
      <c r="E8" s="493">
        <v>3.1078999999999999</v>
      </c>
      <c r="F8" s="625">
        <f t="shared" si="0"/>
        <v>-0.3230893211073117</v>
      </c>
    </row>
    <row r="9" spans="1:6" s="299" customFormat="1" ht="9" customHeight="1">
      <c r="A9" s="522"/>
      <c r="B9" s="299" t="s">
        <v>414</v>
      </c>
      <c r="C9" s="493">
        <v>2.403</v>
      </c>
      <c r="D9" s="493">
        <v>1.2010000000000001</v>
      </c>
      <c r="E9" s="493">
        <v>2.403</v>
      </c>
      <c r="F9" s="625">
        <f t="shared" si="0"/>
        <v>1.0008326394671108</v>
      </c>
    </row>
    <row r="10" spans="1:6" s="299" customFormat="1" ht="9" customHeight="1">
      <c r="A10" s="522"/>
      <c r="B10" s="299" t="s">
        <v>449</v>
      </c>
      <c r="C10" s="493">
        <v>2.2023000000000001</v>
      </c>
      <c r="D10" s="493">
        <v>1.1015999999999999</v>
      </c>
      <c r="E10" s="493">
        <v>2.2023000000000001</v>
      </c>
      <c r="F10" s="625">
        <f t="shared" si="0"/>
        <v>0.99918300653594794</v>
      </c>
    </row>
    <row r="11" spans="1:6" s="299" customFormat="1" ht="9" customHeight="1">
      <c r="A11" s="523" t="s">
        <v>511</v>
      </c>
      <c r="B11" s="400"/>
      <c r="C11" s="401">
        <v>9.1635999999999989</v>
      </c>
      <c r="D11" s="401">
        <v>6.8939000000000004</v>
      </c>
      <c r="E11" s="401">
        <v>9.1635999999999989</v>
      </c>
      <c r="F11" s="624">
        <f t="shared" si="0"/>
        <v>0.32923309012315216</v>
      </c>
    </row>
    <row r="12" spans="1:6" s="299" customFormat="1" ht="9" customHeight="1">
      <c r="A12" s="522" t="s">
        <v>237</v>
      </c>
      <c r="B12" s="299" t="s">
        <v>321</v>
      </c>
      <c r="C12" s="493">
        <v>0</v>
      </c>
      <c r="D12" s="493">
        <v>0</v>
      </c>
      <c r="E12" s="493">
        <v>0</v>
      </c>
      <c r="F12" s="625" t="str">
        <f t="shared" si="0"/>
        <v/>
      </c>
    </row>
    <row r="13" spans="1:6" s="299" customFormat="1" ht="9" customHeight="1">
      <c r="A13" s="523" t="s">
        <v>512</v>
      </c>
      <c r="B13" s="400"/>
      <c r="C13" s="401">
        <v>0</v>
      </c>
      <c r="D13" s="401">
        <v>0</v>
      </c>
      <c r="E13" s="401">
        <v>0</v>
      </c>
      <c r="F13" s="624" t="str">
        <f t="shared" si="0"/>
        <v/>
      </c>
    </row>
    <row r="14" spans="1:6" s="299" customFormat="1" ht="9" customHeight="1">
      <c r="A14" s="522" t="s">
        <v>453</v>
      </c>
      <c r="B14" s="299" t="s">
        <v>81</v>
      </c>
      <c r="C14" s="493">
        <v>0</v>
      </c>
      <c r="D14" s="493">
        <v>0</v>
      </c>
      <c r="E14" s="493">
        <v>0</v>
      </c>
      <c r="F14" s="625" t="str">
        <f t="shared" si="0"/>
        <v/>
      </c>
    </row>
    <row r="15" spans="1:6" s="299" customFormat="1" ht="9" customHeight="1">
      <c r="A15" s="523" t="s">
        <v>513</v>
      </c>
      <c r="B15" s="400"/>
      <c r="C15" s="401">
        <v>0</v>
      </c>
      <c r="D15" s="401">
        <v>0</v>
      </c>
      <c r="E15" s="401">
        <v>0</v>
      </c>
      <c r="F15" s="624" t="str">
        <f t="shared" si="0"/>
        <v/>
      </c>
    </row>
    <row r="16" spans="1:6" s="299" customFormat="1" ht="9" customHeight="1">
      <c r="A16" s="522" t="s">
        <v>429</v>
      </c>
      <c r="B16" s="299" t="s">
        <v>440</v>
      </c>
      <c r="C16" s="493">
        <v>10.596</v>
      </c>
      <c r="D16" s="493">
        <v>19.097290000000001</v>
      </c>
      <c r="E16" s="493">
        <v>10.596</v>
      </c>
      <c r="F16" s="625">
        <f t="shared" si="0"/>
        <v>-0.44515687827958839</v>
      </c>
    </row>
    <row r="17" spans="1:6" s="299" customFormat="1" ht="9" customHeight="1">
      <c r="A17" s="523" t="s">
        <v>514</v>
      </c>
      <c r="B17" s="400"/>
      <c r="C17" s="401">
        <v>10.596</v>
      </c>
      <c r="D17" s="401">
        <v>19.097290000000001</v>
      </c>
      <c r="E17" s="401">
        <v>10.596</v>
      </c>
      <c r="F17" s="624">
        <f t="shared" si="0"/>
        <v>-0.44515687827958839</v>
      </c>
    </row>
    <row r="18" spans="1:6" s="299" customFormat="1" ht="9" customHeight="1">
      <c r="A18" s="522" t="s">
        <v>103</v>
      </c>
      <c r="B18" s="299" t="s">
        <v>60</v>
      </c>
      <c r="C18" s="493">
        <v>3.04053</v>
      </c>
      <c r="D18" s="493">
        <v>18.505229999999997</v>
      </c>
      <c r="E18" s="493">
        <v>3.04053</v>
      </c>
      <c r="F18" s="625">
        <f t="shared" si="0"/>
        <v>-0.83569347692517193</v>
      </c>
    </row>
    <row r="19" spans="1:6" s="299" customFormat="1" ht="9" customHeight="1">
      <c r="A19" s="523" t="s">
        <v>515</v>
      </c>
      <c r="B19" s="400"/>
      <c r="C19" s="401">
        <v>3.04053</v>
      </c>
      <c r="D19" s="401">
        <v>18.505229999999997</v>
      </c>
      <c r="E19" s="401">
        <v>3.04053</v>
      </c>
      <c r="F19" s="624">
        <f t="shared" si="0"/>
        <v>-0.83569347692517193</v>
      </c>
    </row>
    <row r="20" spans="1:6" s="299" customFormat="1" ht="9" customHeight="1">
      <c r="A20" s="522" t="s">
        <v>238</v>
      </c>
      <c r="B20" s="299" t="s">
        <v>322</v>
      </c>
      <c r="C20" s="493">
        <v>175.04680999999999</v>
      </c>
      <c r="D20" s="493">
        <v>0</v>
      </c>
      <c r="E20" s="493">
        <v>175.04680999999999</v>
      </c>
      <c r="F20" s="625" t="str">
        <f t="shared" si="0"/>
        <v/>
      </c>
    </row>
    <row r="21" spans="1:6" s="299" customFormat="1" ht="9" customHeight="1">
      <c r="A21" s="523" t="s">
        <v>516</v>
      </c>
      <c r="B21" s="400"/>
      <c r="C21" s="401">
        <v>175.04680999999999</v>
      </c>
      <c r="D21" s="401">
        <v>0</v>
      </c>
      <c r="E21" s="401">
        <v>175.04680999999999</v>
      </c>
      <c r="F21" s="624" t="str">
        <f t="shared" si="0"/>
        <v/>
      </c>
    </row>
    <row r="22" spans="1:6" s="299" customFormat="1" ht="9" customHeight="1">
      <c r="A22" s="522" t="s">
        <v>94</v>
      </c>
      <c r="B22" s="299" t="s">
        <v>323</v>
      </c>
      <c r="C22" s="493">
        <v>88.902979999999999</v>
      </c>
      <c r="D22" s="493">
        <v>46.0807</v>
      </c>
      <c r="E22" s="493">
        <v>88.902979999999999</v>
      </c>
      <c r="F22" s="625">
        <f t="shared" si="0"/>
        <v>0.92928883458801614</v>
      </c>
    </row>
    <row r="23" spans="1:6" s="299" customFormat="1" ht="9" customHeight="1">
      <c r="A23" s="522"/>
      <c r="B23" s="299" t="s">
        <v>550</v>
      </c>
      <c r="C23" s="493">
        <v>0</v>
      </c>
      <c r="D23" s="493">
        <v>0</v>
      </c>
      <c r="E23" s="493">
        <v>0</v>
      </c>
      <c r="F23" s="625"/>
    </row>
    <row r="24" spans="1:6" s="299" customFormat="1" ht="9" customHeight="1">
      <c r="A24" s="523" t="s">
        <v>517</v>
      </c>
      <c r="B24" s="400"/>
      <c r="C24" s="401">
        <v>88.902979999999999</v>
      </c>
      <c r="D24" s="401">
        <v>46.0807</v>
      </c>
      <c r="E24" s="401">
        <v>88.902979999999999</v>
      </c>
      <c r="F24" s="624">
        <f t="shared" si="0"/>
        <v>0.92928883458801614</v>
      </c>
    </row>
    <row r="25" spans="1:6" s="299" customFormat="1" ht="9" customHeight="1">
      <c r="A25" s="522" t="s">
        <v>416</v>
      </c>
      <c r="B25" s="299" t="s">
        <v>445</v>
      </c>
      <c r="C25" s="493">
        <v>0</v>
      </c>
      <c r="D25" s="493">
        <v>8.4873499999999993</v>
      </c>
      <c r="E25" s="493">
        <v>0</v>
      </c>
      <c r="F25" s="625">
        <f t="shared" si="0"/>
        <v>-1</v>
      </c>
    </row>
    <row r="26" spans="1:6" s="299" customFormat="1" ht="9" customHeight="1">
      <c r="A26" s="523" t="s">
        <v>518</v>
      </c>
      <c r="B26" s="400"/>
      <c r="C26" s="401">
        <v>0</v>
      </c>
      <c r="D26" s="401">
        <v>8.4873499999999993</v>
      </c>
      <c r="E26" s="401">
        <v>0</v>
      </c>
      <c r="F26" s="624">
        <f t="shared" si="0"/>
        <v>-1</v>
      </c>
    </row>
    <row r="27" spans="1:6" s="299" customFormat="1" ht="9" customHeight="1">
      <c r="A27" s="522" t="s">
        <v>391</v>
      </c>
      <c r="B27" s="299" t="s">
        <v>395</v>
      </c>
      <c r="C27" s="493">
        <v>14.122249999999999</v>
      </c>
      <c r="D27" s="493">
        <v>20.0623</v>
      </c>
      <c r="E27" s="493">
        <v>14.122249999999999</v>
      </c>
      <c r="F27" s="625">
        <f t="shared" si="0"/>
        <v>-0.29608021014539709</v>
      </c>
    </row>
    <row r="28" spans="1:6" s="299" customFormat="1" ht="9" customHeight="1">
      <c r="A28" s="523" t="s">
        <v>519</v>
      </c>
      <c r="B28" s="400"/>
      <c r="C28" s="401">
        <v>14.122249999999999</v>
      </c>
      <c r="D28" s="401">
        <v>20.0623</v>
      </c>
      <c r="E28" s="401">
        <v>14.122249999999999</v>
      </c>
      <c r="F28" s="624">
        <f t="shared" si="0"/>
        <v>-0.29608021014539709</v>
      </c>
    </row>
    <row r="29" spans="1:6" s="299" customFormat="1" ht="9" customHeight="1">
      <c r="A29" s="522" t="s">
        <v>101</v>
      </c>
      <c r="B29" s="299" t="s">
        <v>324</v>
      </c>
      <c r="C29" s="493">
        <v>0</v>
      </c>
      <c r="D29" s="493">
        <v>26.591609999999999</v>
      </c>
      <c r="E29" s="493">
        <v>0</v>
      </c>
      <c r="F29" s="625">
        <f t="shared" si="0"/>
        <v>-1</v>
      </c>
    </row>
    <row r="30" spans="1:6" s="299" customFormat="1" ht="9" customHeight="1">
      <c r="A30" s="523" t="s">
        <v>520</v>
      </c>
      <c r="B30" s="400"/>
      <c r="C30" s="401">
        <v>0</v>
      </c>
      <c r="D30" s="401">
        <v>26.591609999999999</v>
      </c>
      <c r="E30" s="401">
        <v>0</v>
      </c>
      <c r="F30" s="624">
        <f t="shared" si="0"/>
        <v>-1</v>
      </c>
    </row>
    <row r="31" spans="1:6" s="299" customFormat="1" ht="9" customHeight="1">
      <c r="A31" s="522" t="s">
        <v>116</v>
      </c>
      <c r="B31" s="299" t="s">
        <v>325</v>
      </c>
      <c r="C31" s="493">
        <v>0</v>
      </c>
      <c r="D31" s="493">
        <v>0</v>
      </c>
      <c r="E31" s="493">
        <v>0</v>
      </c>
      <c r="F31" s="625" t="str">
        <f t="shared" si="0"/>
        <v/>
      </c>
    </row>
    <row r="32" spans="1:6" s="299" customFormat="1" ht="9" customHeight="1">
      <c r="A32" s="523" t="s">
        <v>521</v>
      </c>
      <c r="B32" s="400"/>
      <c r="C32" s="401">
        <v>0</v>
      </c>
      <c r="D32" s="401">
        <v>0</v>
      </c>
      <c r="E32" s="401">
        <v>0</v>
      </c>
      <c r="F32" s="624" t="str">
        <f t="shared" si="0"/>
        <v/>
      </c>
    </row>
    <row r="33" spans="1:6" s="299" customFormat="1" ht="9" customHeight="1">
      <c r="A33" s="522" t="s">
        <v>110</v>
      </c>
      <c r="B33" s="299" t="s">
        <v>441</v>
      </c>
      <c r="C33" s="493">
        <v>10.677759999999999</v>
      </c>
      <c r="D33" s="493">
        <v>19.873910000000002</v>
      </c>
      <c r="E33" s="493">
        <v>10.677759999999999</v>
      </c>
      <c r="F33" s="625">
        <f t="shared" si="0"/>
        <v>-0.46272474817486853</v>
      </c>
    </row>
    <row r="34" spans="1:6" s="299" customFormat="1" ht="9" customHeight="1">
      <c r="A34" s="522"/>
      <c r="B34" s="299" t="s">
        <v>68</v>
      </c>
      <c r="C34" s="493">
        <v>2.9904799999999998</v>
      </c>
      <c r="D34" s="493">
        <v>4.6561899999999996</v>
      </c>
      <c r="E34" s="493">
        <v>2.9904799999999998</v>
      </c>
      <c r="F34" s="625">
        <f t="shared" si="0"/>
        <v>-0.35774098565565404</v>
      </c>
    </row>
    <row r="35" spans="1:6" s="299" customFormat="1" ht="9" customHeight="1">
      <c r="A35" s="523" t="s">
        <v>522</v>
      </c>
      <c r="B35" s="400"/>
      <c r="C35" s="401">
        <v>13.668239999999999</v>
      </c>
      <c r="D35" s="401">
        <v>24.530100000000001</v>
      </c>
      <c r="E35" s="401">
        <v>13.668239999999999</v>
      </c>
      <c r="F35" s="624">
        <f t="shared" si="0"/>
        <v>-0.44279721648097647</v>
      </c>
    </row>
    <row r="36" spans="1:6" s="299" customFormat="1" ht="9" customHeight="1">
      <c r="A36" s="522" t="s">
        <v>89</v>
      </c>
      <c r="B36" s="299" t="s">
        <v>326</v>
      </c>
      <c r="C36" s="493">
        <v>20.663969999999999</v>
      </c>
      <c r="D36" s="493">
        <v>44.00958</v>
      </c>
      <c r="E36" s="493">
        <v>20.663969999999999</v>
      </c>
      <c r="F36" s="625">
        <f t="shared" si="0"/>
        <v>-0.53046654841968499</v>
      </c>
    </row>
    <row r="37" spans="1:6" s="299" customFormat="1" ht="9" customHeight="1">
      <c r="A37" s="522"/>
      <c r="B37" s="299" t="s">
        <v>327</v>
      </c>
      <c r="C37" s="493">
        <v>64.905079999999998</v>
      </c>
      <c r="D37" s="493">
        <v>167.55241999999998</v>
      </c>
      <c r="E37" s="493">
        <v>64.905079999999998</v>
      </c>
      <c r="F37" s="625">
        <f t="shared" si="0"/>
        <v>-0.61262821509829579</v>
      </c>
    </row>
    <row r="38" spans="1:6" s="299" customFormat="1" ht="9" customHeight="1">
      <c r="A38" s="522"/>
      <c r="B38" s="299" t="s">
        <v>328</v>
      </c>
      <c r="C38" s="493">
        <v>28.336959999999998</v>
      </c>
      <c r="D38" s="493">
        <v>35.807459999999999</v>
      </c>
      <c r="E38" s="493">
        <v>28.336959999999998</v>
      </c>
      <c r="F38" s="625">
        <f t="shared" si="0"/>
        <v>-0.20862971012185738</v>
      </c>
    </row>
    <row r="39" spans="1:6" s="299" customFormat="1" ht="9" customHeight="1">
      <c r="A39" s="522"/>
      <c r="B39" s="299" t="s">
        <v>329</v>
      </c>
      <c r="C39" s="493">
        <v>0</v>
      </c>
      <c r="D39" s="493">
        <v>0</v>
      </c>
      <c r="E39" s="493">
        <v>0</v>
      </c>
      <c r="F39" s="625" t="str">
        <f t="shared" si="0"/>
        <v/>
      </c>
    </row>
    <row r="40" spans="1:6" s="299" customFormat="1" ht="9" customHeight="1">
      <c r="A40" s="522"/>
      <c r="B40" s="299" t="s">
        <v>330</v>
      </c>
      <c r="C40" s="493">
        <v>5.9916299999999998</v>
      </c>
      <c r="D40" s="493">
        <v>45.053600000000003</v>
      </c>
      <c r="E40" s="493">
        <v>5.9916299999999998</v>
      </c>
      <c r="F40" s="625">
        <f t="shared" si="0"/>
        <v>-0.86701107125734678</v>
      </c>
    </row>
    <row r="41" spans="1:6" s="299" customFormat="1" ht="9" customHeight="1">
      <c r="A41" s="522"/>
      <c r="B41" s="299" t="s">
        <v>331</v>
      </c>
      <c r="C41" s="493">
        <v>0</v>
      </c>
      <c r="D41" s="493">
        <v>2.5691700000000002</v>
      </c>
      <c r="E41" s="493">
        <v>0</v>
      </c>
      <c r="F41" s="625">
        <f t="shared" si="0"/>
        <v>-1</v>
      </c>
    </row>
    <row r="42" spans="1:6" s="299" customFormat="1" ht="9" customHeight="1">
      <c r="A42" s="522"/>
      <c r="B42" s="299" t="s">
        <v>332</v>
      </c>
      <c r="C42" s="493">
        <v>5.6599199999999996</v>
      </c>
      <c r="D42" s="493">
        <v>8.1673200000000001</v>
      </c>
      <c r="E42" s="493">
        <v>5.6599199999999996</v>
      </c>
      <c r="F42" s="625">
        <f t="shared" si="0"/>
        <v>-0.30700401110768283</v>
      </c>
    </row>
    <row r="43" spans="1:6" s="299" customFormat="1" ht="9" customHeight="1">
      <c r="A43" s="522"/>
      <c r="B43" s="299" t="s">
        <v>333</v>
      </c>
      <c r="C43" s="493">
        <v>4.2567599999999999</v>
      </c>
      <c r="D43" s="493">
        <v>2.7102900000000001</v>
      </c>
      <c r="E43" s="493">
        <v>4.2567599999999999</v>
      </c>
      <c r="F43" s="625">
        <f t="shared" si="0"/>
        <v>0.57059207686262337</v>
      </c>
    </row>
    <row r="44" spans="1:6" s="299" customFormat="1" ht="9" customHeight="1">
      <c r="A44" s="522"/>
      <c r="B44" s="299" t="s">
        <v>334</v>
      </c>
      <c r="C44" s="493">
        <v>1.6072500000000001</v>
      </c>
      <c r="D44" s="493">
        <v>3.5681399999999996</v>
      </c>
      <c r="E44" s="493">
        <v>1.6072500000000001</v>
      </c>
      <c r="F44" s="625">
        <f t="shared" si="0"/>
        <v>-0.54955523045620402</v>
      </c>
    </row>
    <row r="45" spans="1:6" s="299" customFormat="1" ht="9" customHeight="1">
      <c r="A45" s="522"/>
      <c r="B45" s="299" t="s">
        <v>335</v>
      </c>
      <c r="C45" s="493">
        <v>0</v>
      </c>
      <c r="D45" s="493">
        <v>0</v>
      </c>
      <c r="E45" s="493">
        <v>0</v>
      </c>
      <c r="F45" s="625" t="str">
        <f t="shared" si="0"/>
        <v/>
      </c>
    </row>
    <row r="46" spans="1:6" s="299" customFormat="1" ht="9" customHeight="1">
      <c r="A46" s="522"/>
      <c r="B46" s="299" t="s">
        <v>336</v>
      </c>
      <c r="C46" s="493">
        <v>0</v>
      </c>
      <c r="D46" s="493">
        <v>0</v>
      </c>
      <c r="E46" s="493">
        <v>0</v>
      </c>
      <c r="F46" s="625" t="str">
        <f t="shared" si="0"/>
        <v/>
      </c>
    </row>
    <row r="47" spans="1:6" s="299" customFormat="1" ht="9" customHeight="1">
      <c r="A47" s="522"/>
      <c r="B47" s="299" t="s">
        <v>337</v>
      </c>
      <c r="C47" s="493">
        <v>37.980609999999999</v>
      </c>
      <c r="D47" s="493">
        <v>105.09542</v>
      </c>
      <c r="E47" s="493">
        <v>37.980609999999999</v>
      </c>
      <c r="F47" s="625">
        <f t="shared" si="0"/>
        <v>-0.63860832374997889</v>
      </c>
    </row>
    <row r="48" spans="1:6" s="299" customFormat="1" ht="9" customHeight="1">
      <c r="A48" s="523" t="s">
        <v>523</v>
      </c>
      <c r="B48" s="400"/>
      <c r="C48" s="401">
        <v>169.40217999999999</v>
      </c>
      <c r="D48" s="401">
        <v>414.53339999999992</v>
      </c>
      <c r="E48" s="401">
        <v>169.40217999999999</v>
      </c>
      <c r="F48" s="624">
        <f t="shared" si="0"/>
        <v>-0.5913425070211471</v>
      </c>
    </row>
    <row r="49" spans="1:22" s="299" customFormat="1" ht="9" customHeight="1">
      <c r="A49" s="522" t="s">
        <v>108</v>
      </c>
      <c r="B49" s="299" t="s">
        <v>225</v>
      </c>
      <c r="C49" s="493">
        <v>0</v>
      </c>
      <c r="D49" s="493">
        <v>0</v>
      </c>
      <c r="E49" s="493">
        <v>0</v>
      </c>
      <c r="F49" s="625" t="str">
        <f t="shared" si="0"/>
        <v/>
      </c>
    </row>
    <row r="50" spans="1:22" s="299" customFormat="1" ht="9" customHeight="1">
      <c r="A50" s="523" t="s">
        <v>524</v>
      </c>
      <c r="B50" s="400"/>
      <c r="C50" s="401">
        <v>0</v>
      </c>
      <c r="D50" s="401">
        <v>0</v>
      </c>
      <c r="E50" s="401">
        <v>0</v>
      </c>
      <c r="F50" s="624" t="str">
        <f t="shared" si="0"/>
        <v/>
      </c>
    </row>
    <row r="51" spans="1:22" s="299" customFormat="1" ht="9" customHeight="1">
      <c r="A51" s="522" t="s">
        <v>99</v>
      </c>
      <c r="B51" s="299" t="s">
        <v>418</v>
      </c>
      <c r="C51" s="493">
        <v>192.90967000000001</v>
      </c>
      <c r="D51" s="493">
        <v>194.47380999999999</v>
      </c>
      <c r="E51" s="493">
        <v>192.90967000000001</v>
      </c>
      <c r="F51" s="625">
        <f t="shared" si="0"/>
        <v>-8.0429339045703374E-3</v>
      </c>
    </row>
    <row r="52" spans="1:22" s="299" customFormat="1" ht="9" customHeight="1">
      <c r="A52" s="523" t="s">
        <v>525</v>
      </c>
      <c r="B52" s="400"/>
      <c r="C52" s="401">
        <v>192.90967000000001</v>
      </c>
      <c r="D52" s="401">
        <v>194.47380999999999</v>
      </c>
      <c r="E52" s="401">
        <v>192.90967000000001</v>
      </c>
      <c r="F52" s="624">
        <f t="shared" si="0"/>
        <v>-8.0429339045703374E-3</v>
      </c>
    </row>
    <row r="53" spans="1:22" s="299" customFormat="1" ht="9" customHeight="1">
      <c r="A53" s="522" t="s">
        <v>104</v>
      </c>
      <c r="B53" s="299" t="s">
        <v>338</v>
      </c>
      <c r="C53" s="493">
        <v>86.590130000000002</v>
      </c>
      <c r="D53" s="493">
        <v>0</v>
      </c>
      <c r="E53" s="493">
        <v>86.590130000000002</v>
      </c>
      <c r="F53" s="625" t="str">
        <f t="shared" si="0"/>
        <v/>
      </c>
    </row>
    <row r="54" spans="1:22" s="299" customFormat="1" ht="9" customHeight="1">
      <c r="A54" s="523" t="s">
        <v>526</v>
      </c>
      <c r="B54" s="400"/>
      <c r="C54" s="401">
        <v>86.590130000000002</v>
      </c>
      <c r="D54" s="401">
        <v>0</v>
      </c>
      <c r="E54" s="401">
        <v>86.590130000000002</v>
      </c>
      <c r="F54" s="624" t="str">
        <f t="shared" si="0"/>
        <v/>
      </c>
    </row>
    <row r="55" spans="1:22" s="326" customFormat="1" ht="12" customHeight="1">
      <c r="A55" s="386" t="s">
        <v>393</v>
      </c>
      <c r="B55" s="395"/>
      <c r="C55" s="385">
        <v>7467.4497399999973</v>
      </c>
      <c r="D55" s="385">
        <v>7173.0331599999972</v>
      </c>
      <c r="E55" s="385">
        <v>7467.4497399999973</v>
      </c>
      <c r="F55" s="506">
        <f>+IF(D55=0,"",C55/D55-1)</f>
        <v>4.1044921086075048E-2</v>
      </c>
      <c r="G55" s="270"/>
      <c r="H55" s="270"/>
      <c r="I55" s="270"/>
      <c r="J55" s="270"/>
      <c r="K55" s="270"/>
      <c r="L55" s="270"/>
      <c r="M55" s="270"/>
      <c r="N55" s="270"/>
      <c r="O55" s="270"/>
      <c r="P55" s="270"/>
      <c r="Q55" s="270"/>
      <c r="R55" s="270"/>
      <c r="S55" s="270"/>
      <c r="T55" s="270"/>
      <c r="U55" s="270"/>
      <c r="V55" s="270"/>
    </row>
    <row r="56" spans="1:22" s="326" customFormat="1" ht="12" customHeight="1">
      <c r="A56" s="395" t="s">
        <v>339</v>
      </c>
      <c r="B56" s="386"/>
      <c r="C56" s="385">
        <f>+'8. Max Potencia'!D16</f>
        <v>0</v>
      </c>
      <c r="D56" s="385">
        <f>+'8. Max Potencia'!E16</f>
        <v>0</v>
      </c>
      <c r="E56" s="388">
        <v>0</v>
      </c>
      <c r="F56" s="507">
        <v>0</v>
      </c>
      <c r="G56" s="270"/>
      <c r="H56" s="270"/>
      <c r="I56" s="270"/>
      <c r="J56" s="270"/>
      <c r="K56" s="270"/>
      <c r="L56" s="270"/>
      <c r="M56" s="270"/>
      <c r="N56" s="270"/>
      <c r="O56" s="270"/>
      <c r="P56" s="270"/>
      <c r="Q56" s="270"/>
      <c r="R56" s="270"/>
      <c r="S56" s="270"/>
      <c r="T56" s="270"/>
      <c r="U56" s="270"/>
      <c r="V56" s="270"/>
    </row>
    <row r="57" spans="1:22" s="326" customFormat="1" ht="12" customHeight="1">
      <c r="A57" s="508" t="s">
        <v>340</v>
      </c>
      <c r="B57" s="508"/>
      <c r="C57" s="385">
        <v>0</v>
      </c>
      <c r="D57" s="385">
        <v>0</v>
      </c>
      <c r="E57" s="388">
        <v>0</v>
      </c>
      <c r="F57" s="507">
        <v>0</v>
      </c>
      <c r="G57" s="270"/>
      <c r="H57" s="270"/>
      <c r="I57" s="270"/>
      <c r="J57" s="270"/>
      <c r="K57" s="270"/>
      <c r="L57" s="270"/>
      <c r="M57" s="270"/>
      <c r="N57" s="270"/>
      <c r="O57" s="270"/>
      <c r="P57" s="270"/>
      <c r="Q57" s="270"/>
      <c r="R57" s="270"/>
      <c r="S57" s="270"/>
      <c r="T57" s="270"/>
      <c r="U57" s="270"/>
      <c r="V57" s="270"/>
    </row>
    <row r="58" spans="1:22" ht="12" customHeight="1">
      <c r="A58" s="545" t="s">
        <v>435</v>
      </c>
      <c r="B58" s="508"/>
      <c r="C58" s="385">
        <f>+C55+C56-C57</f>
        <v>7467.4497399999973</v>
      </c>
      <c r="D58" s="385">
        <f>+D55+D56-D57</f>
        <v>7173.0331599999972</v>
      </c>
      <c r="E58" s="385">
        <f>+E55+E56-E57</f>
        <v>7467.4497399999973</v>
      </c>
      <c r="F58" s="506">
        <f>+IF(D58=0,"",C58/D58-1)</f>
        <v>4.1044921086075048E-2</v>
      </c>
    </row>
    <row r="59" spans="1:22" ht="7.2" customHeight="1">
      <c r="A59" s="299"/>
    </row>
    <row r="60" spans="1:22" ht="27.75" customHeight="1">
      <c r="A60" s="911" t="s">
        <v>534</v>
      </c>
      <c r="B60" s="911"/>
      <c r="C60" s="911"/>
      <c r="D60" s="911"/>
      <c r="E60" s="911"/>
      <c r="F60" s="911"/>
    </row>
    <row r="61" spans="1:22" ht="7.95" customHeight="1">
      <c r="A61" s="924"/>
      <c r="B61" s="924"/>
      <c r="C61" s="924"/>
      <c r="D61" s="924"/>
      <c r="E61" s="924"/>
      <c r="F61" s="924"/>
      <c r="G61" s="535"/>
    </row>
    <row r="62" spans="1:22" ht="11.25" customHeight="1">
      <c r="A62" s="737" t="s">
        <v>551</v>
      </c>
      <c r="B62" s="715"/>
      <c r="C62" s="715"/>
      <c r="D62" s="715"/>
      <c r="E62" s="715"/>
      <c r="F62" s="715"/>
      <c r="G62" s="535"/>
    </row>
    <row r="63" spans="1:22" ht="11.25" customHeight="1">
      <c r="A63" s="535" t="s">
        <v>575</v>
      </c>
      <c r="B63" s="715"/>
      <c r="C63" s="715"/>
      <c r="D63" s="715"/>
      <c r="E63" s="715"/>
      <c r="F63" s="715"/>
      <c r="G63" s="535"/>
    </row>
    <row r="64" spans="1:22" ht="11.25" customHeight="1">
      <c r="A64" s="535" t="s">
        <v>576</v>
      </c>
      <c r="B64" s="715"/>
      <c r="C64" s="715"/>
      <c r="D64" s="715"/>
      <c r="E64" s="715"/>
      <c r="F64" s="715"/>
      <c r="G64" s="535"/>
    </row>
    <row r="65" spans="1:7" ht="10.199999999999999" customHeight="1">
      <c r="A65" s="535" t="s">
        <v>635</v>
      </c>
      <c r="B65" s="715"/>
      <c r="C65" s="715"/>
      <c r="D65" s="715"/>
      <c r="E65" s="715"/>
      <c r="F65" s="715"/>
      <c r="G65" s="535"/>
    </row>
    <row r="66" spans="1:7">
      <c r="A66" s="535" t="s">
        <v>761</v>
      </c>
    </row>
  </sheetData>
  <mergeCells count="5">
    <mergeCell ref="A1:A4"/>
    <mergeCell ref="B1:B4"/>
    <mergeCell ref="C1:F1"/>
    <mergeCell ref="A60:F60"/>
    <mergeCell ref="A61:F61"/>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3"/>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352</v>
      </c>
      <c r="B3" s="271"/>
    </row>
    <row r="4" spans="1:13" ht="11.25" customHeight="1">
      <c r="B4" s="271"/>
    </row>
    <row r="5" spans="1:13" ht="11.25" customHeight="1">
      <c r="A5" s="272" t="s">
        <v>398</v>
      </c>
      <c r="C5" s="271">
        <v>7467.44974</v>
      </c>
    </row>
    <row r="6" spans="1:13" ht="11.25" customHeight="1">
      <c r="A6" s="272" t="s">
        <v>353</v>
      </c>
      <c r="C6" s="271" t="s">
        <v>636</v>
      </c>
    </row>
    <row r="7" spans="1:13" ht="11.25" customHeight="1">
      <c r="A7" s="272" t="s">
        <v>354</v>
      </c>
      <c r="C7" s="271" t="s">
        <v>433</v>
      </c>
    </row>
    <row r="8" spans="1:13" ht="11.25" customHeight="1"/>
    <row r="9" spans="1:13" ht="14.25" customHeight="1">
      <c r="A9" s="925" t="s">
        <v>345</v>
      </c>
      <c r="B9" s="928" t="s">
        <v>346</v>
      </c>
      <c r="C9" s="929"/>
      <c r="D9" s="929"/>
      <c r="E9" s="929"/>
      <c r="F9" s="930"/>
      <c r="G9" s="928" t="s">
        <v>347</v>
      </c>
      <c r="H9" s="929"/>
      <c r="I9" s="929"/>
      <c r="J9" s="929"/>
      <c r="K9" s="930"/>
    </row>
    <row r="10" spans="1:13" ht="26.25" customHeight="1">
      <c r="A10" s="926"/>
      <c r="B10" s="393" t="s">
        <v>348</v>
      </c>
      <c r="C10" s="393" t="s">
        <v>193</v>
      </c>
      <c r="D10" s="393" t="s">
        <v>339</v>
      </c>
      <c r="E10" s="393" t="s">
        <v>340</v>
      </c>
      <c r="F10" s="394" t="s">
        <v>351</v>
      </c>
      <c r="G10" s="393" t="s">
        <v>348</v>
      </c>
      <c r="H10" s="393" t="s">
        <v>193</v>
      </c>
      <c r="I10" s="393" t="s">
        <v>339</v>
      </c>
      <c r="J10" s="393" t="s">
        <v>340</v>
      </c>
      <c r="K10" s="394" t="s">
        <v>351</v>
      </c>
      <c r="L10" s="36"/>
      <c r="M10" s="46"/>
    </row>
    <row r="11" spans="1:13" ht="11.25" customHeight="1">
      <c r="A11" s="927"/>
      <c r="B11" s="393" t="s">
        <v>349</v>
      </c>
      <c r="C11" s="393" t="s">
        <v>350</v>
      </c>
      <c r="D11" s="393" t="s">
        <v>350</v>
      </c>
      <c r="E11" s="393" t="s">
        <v>350</v>
      </c>
      <c r="F11" s="393" t="s">
        <v>350</v>
      </c>
      <c r="G11" s="393" t="s">
        <v>349</v>
      </c>
      <c r="H11" s="393" t="s">
        <v>350</v>
      </c>
      <c r="I11" s="393" t="s">
        <v>350</v>
      </c>
      <c r="J11" s="393" t="s">
        <v>350</v>
      </c>
      <c r="K11" s="393" t="s">
        <v>350</v>
      </c>
      <c r="L11" s="36"/>
      <c r="M11" s="46"/>
    </row>
    <row r="12" spans="1:13" ht="15" customHeight="1">
      <c r="A12" s="797" t="s">
        <v>637</v>
      </c>
      <c r="B12" s="798" t="s">
        <v>448</v>
      </c>
      <c r="C12" s="798">
        <v>7399.8680899999999</v>
      </c>
      <c r="D12" s="798">
        <v>0</v>
      </c>
      <c r="E12" s="798">
        <v>0</v>
      </c>
      <c r="F12" s="798">
        <v>7399.8680899999999</v>
      </c>
      <c r="G12" s="798" t="s">
        <v>527</v>
      </c>
      <c r="H12" s="798">
        <v>7298.96126</v>
      </c>
      <c r="I12" s="798">
        <v>0</v>
      </c>
      <c r="J12" s="798">
        <v>0</v>
      </c>
      <c r="K12" s="798">
        <v>7298.96126</v>
      </c>
      <c r="L12" s="205"/>
      <c r="M12" s="46"/>
    </row>
    <row r="13" spans="1:13" ht="15" customHeight="1">
      <c r="A13" s="797" t="s">
        <v>638</v>
      </c>
      <c r="B13" s="798" t="s">
        <v>465</v>
      </c>
      <c r="C13" s="798">
        <v>7425.0532199999998</v>
      </c>
      <c r="D13" s="798">
        <v>0</v>
      </c>
      <c r="E13" s="798">
        <v>0</v>
      </c>
      <c r="F13" s="798">
        <v>7425.0532199999998</v>
      </c>
      <c r="G13" s="798" t="s">
        <v>527</v>
      </c>
      <c r="H13" s="798">
        <v>7265.2136300000002</v>
      </c>
      <c r="I13" s="798">
        <v>0</v>
      </c>
      <c r="J13" s="798">
        <v>0</v>
      </c>
      <c r="K13" s="798">
        <v>7265.2136300000002</v>
      </c>
      <c r="L13" s="5"/>
    </row>
    <row r="14" spans="1:13" ht="15" customHeight="1">
      <c r="A14" s="797" t="s">
        <v>639</v>
      </c>
      <c r="B14" s="798" t="s">
        <v>640</v>
      </c>
      <c r="C14" s="798">
        <v>7332.3401400000002</v>
      </c>
      <c r="D14" s="798">
        <v>0</v>
      </c>
      <c r="E14" s="798">
        <v>0</v>
      </c>
      <c r="F14" s="798">
        <v>7332.3401400000002</v>
      </c>
      <c r="G14" s="798" t="s">
        <v>583</v>
      </c>
      <c r="H14" s="798">
        <v>7351.0250800000003</v>
      </c>
      <c r="I14" s="798">
        <v>0</v>
      </c>
      <c r="J14" s="798">
        <v>0</v>
      </c>
      <c r="K14" s="798">
        <v>7351.0250800000003</v>
      </c>
      <c r="L14" s="15"/>
    </row>
    <row r="15" spans="1:13" ht="15" customHeight="1">
      <c r="A15" s="797" t="s">
        <v>641</v>
      </c>
      <c r="B15" s="798" t="s">
        <v>447</v>
      </c>
      <c r="C15" s="798">
        <v>6556.1031999999996</v>
      </c>
      <c r="D15" s="798">
        <v>0</v>
      </c>
      <c r="E15" s="798">
        <v>0</v>
      </c>
      <c r="F15" s="798">
        <v>6556.1031999999996</v>
      </c>
      <c r="G15" s="798" t="s">
        <v>584</v>
      </c>
      <c r="H15" s="798">
        <v>7174.7123199999996</v>
      </c>
      <c r="I15" s="798">
        <v>0</v>
      </c>
      <c r="J15" s="798">
        <v>0</v>
      </c>
      <c r="K15" s="798">
        <v>7174.7123199999996</v>
      </c>
      <c r="L15" s="12"/>
    </row>
    <row r="16" spans="1:13" ht="15" customHeight="1">
      <c r="A16" s="797" t="s">
        <v>642</v>
      </c>
      <c r="B16" s="798" t="s">
        <v>643</v>
      </c>
      <c r="C16" s="798">
        <v>7441.0812299999998</v>
      </c>
      <c r="D16" s="798">
        <v>0</v>
      </c>
      <c r="E16" s="798">
        <v>0</v>
      </c>
      <c r="F16" s="798">
        <v>7441.0812299999998</v>
      </c>
      <c r="G16" s="798" t="s">
        <v>433</v>
      </c>
      <c r="H16" s="798">
        <v>7330.42508</v>
      </c>
      <c r="I16" s="798">
        <v>0</v>
      </c>
      <c r="J16" s="798">
        <v>0</v>
      </c>
      <c r="K16" s="798">
        <v>7330.42508</v>
      </c>
      <c r="L16" s="22"/>
    </row>
    <row r="17" spans="1:12" ht="15" customHeight="1">
      <c r="A17" s="797" t="s">
        <v>636</v>
      </c>
      <c r="B17" s="798" t="s">
        <v>643</v>
      </c>
      <c r="C17" s="798">
        <v>7512.2934599999999</v>
      </c>
      <c r="D17" s="798">
        <v>0</v>
      </c>
      <c r="E17" s="798">
        <v>0</v>
      </c>
      <c r="F17" s="798">
        <v>7512.2934599999999</v>
      </c>
      <c r="G17" s="799" t="s">
        <v>433</v>
      </c>
      <c r="H17" s="799">
        <v>7467.44974</v>
      </c>
      <c r="I17" s="799">
        <v>0</v>
      </c>
      <c r="J17" s="799">
        <v>0</v>
      </c>
      <c r="K17" s="799">
        <v>7467.44974</v>
      </c>
      <c r="L17" s="22"/>
    </row>
    <row r="18" spans="1:12" ht="15" customHeight="1">
      <c r="A18" s="797" t="s">
        <v>644</v>
      </c>
      <c r="B18" s="798" t="s">
        <v>448</v>
      </c>
      <c r="C18" s="798">
        <v>7455.4487499999996</v>
      </c>
      <c r="D18" s="798">
        <v>0</v>
      </c>
      <c r="E18" s="798">
        <v>0</v>
      </c>
      <c r="F18" s="798">
        <v>7455.4487499999996</v>
      </c>
      <c r="G18" s="798" t="s">
        <v>527</v>
      </c>
      <c r="H18" s="798">
        <v>7256.3680299999996</v>
      </c>
      <c r="I18" s="798">
        <v>0</v>
      </c>
      <c r="J18" s="798">
        <v>0</v>
      </c>
      <c r="K18" s="798">
        <v>7256.3680299999996</v>
      </c>
      <c r="L18" s="22"/>
    </row>
    <row r="19" spans="1:12" ht="15" customHeight="1">
      <c r="A19" s="797" t="s">
        <v>645</v>
      </c>
      <c r="B19" s="798" t="s">
        <v>447</v>
      </c>
      <c r="C19" s="798">
        <v>6897.5266600000004</v>
      </c>
      <c r="D19" s="798">
        <v>0</v>
      </c>
      <c r="E19" s="798">
        <v>0</v>
      </c>
      <c r="F19" s="798">
        <v>6897.5266600000004</v>
      </c>
      <c r="G19" s="798" t="s">
        <v>527</v>
      </c>
      <c r="H19" s="798">
        <v>7257.4395400000003</v>
      </c>
      <c r="I19" s="798">
        <v>0</v>
      </c>
      <c r="J19" s="798">
        <v>0</v>
      </c>
      <c r="K19" s="798">
        <v>7257.4395400000003</v>
      </c>
      <c r="L19" s="22"/>
    </row>
    <row r="20" spans="1:12" ht="15" customHeight="1">
      <c r="A20" s="797" t="s">
        <v>646</v>
      </c>
      <c r="B20" s="798" t="s">
        <v>448</v>
      </c>
      <c r="C20" s="798">
        <v>6939.2814200000003</v>
      </c>
      <c r="D20" s="798">
        <v>0</v>
      </c>
      <c r="E20" s="798">
        <v>0</v>
      </c>
      <c r="F20" s="798">
        <v>6939.2814200000003</v>
      </c>
      <c r="G20" s="798" t="s">
        <v>433</v>
      </c>
      <c r="H20" s="798">
        <v>7241.0604300000005</v>
      </c>
      <c r="I20" s="798">
        <v>0</v>
      </c>
      <c r="J20" s="798">
        <v>0</v>
      </c>
      <c r="K20" s="798">
        <v>7241.0604300000005</v>
      </c>
      <c r="L20" s="24"/>
    </row>
    <row r="21" spans="1:12" ht="15" customHeight="1">
      <c r="A21" s="797" t="s">
        <v>647</v>
      </c>
      <c r="B21" s="798" t="s">
        <v>603</v>
      </c>
      <c r="C21" s="798">
        <v>7184.6690200000003</v>
      </c>
      <c r="D21" s="798">
        <v>0</v>
      </c>
      <c r="E21" s="798">
        <v>0</v>
      </c>
      <c r="F21" s="798">
        <v>7184.6690200000003</v>
      </c>
      <c r="G21" s="798" t="s">
        <v>602</v>
      </c>
      <c r="H21" s="798">
        <v>7123.2286700000004</v>
      </c>
      <c r="I21" s="798">
        <v>0</v>
      </c>
      <c r="J21" s="798">
        <v>0</v>
      </c>
      <c r="K21" s="798">
        <v>7123.2286700000004</v>
      </c>
      <c r="L21" s="22"/>
    </row>
    <row r="22" spans="1:12" ht="15" customHeight="1">
      <c r="A22" s="797" t="s">
        <v>648</v>
      </c>
      <c r="B22" s="798" t="s">
        <v>649</v>
      </c>
      <c r="C22" s="798">
        <v>6589.4486500000003</v>
      </c>
      <c r="D22" s="798">
        <v>0</v>
      </c>
      <c r="E22" s="798">
        <v>0</v>
      </c>
      <c r="F22" s="798">
        <v>6589.4486500000003</v>
      </c>
      <c r="G22" s="798" t="s">
        <v>650</v>
      </c>
      <c r="H22" s="798">
        <v>7306.4843000000001</v>
      </c>
      <c r="I22" s="798">
        <v>0</v>
      </c>
      <c r="J22" s="798">
        <v>0</v>
      </c>
      <c r="K22" s="798">
        <v>7306.4843000000001</v>
      </c>
      <c r="L22" s="22"/>
    </row>
    <row r="23" spans="1:12" ht="15" customHeight="1">
      <c r="A23" s="797" t="s">
        <v>651</v>
      </c>
      <c r="B23" s="798" t="s">
        <v>465</v>
      </c>
      <c r="C23" s="798">
        <v>7448.2109799999998</v>
      </c>
      <c r="D23" s="798">
        <v>0</v>
      </c>
      <c r="E23" s="798">
        <v>0</v>
      </c>
      <c r="F23" s="798">
        <v>7448.2109799999998</v>
      </c>
      <c r="G23" s="798" t="s">
        <v>584</v>
      </c>
      <c r="H23" s="798">
        <v>7345.73452</v>
      </c>
      <c r="I23" s="798">
        <v>0</v>
      </c>
      <c r="J23" s="798">
        <v>0</v>
      </c>
      <c r="K23" s="798">
        <v>7345.73452</v>
      </c>
      <c r="L23" s="22"/>
    </row>
    <row r="24" spans="1:12" ht="15" customHeight="1">
      <c r="A24" s="797" t="s">
        <v>652</v>
      </c>
      <c r="B24" s="799" t="s">
        <v>588</v>
      </c>
      <c r="C24" s="799">
        <v>7652.93642</v>
      </c>
      <c r="D24" s="799">
        <v>0</v>
      </c>
      <c r="E24" s="799">
        <v>0</v>
      </c>
      <c r="F24" s="799">
        <v>7652.93642</v>
      </c>
      <c r="G24" s="798" t="s">
        <v>527</v>
      </c>
      <c r="H24" s="798">
        <v>7427.4581699999999</v>
      </c>
      <c r="I24" s="798">
        <v>0</v>
      </c>
      <c r="J24" s="798">
        <v>0</v>
      </c>
      <c r="K24" s="798">
        <v>7427.4581699999999</v>
      </c>
      <c r="L24" s="22"/>
    </row>
    <row r="25" spans="1:12" ht="15" customHeight="1">
      <c r="A25" s="797" t="s">
        <v>653</v>
      </c>
      <c r="B25" s="798" t="s">
        <v>465</v>
      </c>
      <c r="C25" s="798">
        <v>7568.7119599999996</v>
      </c>
      <c r="D25" s="798">
        <v>0</v>
      </c>
      <c r="E25" s="798">
        <v>0</v>
      </c>
      <c r="F25" s="798">
        <v>7568.7119599999996</v>
      </c>
      <c r="G25" s="798" t="s">
        <v>654</v>
      </c>
      <c r="H25" s="798">
        <v>7356.4705700000004</v>
      </c>
      <c r="I25" s="798">
        <v>0</v>
      </c>
      <c r="J25" s="798">
        <v>0</v>
      </c>
      <c r="K25" s="798">
        <v>7356.4705700000004</v>
      </c>
      <c r="L25" s="22"/>
    </row>
    <row r="26" spans="1:12" ht="15" customHeight="1">
      <c r="A26" s="797" t="s">
        <v>655</v>
      </c>
      <c r="B26" s="798" t="s">
        <v>448</v>
      </c>
      <c r="C26" s="798">
        <v>7557.7916400000004</v>
      </c>
      <c r="D26" s="798">
        <v>0</v>
      </c>
      <c r="E26" s="798">
        <v>0</v>
      </c>
      <c r="F26" s="798">
        <v>7557.7916400000004</v>
      </c>
      <c r="G26" s="798" t="s">
        <v>584</v>
      </c>
      <c r="H26" s="798">
        <v>7373.73308</v>
      </c>
      <c r="I26" s="798">
        <v>0</v>
      </c>
      <c r="J26" s="798">
        <v>0</v>
      </c>
      <c r="K26" s="798">
        <v>7373.73308</v>
      </c>
      <c r="L26" s="22"/>
    </row>
    <row r="27" spans="1:12" ht="15" customHeight="1">
      <c r="A27" s="797" t="s">
        <v>656</v>
      </c>
      <c r="B27" s="798" t="s">
        <v>643</v>
      </c>
      <c r="C27" s="798">
        <v>7477.6237600000004</v>
      </c>
      <c r="D27" s="798">
        <v>0</v>
      </c>
      <c r="E27" s="798">
        <v>0</v>
      </c>
      <c r="F27" s="798">
        <v>7477.6237600000004</v>
      </c>
      <c r="G27" s="798" t="s">
        <v>433</v>
      </c>
      <c r="H27" s="798">
        <v>7317.9803899999997</v>
      </c>
      <c r="I27" s="798">
        <v>0</v>
      </c>
      <c r="J27" s="798">
        <v>0</v>
      </c>
      <c r="K27" s="798">
        <v>7317.9803899999997</v>
      </c>
      <c r="L27" s="22"/>
    </row>
    <row r="28" spans="1:12" ht="15" customHeight="1">
      <c r="A28" s="797" t="s">
        <v>657</v>
      </c>
      <c r="B28" s="798" t="s">
        <v>465</v>
      </c>
      <c r="C28" s="798">
        <v>7501.2739600000004</v>
      </c>
      <c r="D28" s="798">
        <v>0</v>
      </c>
      <c r="E28" s="798">
        <v>0</v>
      </c>
      <c r="F28" s="798">
        <v>7501.2739600000004</v>
      </c>
      <c r="G28" s="798" t="s">
        <v>602</v>
      </c>
      <c r="H28" s="798">
        <v>7228.1447900000003</v>
      </c>
      <c r="I28" s="798">
        <v>0</v>
      </c>
      <c r="J28" s="798">
        <v>0</v>
      </c>
      <c r="K28" s="798">
        <v>7228.1447900000003</v>
      </c>
      <c r="L28" s="22"/>
    </row>
    <row r="29" spans="1:12" ht="15" customHeight="1">
      <c r="A29" s="797" t="s">
        <v>658</v>
      </c>
      <c r="B29" s="798" t="s">
        <v>659</v>
      </c>
      <c r="C29" s="798">
        <v>6749.3376200000002</v>
      </c>
      <c r="D29" s="798">
        <v>0</v>
      </c>
      <c r="E29" s="798">
        <v>0</v>
      </c>
      <c r="F29" s="798">
        <v>6749.3376200000002</v>
      </c>
      <c r="G29" s="798" t="s">
        <v>650</v>
      </c>
      <c r="H29" s="798">
        <v>7271.5924400000004</v>
      </c>
      <c r="I29" s="798">
        <v>0</v>
      </c>
      <c r="J29" s="798">
        <v>0</v>
      </c>
      <c r="K29" s="798">
        <v>7271.5924400000004</v>
      </c>
      <c r="L29" s="22"/>
    </row>
    <row r="30" spans="1:12" ht="15" customHeight="1">
      <c r="A30" s="797" t="s">
        <v>660</v>
      </c>
      <c r="B30" s="798" t="s">
        <v>448</v>
      </c>
      <c r="C30" s="798">
        <v>7609.3498300000001</v>
      </c>
      <c r="D30" s="798">
        <v>0</v>
      </c>
      <c r="E30" s="798">
        <v>0</v>
      </c>
      <c r="F30" s="798">
        <v>7609.3498300000001</v>
      </c>
      <c r="G30" s="798" t="s">
        <v>433</v>
      </c>
      <c r="H30" s="798">
        <v>7331.3432700000003</v>
      </c>
      <c r="I30" s="798">
        <v>0</v>
      </c>
      <c r="J30" s="798">
        <v>0</v>
      </c>
      <c r="K30" s="798">
        <v>7331.3432700000003</v>
      </c>
      <c r="L30" s="22"/>
    </row>
    <row r="31" spans="1:12" ht="15" customHeight="1">
      <c r="A31" s="797" t="s">
        <v>661</v>
      </c>
      <c r="B31" s="798" t="s">
        <v>588</v>
      </c>
      <c r="C31" s="798">
        <v>7589.71281</v>
      </c>
      <c r="D31" s="798">
        <v>0</v>
      </c>
      <c r="E31" s="798">
        <v>0</v>
      </c>
      <c r="F31" s="798">
        <v>7589.71281</v>
      </c>
      <c r="G31" s="798" t="s">
        <v>433</v>
      </c>
      <c r="H31" s="798">
        <v>7332.3355199999996</v>
      </c>
      <c r="I31" s="798">
        <v>0</v>
      </c>
      <c r="J31" s="798">
        <v>0</v>
      </c>
      <c r="K31" s="798">
        <v>7332.3355199999996</v>
      </c>
      <c r="L31" s="30"/>
    </row>
    <row r="32" spans="1:12" ht="15" customHeight="1">
      <c r="A32" s="797" t="s">
        <v>662</v>
      </c>
      <c r="B32" s="798" t="s">
        <v>448</v>
      </c>
      <c r="C32" s="798">
        <v>7602.6125099999999</v>
      </c>
      <c r="D32" s="798">
        <v>0</v>
      </c>
      <c r="E32" s="798">
        <v>0</v>
      </c>
      <c r="F32" s="798">
        <v>7602.6125099999999</v>
      </c>
      <c r="G32" s="798" t="s">
        <v>650</v>
      </c>
      <c r="H32" s="798">
        <v>7394.0830299999998</v>
      </c>
      <c r="I32" s="798">
        <v>0</v>
      </c>
      <c r="J32" s="798">
        <v>0</v>
      </c>
      <c r="K32" s="798">
        <v>7394.0830299999998</v>
      </c>
      <c r="L32" s="22"/>
    </row>
    <row r="33" spans="1:12" ht="15" customHeight="1">
      <c r="A33" s="797" t="s">
        <v>663</v>
      </c>
      <c r="B33" s="798" t="s">
        <v>589</v>
      </c>
      <c r="C33" s="798">
        <v>7550.0131899999997</v>
      </c>
      <c r="D33" s="798">
        <v>0</v>
      </c>
      <c r="E33" s="798">
        <v>0</v>
      </c>
      <c r="F33" s="798">
        <v>7550.0131899999997</v>
      </c>
      <c r="G33" s="798" t="s">
        <v>650</v>
      </c>
      <c r="H33" s="798">
        <v>7334.7934500000001</v>
      </c>
      <c r="I33" s="798">
        <v>0</v>
      </c>
      <c r="J33" s="798">
        <v>0</v>
      </c>
      <c r="K33" s="798">
        <v>7334.7934500000001</v>
      </c>
      <c r="L33" s="22"/>
    </row>
    <row r="34" spans="1:12" ht="15" customHeight="1">
      <c r="A34" s="797" t="s">
        <v>664</v>
      </c>
      <c r="B34" s="798" t="s">
        <v>448</v>
      </c>
      <c r="C34" s="798">
        <v>7515.06693</v>
      </c>
      <c r="D34" s="798">
        <v>0</v>
      </c>
      <c r="E34" s="798">
        <v>0</v>
      </c>
      <c r="F34" s="798">
        <v>7515.06693</v>
      </c>
      <c r="G34" s="798" t="s">
        <v>433</v>
      </c>
      <c r="H34" s="798">
        <v>7256.1693599999999</v>
      </c>
      <c r="I34" s="798">
        <v>0</v>
      </c>
      <c r="J34" s="798">
        <v>0</v>
      </c>
      <c r="K34" s="798">
        <v>7256.1693599999999</v>
      </c>
      <c r="L34" s="15"/>
    </row>
    <row r="35" spans="1:12" ht="15" customHeight="1">
      <c r="A35" s="797" t="s">
        <v>665</v>
      </c>
      <c r="B35" s="798" t="s">
        <v>465</v>
      </c>
      <c r="C35" s="798">
        <v>6889.0870299999997</v>
      </c>
      <c r="D35" s="798">
        <v>0</v>
      </c>
      <c r="E35" s="798">
        <v>0</v>
      </c>
      <c r="F35" s="798">
        <v>6889.0870299999997</v>
      </c>
      <c r="G35" s="798" t="s">
        <v>584</v>
      </c>
      <c r="H35" s="798">
        <v>6998.2186899999997</v>
      </c>
      <c r="I35" s="798">
        <v>0</v>
      </c>
      <c r="J35" s="798">
        <v>0</v>
      </c>
      <c r="K35" s="798">
        <v>6998.2186899999997</v>
      </c>
      <c r="L35" s="16"/>
    </row>
    <row r="36" spans="1:12" ht="15" customHeight="1">
      <c r="A36" s="797" t="s">
        <v>666</v>
      </c>
      <c r="B36" s="798" t="s">
        <v>649</v>
      </c>
      <c r="C36" s="798">
        <v>6252.3991500000002</v>
      </c>
      <c r="D36" s="798">
        <v>0</v>
      </c>
      <c r="E36" s="798">
        <v>0</v>
      </c>
      <c r="F36" s="798">
        <v>6252.3991500000002</v>
      </c>
      <c r="G36" s="798" t="s">
        <v>650</v>
      </c>
      <c r="H36" s="798">
        <v>6772.7426699999996</v>
      </c>
      <c r="I36" s="798">
        <v>0</v>
      </c>
      <c r="J36" s="798">
        <v>0</v>
      </c>
      <c r="K36" s="798">
        <v>6772.7426699999996</v>
      </c>
      <c r="L36" s="15"/>
    </row>
    <row r="37" spans="1:12" ht="15" customHeight="1">
      <c r="A37" s="797" t="s">
        <v>667</v>
      </c>
      <c r="B37" s="798" t="s">
        <v>589</v>
      </c>
      <c r="C37" s="798">
        <v>7309.4740099999999</v>
      </c>
      <c r="D37" s="798">
        <v>0</v>
      </c>
      <c r="E37" s="798">
        <v>0</v>
      </c>
      <c r="F37" s="798">
        <v>7309.4740099999999</v>
      </c>
      <c r="G37" s="798" t="s">
        <v>527</v>
      </c>
      <c r="H37" s="798">
        <v>7283.8631699999996</v>
      </c>
      <c r="I37" s="798">
        <v>0</v>
      </c>
      <c r="J37" s="798">
        <v>0</v>
      </c>
      <c r="K37" s="798">
        <v>7283.8631699999996</v>
      </c>
      <c r="L37" s="15"/>
    </row>
    <row r="38" spans="1:12" ht="15" customHeight="1">
      <c r="A38" s="797" t="s">
        <v>668</v>
      </c>
      <c r="B38" s="798" t="s">
        <v>465</v>
      </c>
      <c r="C38" s="798">
        <v>7374.2418600000001</v>
      </c>
      <c r="D38" s="798">
        <v>0</v>
      </c>
      <c r="E38" s="798">
        <v>0</v>
      </c>
      <c r="F38" s="798">
        <v>7374.2418600000001</v>
      </c>
      <c r="G38" s="798" t="s">
        <v>527</v>
      </c>
      <c r="H38" s="798">
        <v>7310.0961600000001</v>
      </c>
      <c r="I38" s="798">
        <v>0</v>
      </c>
      <c r="J38" s="798">
        <v>0</v>
      </c>
      <c r="K38" s="798">
        <v>7310.0961600000001</v>
      </c>
      <c r="L38" s="15"/>
    </row>
    <row r="39" spans="1:12" ht="15" customHeight="1">
      <c r="A39" s="797" t="s">
        <v>669</v>
      </c>
      <c r="B39" s="798" t="s">
        <v>670</v>
      </c>
      <c r="C39" s="798">
        <v>7502.2036500000004</v>
      </c>
      <c r="D39" s="798">
        <v>0</v>
      </c>
      <c r="E39" s="798">
        <v>0</v>
      </c>
      <c r="F39" s="798">
        <v>7502.2036500000004</v>
      </c>
      <c r="G39" s="798" t="s">
        <v>584</v>
      </c>
      <c r="H39" s="798">
        <v>7345.1586299999999</v>
      </c>
      <c r="I39" s="798">
        <v>0</v>
      </c>
      <c r="J39" s="798">
        <v>0</v>
      </c>
      <c r="K39" s="798">
        <v>7345.1586299999999</v>
      </c>
      <c r="L39" s="15"/>
    </row>
    <row r="40" spans="1:12" ht="15" customHeight="1">
      <c r="A40" s="797" t="s">
        <v>671</v>
      </c>
      <c r="B40" s="798" t="s">
        <v>588</v>
      </c>
      <c r="C40" s="798">
        <v>7396.7064399999999</v>
      </c>
      <c r="D40" s="798">
        <v>0</v>
      </c>
      <c r="E40" s="798">
        <v>0</v>
      </c>
      <c r="F40" s="798">
        <v>7396.7064399999999</v>
      </c>
      <c r="G40" s="798" t="s">
        <v>527</v>
      </c>
      <c r="H40" s="798">
        <v>7313.5286699999997</v>
      </c>
      <c r="I40" s="798">
        <v>0</v>
      </c>
      <c r="J40" s="798">
        <v>0</v>
      </c>
      <c r="K40" s="798">
        <v>7313.5286699999997</v>
      </c>
    </row>
    <row r="41" spans="1:12" ht="15" customHeight="1">
      <c r="A41" s="797" t="s">
        <v>672</v>
      </c>
      <c r="B41" s="798" t="s">
        <v>447</v>
      </c>
      <c r="C41" s="798">
        <v>7358.7560299999996</v>
      </c>
      <c r="D41" s="798">
        <v>0</v>
      </c>
      <c r="E41" s="798">
        <v>0</v>
      </c>
      <c r="F41" s="798">
        <v>7358.7560299999996</v>
      </c>
      <c r="G41" s="798" t="s">
        <v>527</v>
      </c>
      <c r="H41" s="798">
        <v>7177.0237699999998</v>
      </c>
      <c r="I41" s="798">
        <v>0</v>
      </c>
      <c r="J41" s="798">
        <v>0</v>
      </c>
      <c r="K41" s="798">
        <v>7177.0237699999998</v>
      </c>
    </row>
    <row r="42" spans="1:12" ht="12">
      <c r="A42" s="797" t="s">
        <v>673</v>
      </c>
      <c r="B42" s="798" t="s">
        <v>448</v>
      </c>
      <c r="C42" s="798">
        <v>6871.4744499999997</v>
      </c>
      <c r="D42" s="798">
        <v>0</v>
      </c>
      <c r="E42" s="798">
        <v>0</v>
      </c>
      <c r="F42" s="798">
        <v>6871.4744499999997</v>
      </c>
      <c r="G42" s="798" t="s">
        <v>527</v>
      </c>
      <c r="H42" s="798">
        <v>6928.5832899999996</v>
      </c>
      <c r="I42" s="798">
        <v>0</v>
      </c>
      <c r="J42" s="798">
        <v>0</v>
      </c>
      <c r="K42" s="798">
        <v>6928.5832899999996</v>
      </c>
    </row>
    <row r="43" spans="1:12" ht="13.2">
      <c r="A43" s="196"/>
      <c r="B43" s="111"/>
      <c r="C43" s="111"/>
      <c r="D43" s="111"/>
      <c r="E43" s="111"/>
      <c r="F43" s="111"/>
      <c r="G43" s="111"/>
      <c r="H43" s="111"/>
      <c r="I43" s="111"/>
      <c r="J43" s="111"/>
      <c r="K43" s="198"/>
    </row>
    <row r="44" spans="1:12" ht="12">
      <c r="A44" s="804"/>
      <c r="B44" s="111" t="s">
        <v>629</v>
      </c>
      <c r="C44" s="111"/>
      <c r="D44" s="111"/>
      <c r="E44" s="111"/>
      <c r="F44" s="111"/>
      <c r="G44" s="111"/>
      <c r="H44" s="111"/>
      <c r="I44" s="111"/>
      <c r="J44" s="111"/>
      <c r="K44" s="198"/>
    </row>
    <row r="45" spans="1:12" ht="13.2">
      <c r="A45" s="196"/>
      <c r="B45" s="111"/>
      <c r="C45" s="111"/>
      <c r="D45" s="111"/>
      <c r="E45" s="111"/>
      <c r="F45" s="111"/>
      <c r="G45" s="111"/>
      <c r="H45" s="111"/>
      <c r="I45" s="111"/>
      <c r="J45" s="111"/>
      <c r="K45" s="198"/>
    </row>
    <row r="46" spans="1:12" ht="13.2">
      <c r="A46" s="196"/>
      <c r="B46" s="111"/>
      <c r="C46" s="111"/>
      <c r="D46" s="111"/>
      <c r="E46" s="111"/>
      <c r="F46" s="111"/>
      <c r="G46" s="111"/>
      <c r="H46" s="111"/>
      <c r="I46" s="111"/>
      <c r="J46" s="111"/>
      <c r="K46" s="198"/>
    </row>
    <row r="47" spans="1:12" ht="13.2">
      <c r="A47" s="196"/>
      <c r="B47" s="111"/>
      <c r="C47" s="111"/>
      <c r="D47" s="111"/>
      <c r="E47" s="111"/>
      <c r="F47" s="111"/>
      <c r="G47" s="111"/>
      <c r="H47" s="111"/>
      <c r="I47" s="111"/>
      <c r="J47" s="111"/>
      <c r="K47" s="198"/>
    </row>
    <row r="48" spans="1:12" ht="13.2">
      <c r="A48" s="196"/>
      <c r="B48" s="197"/>
      <c r="C48" s="197"/>
      <c r="D48" s="197"/>
      <c r="E48" s="197"/>
      <c r="F48" s="197"/>
      <c r="G48" s="197"/>
      <c r="H48" s="197"/>
      <c r="I48" s="197"/>
      <c r="J48" s="197"/>
      <c r="K48" s="198"/>
    </row>
    <row r="49" spans="1:11" ht="13.2">
      <c r="A49" s="196"/>
      <c r="B49" s="197"/>
      <c r="C49" s="197"/>
      <c r="D49" s="197"/>
      <c r="E49" s="197"/>
      <c r="F49" s="197"/>
      <c r="G49" s="197"/>
      <c r="H49" s="197"/>
      <c r="I49" s="197"/>
      <c r="J49" s="197"/>
      <c r="K49" s="198"/>
    </row>
    <row r="50" spans="1:11" ht="13.2">
      <c r="A50" s="196"/>
      <c r="B50" s="200"/>
      <c r="C50" s="198"/>
      <c r="D50" s="198"/>
      <c r="E50" s="198"/>
      <c r="F50" s="198"/>
      <c r="G50" s="197"/>
      <c r="H50" s="197"/>
      <c r="I50" s="197"/>
      <c r="J50" s="197"/>
      <c r="K50" s="198"/>
    </row>
    <row r="51" spans="1:11" ht="13.2">
      <c r="A51" s="201"/>
      <c r="B51" s="202"/>
      <c r="C51" s="202"/>
      <c r="D51" s="202"/>
      <c r="E51" s="202"/>
      <c r="F51" s="202"/>
      <c r="G51" s="202"/>
      <c r="H51" s="197"/>
      <c r="I51" s="197"/>
      <c r="J51" s="197"/>
      <c r="K51" s="198"/>
    </row>
    <row r="52" spans="1:11" ht="13.2">
      <c r="A52" s="201"/>
      <c r="B52" s="202"/>
      <c r="C52" s="202"/>
      <c r="D52" s="202"/>
      <c r="E52" s="202"/>
      <c r="F52" s="202"/>
      <c r="G52" s="202"/>
      <c r="H52" s="197"/>
      <c r="I52" s="197"/>
      <c r="J52" s="197"/>
      <c r="K52" s="197"/>
    </row>
    <row r="53" spans="1:11" ht="13.2">
      <c r="A53" s="201"/>
      <c r="B53" s="202"/>
      <c r="C53" s="202"/>
      <c r="D53" s="202"/>
      <c r="E53" s="202"/>
      <c r="F53" s="202"/>
      <c r="G53" s="202"/>
      <c r="H53" s="197"/>
      <c r="I53" s="197"/>
      <c r="J53" s="197"/>
      <c r="K53" s="197"/>
    </row>
  </sheetData>
  <mergeCells count="3">
    <mergeCell ref="A9:A11"/>
    <mergeCell ref="B9:F9"/>
    <mergeCell ref="G9:K9"/>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160" zoomScaleNormal="100" zoomScaleSheetLayoutView="160" zoomScalePageLayoutView="150" workbookViewId="0">
      <selection activeCell="K58" sqref="K58"/>
    </sheetView>
  </sheetViews>
  <sheetFormatPr baseColWidth="10" defaultColWidth="9.28515625" defaultRowHeight="9.6"/>
  <cols>
    <col min="1" max="1" width="15.28515625" style="560" customWidth="1"/>
    <col min="2" max="2" width="17.7109375" style="560" customWidth="1"/>
    <col min="3" max="3" width="12.85546875" style="560" bestFit="1" customWidth="1"/>
    <col min="4" max="4" width="56" style="560" customWidth="1"/>
    <col min="5" max="5" width="12.28515625" style="560" customWidth="1"/>
    <col min="6" max="6" width="10.42578125" style="560" customWidth="1"/>
    <col min="7" max="8" width="9.28515625" style="560" customWidth="1"/>
    <col min="9" max="16384" width="9.28515625" style="560"/>
  </cols>
  <sheetData>
    <row r="1" spans="1:9" ht="11.25" customHeight="1">
      <c r="A1" s="558" t="s">
        <v>355</v>
      </c>
      <c r="B1" s="559"/>
      <c r="C1" s="559"/>
      <c r="D1" s="559"/>
      <c r="E1" s="559"/>
      <c r="F1" s="559"/>
    </row>
    <row r="2" spans="1:9" ht="30" customHeight="1">
      <c r="A2" s="561" t="s">
        <v>244</v>
      </c>
      <c r="B2" s="562" t="s">
        <v>356</v>
      </c>
      <c r="C2" s="561" t="s">
        <v>345</v>
      </c>
      <c r="D2" s="563" t="s">
        <v>357</v>
      </c>
      <c r="E2" s="564" t="s">
        <v>358</v>
      </c>
      <c r="F2" s="564" t="s">
        <v>359</v>
      </c>
      <c r="G2" s="565"/>
      <c r="H2" s="566"/>
      <c r="I2" s="567"/>
    </row>
    <row r="3" spans="1:9" ht="63" customHeight="1">
      <c r="A3" s="570" t="s">
        <v>555</v>
      </c>
      <c r="B3" s="570" t="s">
        <v>676</v>
      </c>
      <c r="C3" s="568">
        <v>44897.520833333336</v>
      </c>
      <c r="D3" s="569" t="s">
        <v>677</v>
      </c>
      <c r="E3" s="570">
        <v>40.5</v>
      </c>
      <c r="F3" s="570"/>
      <c r="H3" s="565"/>
      <c r="I3" s="567"/>
    </row>
    <row r="4" spans="1:9" ht="61.95" customHeight="1">
      <c r="A4" s="570" t="s">
        <v>591</v>
      </c>
      <c r="B4" s="570" t="s">
        <v>678</v>
      </c>
      <c r="C4" s="568">
        <v>44900.604166666664</v>
      </c>
      <c r="D4" s="569" t="s">
        <v>679</v>
      </c>
      <c r="E4" s="570">
        <v>6.28</v>
      </c>
      <c r="F4" s="570"/>
      <c r="G4" s="571"/>
      <c r="H4" s="571"/>
      <c r="I4" s="572"/>
    </row>
    <row r="5" spans="1:9" ht="122.4" customHeight="1">
      <c r="A5" s="570" t="s">
        <v>680</v>
      </c>
      <c r="B5" s="570" t="s">
        <v>681</v>
      </c>
      <c r="C5" s="568">
        <v>44900.623611111114</v>
      </c>
      <c r="D5" s="569" t="s">
        <v>682</v>
      </c>
      <c r="E5" s="570">
        <v>19.559999999999999</v>
      </c>
      <c r="F5" s="570"/>
      <c r="G5" s="571"/>
      <c r="H5" s="571"/>
      <c r="I5" s="573"/>
    </row>
    <row r="6" spans="1:9" ht="60" customHeight="1">
      <c r="A6" s="570" t="s">
        <v>683</v>
      </c>
      <c r="B6" s="570" t="s">
        <v>684</v>
      </c>
      <c r="C6" s="568">
        <v>44900.657638888886</v>
      </c>
      <c r="D6" s="569" t="s">
        <v>685</v>
      </c>
      <c r="E6" s="570">
        <v>14.5</v>
      </c>
      <c r="F6" s="570"/>
      <c r="G6" s="571"/>
      <c r="H6" s="571"/>
      <c r="I6" s="574"/>
    </row>
    <row r="7" spans="1:9" ht="57" customHeight="1">
      <c r="A7" s="570" t="s">
        <v>683</v>
      </c>
      <c r="B7" s="570" t="s">
        <v>684</v>
      </c>
      <c r="C7" s="568">
        <v>44900.681944444441</v>
      </c>
      <c r="D7" s="569" t="s">
        <v>686</v>
      </c>
      <c r="E7" s="570">
        <v>11.6</v>
      </c>
      <c r="F7" s="570"/>
      <c r="G7" s="571"/>
      <c r="H7" s="571"/>
      <c r="I7" s="575"/>
    </row>
    <row r="8" spans="1:9" ht="49.2" customHeight="1">
      <c r="A8" s="570" t="s">
        <v>451</v>
      </c>
      <c r="B8" s="570" t="s">
        <v>687</v>
      </c>
      <c r="C8" s="568">
        <v>44900.95208333333</v>
      </c>
      <c r="D8" s="569" t="s">
        <v>688</v>
      </c>
      <c r="E8" s="570">
        <v>14.5</v>
      </c>
      <c r="F8" s="570"/>
      <c r="G8" s="571"/>
      <c r="H8" s="571"/>
      <c r="I8" s="574"/>
    </row>
    <row r="9" spans="1:9" ht="57.6" customHeight="1">
      <c r="A9" s="570" t="s">
        <v>689</v>
      </c>
      <c r="B9" s="570" t="s">
        <v>690</v>
      </c>
      <c r="C9" s="568">
        <v>44901.135416666664</v>
      </c>
      <c r="D9" s="569" t="s">
        <v>691</v>
      </c>
      <c r="E9" s="576"/>
      <c r="F9" s="576">
        <v>23.1</v>
      </c>
      <c r="G9" s="571"/>
      <c r="H9" s="571"/>
      <c r="I9" s="574"/>
    </row>
    <row r="10" spans="1:9" ht="56.4" customHeight="1">
      <c r="A10" s="570" t="s">
        <v>235</v>
      </c>
      <c r="B10" s="570" t="s">
        <v>692</v>
      </c>
      <c r="C10" s="568">
        <v>44901.781944444447</v>
      </c>
      <c r="D10" s="569" t="s">
        <v>693</v>
      </c>
      <c r="E10" s="576">
        <v>0.83</v>
      </c>
      <c r="F10" s="576"/>
      <c r="G10" s="571"/>
      <c r="H10" s="571"/>
      <c r="I10" s="574"/>
    </row>
    <row r="11" spans="1:9" ht="47.4" customHeight="1">
      <c r="A11" s="570" t="s">
        <v>608</v>
      </c>
      <c r="B11" s="570" t="s">
        <v>694</v>
      </c>
      <c r="C11" s="568">
        <v>44902.563888888886</v>
      </c>
      <c r="D11" s="569" t="s">
        <v>695</v>
      </c>
      <c r="E11" s="576">
        <v>14.02</v>
      </c>
      <c r="F11" s="576"/>
      <c r="G11" s="571"/>
      <c r="H11" s="571"/>
      <c r="I11" s="574"/>
    </row>
    <row r="12" spans="1:9" ht="55.8" customHeight="1">
      <c r="A12" s="764" t="s">
        <v>100</v>
      </c>
      <c r="B12" s="764" t="s">
        <v>590</v>
      </c>
      <c r="C12" s="765">
        <v>44904.284722222219</v>
      </c>
      <c r="D12" s="766" t="s">
        <v>696</v>
      </c>
      <c r="E12" s="767">
        <v>0.9</v>
      </c>
      <c r="F12" s="767"/>
    </row>
    <row r="13" spans="1:9" ht="66.599999999999994" customHeight="1">
      <c r="A13" s="570" t="s">
        <v>451</v>
      </c>
      <c r="B13" s="570" t="s">
        <v>697</v>
      </c>
      <c r="C13" s="568">
        <v>44905.53402777778</v>
      </c>
      <c r="D13" s="569" t="s">
        <v>698</v>
      </c>
      <c r="E13" s="576">
        <v>8.9</v>
      </c>
      <c r="F13" s="576"/>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sheetData>
  <pageMargins left="0.4365" right="0.33950000000000002" top="0.88916666666666666"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145" zoomScaleNormal="100" zoomScaleSheetLayoutView="145" zoomScalePageLayoutView="145" workbookViewId="0">
      <selection activeCell="K58" sqref="K58"/>
    </sheetView>
  </sheetViews>
  <sheetFormatPr baseColWidth="10" defaultColWidth="9.28515625" defaultRowHeight="9.6"/>
  <cols>
    <col min="1" max="1" width="16.140625" style="560" customWidth="1"/>
    <col min="2" max="2" width="19.7109375" style="560" customWidth="1"/>
    <col min="3" max="3" width="12.85546875" style="560" bestFit="1" customWidth="1"/>
    <col min="4" max="4" width="51.28515625" style="560" customWidth="1"/>
    <col min="5" max="5" width="12.140625" style="560" customWidth="1"/>
    <col min="6" max="6" width="11.85546875" style="560" customWidth="1"/>
    <col min="7" max="8" width="9.28515625" style="560" customWidth="1"/>
    <col min="9" max="16384" width="9.28515625" style="560"/>
  </cols>
  <sheetData>
    <row r="1" spans="1:9" ht="11.25" customHeight="1">
      <c r="A1" s="558" t="s">
        <v>355</v>
      </c>
      <c r="B1" s="559"/>
      <c r="C1" s="559"/>
      <c r="D1" s="559"/>
      <c r="E1" s="559"/>
      <c r="F1" s="559"/>
    </row>
    <row r="2" spans="1:9" ht="30" customHeight="1">
      <c r="A2" s="561" t="s">
        <v>244</v>
      </c>
      <c r="B2" s="562" t="s">
        <v>356</v>
      </c>
      <c r="C2" s="561" t="s">
        <v>345</v>
      </c>
      <c r="D2" s="563"/>
      <c r="E2" s="564" t="s">
        <v>358</v>
      </c>
      <c r="F2" s="564" t="s">
        <v>359</v>
      </c>
      <c r="G2" s="565"/>
      <c r="H2" s="566"/>
      <c r="I2" s="567"/>
    </row>
    <row r="3" spans="1:9" ht="65.400000000000006" customHeight="1">
      <c r="A3" s="570" t="s">
        <v>699</v>
      </c>
      <c r="B3" s="570" t="s">
        <v>700</v>
      </c>
      <c r="C3" s="568">
        <v>44905.669444444444</v>
      </c>
      <c r="D3" s="569" t="s">
        <v>701</v>
      </c>
      <c r="E3" s="570">
        <v>12.85</v>
      </c>
      <c r="F3" s="570"/>
      <c r="G3" s="571"/>
      <c r="H3" s="571"/>
      <c r="I3" s="575"/>
    </row>
    <row r="4" spans="1:9" ht="43.8" customHeight="1">
      <c r="A4" s="570" t="s">
        <v>702</v>
      </c>
      <c r="B4" s="570" t="s">
        <v>703</v>
      </c>
      <c r="C4" s="568">
        <v>44906.468055555553</v>
      </c>
      <c r="D4" s="569" t="s">
        <v>704</v>
      </c>
      <c r="E4" s="570">
        <v>1.3</v>
      </c>
      <c r="F4" s="570"/>
      <c r="G4" s="571"/>
      <c r="H4" s="571"/>
      <c r="I4" s="575"/>
    </row>
    <row r="5" spans="1:9" ht="46.2" customHeight="1">
      <c r="A5" s="570" t="s">
        <v>680</v>
      </c>
      <c r="B5" s="570" t="s">
        <v>705</v>
      </c>
      <c r="C5" s="568">
        <v>44909.145833333336</v>
      </c>
      <c r="D5" s="569" t="s">
        <v>706</v>
      </c>
      <c r="E5" s="570">
        <v>1</v>
      </c>
      <c r="F5" s="570"/>
      <c r="G5" s="571"/>
      <c r="H5" s="571"/>
      <c r="I5" s="575"/>
    </row>
    <row r="6" spans="1:9" ht="58.2" customHeight="1">
      <c r="A6" s="570" t="s">
        <v>582</v>
      </c>
      <c r="B6" s="570" t="s">
        <v>619</v>
      </c>
      <c r="C6" s="568">
        <v>44909.692361111112</v>
      </c>
      <c r="D6" s="569" t="s">
        <v>707</v>
      </c>
      <c r="E6" s="570">
        <v>12.86</v>
      </c>
      <c r="F6" s="570"/>
      <c r="G6" s="571"/>
      <c r="H6" s="571"/>
      <c r="I6" s="575"/>
    </row>
    <row r="7" spans="1:9" ht="112.8" customHeight="1">
      <c r="A7" s="570" t="s">
        <v>582</v>
      </c>
      <c r="B7" s="570" t="s">
        <v>708</v>
      </c>
      <c r="C7" s="568">
        <v>44911.131249999999</v>
      </c>
      <c r="D7" s="569" t="s">
        <v>709</v>
      </c>
      <c r="E7" s="570">
        <v>12.4</v>
      </c>
      <c r="F7" s="570"/>
      <c r="G7" s="571"/>
      <c r="H7" s="571"/>
      <c r="I7" s="575"/>
    </row>
    <row r="8" spans="1:9" ht="66" customHeight="1">
      <c r="A8" s="570" t="s">
        <v>451</v>
      </c>
      <c r="B8" s="570" t="s">
        <v>618</v>
      </c>
      <c r="C8" s="568">
        <v>44915.270138888889</v>
      </c>
      <c r="D8" s="569" t="s">
        <v>710</v>
      </c>
      <c r="E8" s="570">
        <v>39.799999999999997</v>
      </c>
      <c r="F8" s="570"/>
    </row>
    <row r="9" spans="1:9" ht="48.6" customHeight="1">
      <c r="A9" s="570" t="s">
        <v>451</v>
      </c>
      <c r="B9" s="570" t="s">
        <v>711</v>
      </c>
      <c r="C9" s="568">
        <v>44915.286111111112</v>
      </c>
      <c r="D9" s="569" t="s">
        <v>712</v>
      </c>
      <c r="E9" s="570">
        <v>9.6</v>
      </c>
      <c r="F9" s="570"/>
    </row>
    <row r="10" spans="1:9" ht="66" customHeight="1">
      <c r="A10" s="570" t="s">
        <v>451</v>
      </c>
      <c r="B10" s="570" t="s">
        <v>697</v>
      </c>
      <c r="C10" s="568">
        <v>44916.70416666667</v>
      </c>
      <c r="D10" s="569" t="s">
        <v>713</v>
      </c>
      <c r="E10" s="570">
        <v>7.23</v>
      </c>
      <c r="F10" s="570"/>
    </row>
    <row r="11" spans="1:9" ht="55.8" customHeight="1">
      <c r="A11" s="570" t="s">
        <v>585</v>
      </c>
      <c r="B11" s="570" t="s">
        <v>592</v>
      </c>
      <c r="C11" s="568">
        <v>44917.527777777781</v>
      </c>
      <c r="D11" s="569" t="s">
        <v>714</v>
      </c>
      <c r="E11" s="570">
        <v>12.3</v>
      </c>
      <c r="F11" s="570"/>
    </row>
    <row r="12" spans="1:9" ht="60" customHeight="1">
      <c r="A12" s="570" t="s">
        <v>689</v>
      </c>
      <c r="B12" s="570" t="s">
        <v>715</v>
      </c>
      <c r="C12" s="568">
        <v>44917.743750000001</v>
      </c>
      <c r="D12" s="569" t="s">
        <v>716</v>
      </c>
      <c r="E12" s="570">
        <v>10.8</v>
      </c>
      <c r="F12" s="570"/>
    </row>
    <row r="13" spans="1:9" ht="64.8" customHeight="1">
      <c r="A13" s="570" t="s">
        <v>582</v>
      </c>
      <c r="B13" s="570" t="s">
        <v>604</v>
      </c>
      <c r="C13" s="568">
        <v>44918.512499999997</v>
      </c>
      <c r="D13" s="569" t="s">
        <v>717</v>
      </c>
      <c r="E13" s="570">
        <v>32.869999999999997</v>
      </c>
      <c r="F13" s="570"/>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50"/>
  <sheetViews>
    <sheetView showGridLines="0" view="pageBreakPreview" topLeftCell="A3" zoomScale="160" zoomScaleNormal="100" zoomScaleSheetLayoutView="160" zoomScalePageLayoutView="145" workbookViewId="0">
      <selection activeCell="K58" sqref="K58"/>
    </sheetView>
  </sheetViews>
  <sheetFormatPr baseColWidth="10" defaultColWidth="9.28515625" defaultRowHeight="9.6"/>
  <cols>
    <col min="1" max="1" width="16.140625" style="560" customWidth="1"/>
    <col min="2" max="2" width="19.7109375" style="560" customWidth="1"/>
    <col min="3" max="3" width="12.85546875" style="560" bestFit="1" customWidth="1"/>
    <col min="4" max="4" width="51.28515625" style="560" customWidth="1"/>
    <col min="5" max="5" width="12.140625" style="560" customWidth="1"/>
    <col min="6" max="6" width="12" style="560" customWidth="1"/>
    <col min="7" max="8" width="9.28515625" style="560" customWidth="1"/>
    <col min="9" max="16384" width="9.28515625" style="560"/>
  </cols>
  <sheetData>
    <row r="1" spans="1:9" ht="11.25" customHeight="1">
      <c r="A1" s="558" t="s">
        <v>355</v>
      </c>
      <c r="B1" s="559"/>
      <c r="C1" s="559"/>
      <c r="D1" s="559"/>
      <c r="E1" s="559"/>
      <c r="F1" s="559"/>
    </row>
    <row r="2" spans="1:9" ht="30" customHeight="1">
      <c r="A2" s="561" t="s">
        <v>244</v>
      </c>
      <c r="B2" s="562" t="s">
        <v>356</v>
      </c>
      <c r="C2" s="561" t="s">
        <v>345</v>
      </c>
      <c r="D2" s="563" t="s">
        <v>357</v>
      </c>
      <c r="E2" s="564" t="s">
        <v>358</v>
      </c>
      <c r="F2" s="564" t="s">
        <v>359</v>
      </c>
      <c r="G2" s="565"/>
      <c r="H2" s="566"/>
      <c r="I2" s="567"/>
    </row>
    <row r="3" spans="1:9" ht="71.400000000000006" customHeight="1">
      <c r="A3" s="570" t="s">
        <v>451</v>
      </c>
      <c r="B3" s="570" t="s">
        <v>618</v>
      </c>
      <c r="C3" s="568">
        <v>44920.274305555555</v>
      </c>
      <c r="D3" s="569" t="s">
        <v>718</v>
      </c>
      <c r="E3" s="570">
        <v>31.45</v>
      </c>
      <c r="F3" s="570"/>
      <c r="G3" s="571"/>
      <c r="H3" s="571"/>
      <c r="I3" s="575"/>
    </row>
    <row r="4" spans="1:9" ht="62.4" customHeight="1">
      <c r="A4" s="570" t="s">
        <v>591</v>
      </c>
      <c r="B4" s="570" t="s">
        <v>719</v>
      </c>
      <c r="C4" s="568">
        <v>44920.626388888886</v>
      </c>
      <c r="D4" s="569" t="s">
        <v>720</v>
      </c>
      <c r="E4" s="570">
        <v>0.68</v>
      </c>
      <c r="F4" s="570"/>
      <c r="G4" s="571"/>
      <c r="H4" s="571"/>
      <c r="I4" s="575"/>
    </row>
    <row r="5" spans="1:9" ht="49.2" customHeight="1">
      <c r="A5" s="570" t="s">
        <v>721</v>
      </c>
      <c r="B5" s="570" t="s">
        <v>722</v>
      </c>
      <c r="C5" s="568">
        <v>44920.658333333333</v>
      </c>
      <c r="D5" s="569" t="s">
        <v>723</v>
      </c>
      <c r="E5" s="570">
        <v>20.98</v>
      </c>
      <c r="F5" s="570"/>
      <c r="G5" s="571"/>
      <c r="H5" s="571"/>
      <c r="I5" s="575"/>
    </row>
    <row r="6" spans="1:9" ht="55.95" customHeight="1">
      <c r="A6" s="570" t="s">
        <v>724</v>
      </c>
      <c r="B6" s="570" t="s">
        <v>725</v>
      </c>
      <c r="C6" s="568">
        <v>44920.984722222223</v>
      </c>
      <c r="D6" s="569" t="s">
        <v>726</v>
      </c>
      <c r="E6" s="570">
        <v>6.9</v>
      </c>
      <c r="F6" s="570"/>
      <c r="G6" s="571"/>
      <c r="H6" s="571"/>
      <c r="I6" s="575"/>
    </row>
    <row r="7" spans="1:9" ht="63.6" customHeight="1">
      <c r="A7" s="570" t="s">
        <v>724</v>
      </c>
      <c r="B7" s="570" t="s">
        <v>725</v>
      </c>
      <c r="C7" s="568">
        <v>44921.032638888886</v>
      </c>
      <c r="D7" s="569" t="s">
        <v>727</v>
      </c>
      <c r="E7" s="570">
        <v>6.5</v>
      </c>
      <c r="F7" s="570"/>
      <c r="G7" s="571"/>
      <c r="H7" s="571"/>
      <c r="I7" s="575"/>
    </row>
    <row r="8" spans="1:9" ht="56.4" customHeight="1">
      <c r="A8" s="570" t="s">
        <v>724</v>
      </c>
      <c r="B8" s="570" t="s">
        <v>725</v>
      </c>
      <c r="C8" s="568">
        <v>44921.340277777781</v>
      </c>
      <c r="D8" s="569" t="s">
        <v>728</v>
      </c>
      <c r="E8" s="570">
        <v>4.3899999999999997</v>
      </c>
      <c r="F8" s="570"/>
    </row>
    <row r="9" spans="1:9" ht="52.2" customHeight="1">
      <c r="A9" s="570" t="s">
        <v>724</v>
      </c>
      <c r="B9" s="570" t="s">
        <v>725</v>
      </c>
      <c r="C9" s="568">
        <v>44921.359027777777</v>
      </c>
      <c r="D9" s="569" t="s">
        <v>729</v>
      </c>
      <c r="E9" s="570">
        <v>2.73</v>
      </c>
      <c r="F9" s="570"/>
    </row>
    <row r="10" spans="1:9" ht="45" customHeight="1">
      <c r="A10" s="570" t="s">
        <v>585</v>
      </c>
      <c r="B10" s="570" t="s">
        <v>730</v>
      </c>
      <c r="C10" s="568">
        <v>44921.824305555558</v>
      </c>
      <c r="D10" s="569" t="s">
        <v>731</v>
      </c>
      <c r="E10" s="570">
        <v>10</v>
      </c>
      <c r="F10" s="570"/>
    </row>
    <row r="11" spans="1:9" ht="50.4" customHeight="1">
      <c r="A11" s="570" t="s">
        <v>585</v>
      </c>
      <c r="B11" s="570" t="s">
        <v>730</v>
      </c>
      <c r="C11" s="568">
        <v>44921.847222222219</v>
      </c>
      <c r="D11" s="569" t="s">
        <v>732</v>
      </c>
      <c r="E11" s="570">
        <v>1</v>
      </c>
      <c r="F11" s="570"/>
    </row>
    <row r="12" spans="1:9" ht="45" customHeight="1">
      <c r="A12" s="570" t="s">
        <v>585</v>
      </c>
      <c r="B12" s="570" t="s">
        <v>730</v>
      </c>
      <c r="C12" s="568">
        <v>44921.849305555559</v>
      </c>
      <c r="D12" s="569" t="s">
        <v>733</v>
      </c>
      <c r="E12" s="570">
        <v>1</v>
      </c>
      <c r="F12" s="570"/>
    </row>
    <row r="13" spans="1:9" ht="41.4" customHeight="1">
      <c r="A13" s="570" t="s">
        <v>585</v>
      </c>
      <c r="B13" s="570" t="s">
        <v>730</v>
      </c>
      <c r="C13" s="568">
        <v>44922.003472222219</v>
      </c>
      <c r="D13" s="569" t="s">
        <v>734</v>
      </c>
      <c r="E13" s="570">
        <v>6.1</v>
      </c>
      <c r="F13" s="570"/>
    </row>
    <row r="14" spans="1:9" ht="49.8" customHeight="1">
      <c r="A14" s="570" t="s">
        <v>582</v>
      </c>
      <c r="B14" s="570" t="s">
        <v>735</v>
      </c>
      <c r="C14" s="568">
        <v>44922.563888888886</v>
      </c>
      <c r="D14" s="569" t="s">
        <v>736</v>
      </c>
      <c r="E14" s="570">
        <v>10.9</v>
      </c>
      <c r="F14" s="570"/>
    </row>
    <row r="15" spans="1:9" ht="55.8" customHeight="1">
      <c r="A15" s="570" t="s">
        <v>737</v>
      </c>
      <c r="B15" s="570" t="s">
        <v>738</v>
      </c>
      <c r="C15" s="568">
        <v>44922.589583333334</v>
      </c>
      <c r="D15" s="569" t="s">
        <v>739</v>
      </c>
      <c r="E15" s="570">
        <v>19.3</v>
      </c>
      <c r="F15" s="570"/>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row r="45" spans="5:6">
      <c r="E45" s="577"/>
      <c r="F45" s="577"/>
    </row>
    <row r="46" spans="5:6">
      <c r="E46" s="577"/>
      <c r="F46" s="577"/>
    </row>
    <row r="47" spans="5:6">
      <c r="E47" s="577"/>
      <c r="F47" s="577"/>
    </row>
    <row r="48" spans="5:6">
      <c r="E48" s="577"/>
      <c r="F48" s="577"/>
    </row>
    <row r="49" spans="5:6">
      <c r="E49" s="577"/>
      <c r="F49" s="577"/>
    </row>
    <row r="50" spans="5:6">
      <c r="E50" s="577"/>
      <c r="F50"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K58" sqref="K58"/>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71"/>
    <col min="23" max="23" width="9.28515625" style="296"/>
    <col min="24" max="16384" width="9.28515625" style="46"/>
  </cols>
  <sheetData>
    <row r="1" spans="1:17" ht="27.75" customHeight="1">
      <c r="A1" s="808" t="s">
        <v>22</v>
      </c>
      <c r="B1" s="808"/>
      <c r="C1" s="808"/>
      <c r="D1" s="808"/>
      <c r="E1" s="808"/>
      <c r="F1" s="808"/>
      <c r="G1" s="808"/>
      <c r="H1" s="808"/>
      <c r="I1" s="808"/>
      <c r="J1" s="808"/>
      <c r="K1" s="808"/>
      <c r="L1" s="808"/>
      <c r="M1" s="808"/>
      <c r="N1" s="678"/>
      <c r="O1" s="678"/>
      <c r="P1" s="678"/>
      <c r="Q1" s="678"/>
    </row>
    <row r="2" spans="1:17" ht="11.25" customHeight="1">
      <c r="A2" s="41"/>
      <c r="B2" s="40"/>
      <c r="C2" s="65"/>
      <c r="D2" s="65"/>
      <c r="E2" s="65"/>
      <c r="F2" s="65"/>
      <c r="G2" s="65"/>
      <c r="H2" s="65"/>
      <c r="I2" s="65"/>
      <c r="J2" s="65"/>
      <c r="K2" s="40"/>
      <c r="L2" s="40"/>
      <c r="M2" s="40"/>
      <c r="N2" s="678"/>
      <c r="O2" s="678"/>
      <c r="P2" s="678"/>
      <c r="Q2" s="678"/>
    </row>
    <row r="3" spans="1:17" ht="21.75" customHeight="1">
      <c r="A3" s="40"/>
      <c r="B3" s="42"/>
      <c r="C3" s="814" t="str">
        <f>+UPPER(Q4)&amp;" "&amp;Q5</f>
        <v>DICIEMBE 2022</v>
      </c>
      <c r="D3" s="808"/>
      <c r="E3" s="808"/>
      <c r="F3" s="808"/>
      <c r="G3" s="808"/>
      <c r="H3" s="808"/>
      <c r="I3" s="808"/>
      <c r="J3" s="808"/>
      <c r="K3" s="40"/>
      <c r="L3" s="40"/>
      <c r="M3" s="40"/>
      <c r="N3" s="678"/>
      <c r="O3" s="678"/>
      <c r="P3" s="678"/>
      <c r="Q3" s="678"/>
    </row>
    <row r="4" spans="1:17" ht="11.25" customHeight="1">
      <c r="A4" s="40"/>
      <c r="B4" s="42"/>
      <c r="C4" s="40"/>
      <c r="D4" s="40"/>
      <c r="E4" s="40"/>
      <c r="F4" s="40"/>
      <c r="G4" s="40"/>
      <c r="H4" s="40"/>
      <c r="I4" s="40"/>
      <c r="J4" s="40"/>
      <c r="K4" s="40"/>
      <c r="L4" s="40"/>
      <c r="M4" s="40"/>
      <c r="N4" s="679"/>
      <c r="O4" s="679"/>
      <c r="P4" s="678" t="s">
        <v>206</v>
      </c>
      <c r="Q4" s="680" t="s">
        <v>631</v>
      </c>
    </row>
    <row r="5" spans="1:17" ht="11.25" customHeight="1">
      <c r="A5" s="47"/>
      <c r="B5" s="48"/>
      <c r="C5" s="49"/>
      <c r="D5" s="49"/>
      <c r="E5" s="49"/>
      <c r="F5" s="49"/>
      <c r="G5" s="49"/>
      <c r="H5" s="49"/>
      <c r="I5" s="49"/>
      <c r="J5" s="49"/>
      <c r="K5" s="49"/>
      <c r="L5" s="49"/>
      <c r="M5" s="40"/>
      <c r="N5" s="679"/>
      <c r="O5" s="679"/>
      <c r="P5" s="678" t="s">
        <v>207</v>
      </c>
      <c r="Q5" s="679">
        <v>2022</v>
      </c>
    </row>
    <row r="6" spans="1:17" ht="17.25" customHeight="1">
      <c r="A6" s="60" t="s">
        <v>390</v>
      </c>
      <c r="B6" s="40"/>
      <c r="C6" s="40"/>
      <c r="D6" s="40"/>
      <c r="E6" s="40"/>
      <c r="F6" s="40"/>
      <c r="G6" s="40"/>
      <c r="H6" s="40"/>
      <c r="I6" s="40"/>
      <c r="J6" s="40"/>
      <c r="K6" s="40"/>
      <c r="L6" s="40"/>
      <c r="M6" s="40"/>
      <c r="N6" s="678"/>
      <c r="O6" s="678"/>
      <c r="P6" s="678"/>
      <c r="Q6" s="681">
        <v>44896</v>
      </c>
    </row>
    <row r="7" spans="1:17" ht="11.25" customHeight="1">
      <c r="A7" s="40"/>
      <c r="B7" s="40"/>
      <c r="C7" s="40"/>
      <c r="D7" s="40"/>
      <c r="E7" s="40"/>
      <c r="F7" s="40"/>
      <c r="G7" s="40"/>
      <c r="H7" s="40"/>
      <c r="I7" s="40"/>
      <c r="J7" s="40"/>
      <c r="K7" s="40"/>
      <c r="L7" s="40"/>
      <c r="M7" s="40"/>
      <c r="N7" s="678"/>
      <c r="O7" s="678"/>
      <c r="P7" s="678"/>
      <c r="Q7" s="678">
        <v>31</v>
      </c>
    </row>
    <row r="8" spans="1:17" ht="11.25" customHeight="1">
      <c r="A8" s="43"/>
      <c r="B8" s="43"/>
      <c r="C8" s="43"/>
      <c r="D8" s="43"/>
      <c r="E8" s="43"/>
      <c r="F8" s="43"/>
      <c r="G8" s="43"/>
      <c r="H8" s="43"/>
      <c r="I8" s="43"/>
      <c r="J8" s="43"/>
      <c r="K8" s="43"/>
      <c r="L8" s="43"/>
      <c r="M8" s="43"/>
      <c r="N8" s="682"/>
      <c r="O8" s="682"/>
      <c r="P8" s="682"/>
      <c r="Q8" s="682"/>
    </row>
    <row r="9" spans="1:17" ht="14.25" customHeight="1">
      <c r="A9" s="40" t="str">
        <f>"1.1. Producción de energía eléctrica en "&amp;LOWER(Q4)&amp;" "&amp;Q5&amp;" en comparación al mismo mes del año anterior"</f>
        <v>1.1. Producción de energía eléctrica en diciembe 2022 en comparación al mismo mes del año anterior</v>
      </c>
      <c r="B9" s="40"/>
      <c r="C9" s="40"/>
      <c r="D9" s="40"/>
      <c r="E9" s="40"/>
      <c r="F9" s="40"/>
      <c r="G9" s="40"/>
      <c r="H9" s="40"/>
      <c r="I9" s="40"/>
      <c r="J9" s="40"/>
      <c r="K9" s="40"/>
      <c r="L9" s="40"/>
      <c r="M9" s="40"/>
      <c r="N9" s="678"/>
      <c r="O9" s="678"/>
      <c r="P9" s="678"/>
      <c r="Q9" s="678"/>
    </row>
    <row r="10" spans="1:17" ht="11.25" customHeight="1">
      <c r="A10" s="47"/>
      <c r="B10" s="44"/>
      <c r="C10" s="44"/>
      <c r="D10" s="44"/>
      <c r="E10" s="44"/>
      <c r="F10" s="44"/>
      <c r="G10" s="44"/>
      <c r="H10" s="44"/>
      <c r="I10" s="44"/>
      <c r="J10" s="44"/>
      <c r="K10" s="44"/>
      <c r="L10" s="44"/>
      <c r="M10" s="44"/>
      <c r="N10" s="679"/>
      <c r="O10" s="679"/>
      <c r="P10" s="679"/>
      <c r="Q10" s="679"/>
    </row>
    <row r="11" spans="1:17" ht="11.25" customHeight="1">
      <c r="A11" s="50"/>
      <c r="B11" s="50"/>
      <c r="C11" s="50"/>
      <c r="D11" s="50"/>
      <c r="E11" s="50"/>
      <c r="F11" s="50"/>
      <c r="G11" s="50"/>
      <c r="H11" s="50"/>
      <c r="I11" s="50"/>
      <c r="J11" s="50"/>
      <c r="K11" s="50"/>
      <c r="L11" s="50"/>
      <c r="M11" s="50"/>
      <c r="N11" s="683"/>
      <c r="O11" s="683"/>
      <c r="P11" s="683"/>
      <c r="Q11" s="683"/>
    </row>
    <row r="12" spans="1:17" ht="27" customHeight="1">
      <c r="A12" s="62" t="s">
        <v>23</v>
      </c>
      <c r="B12" s="813" t="s">
        <v>758</v>
      </c>
      <c r="C12" s="813"/>
      <c r="D12" s="813"/>
      <c r="E12" s="813"/>
      <c r="F12" s="813"/>
      <c r="G12" s="813"/>
      <c r="H12" s="813"/>
      <c r="I12" s="813"/>
      <c r="J12" s="813"/>
      <c r="K12" s="813"/>
      <c r="L12" s="813"/>
      <c r="M12" s="813"/>
      <c r="N12" s="679"/>
      <c r="O12" s="679"/>
      <c r="P12" s="679"/>
      <c r="Q12" s="679"/>
    </row>
    <row r="13" spans="1:17" ht="12.75" customHeight="1">
      <c r="A13" s="40"/>
      <c r="B13" s="64"/>
      <c r="C13" s="64"/>
      <c r="D13" s="64"/>
      <c r="E13" s="64"/>
      <c r="F13" s="64"/>
      <c r="G13" s="64"/>
      <c r="H13" s="64"/>
      <c r="I13" s="64"/>
      <c r="J13" s="64"/>
      <c r="K13" s="64"/>
      <c r="L13" s="64"/>
      <c r="M13" s="44"/>
      <c r="N13" s="679"/>
      <c r="O13" s="679"/>
      <c r="P13" s="679"/>
      <c r="Q13" s="679"/>
    </row>
    <row r="14" spans="1:17" ht="28.5" customHeight="1">
      <c r="A14" s="62" t="s">
        <v>23</v>
      </c>
      <c r="B14" s="813" t="s">
        <v>632</v>
      </c>
      <c r="C14" s="813"/>
      <c r="D14" s="813"/>
      <c r="E14" s="813"/>
      <c r="F14" s="813"/>
      <c r="G14" s="813"/>
      <c r="H14" s="813"/>
      <c r="I14" s="813"/>
      <c r="J14" s="813"/>
      <c r="K14" s="813"/>
      <c r="L14" s="813"/>
      <c r="M14" s="813"/>
      <c r="N14" s="679"/>
      <c r="O14" s="679"/>
      <c r="P14" s="679"/>
      <c r="Q14" s="679"/>
    </row>
    <row r="15" spans="1:17" ht="15" customHeight="1">
      <c r="A15" s="63"/>
      <c r="B15" s="64"/>
      <c r="C15" s="64"/>
      <c r="D15" s="64"/>
      <c r="E15" s="64"/>
      <c r="F15" s="64"/>
      <c r="G15" s="64"/>
      <c r="H15" s="64"/>
      <c r="I15" s="64"/>
      <c r="J15" s="64"/>
      <c r="K15" s="64"/>
      <c r="L15" s="64"/>
      <c r="M15" s="44"/>
      <c r="N15" s="679"/>
      <c r="O15" s="679"/>
      <c r="P15" s="679"/>
      <c r="Q15" s="679"/>
    </row>
    <row r="16" spans="1:17" ht="59.25" customHeight="1">
      <c r="A16" s="62" t="s">
        <v>23</v>
      </c>
      <c r="B16" s="813" t="s">
        <v>757</v>
      </c>
      <c r="C16" s="813"/>
      <c r="D16" s="813"/>
      <c r="E16" s="813"/>
      <c r="F16" s="813"/>
      <c r="G16" s="813"/>
      <c r="H16" s="813"/>
      <c r="I16" s="813"/>
      <c r="J16" s="813"/>
      <c r="K16" s="813"/>
      <c r="L16" s="813"/>
      <c r="M16" s="813"/>
      <c r="N16" s="679"/>
      <c r="O16" s="679"/>
      <c r="P16" s="679"/>
      <c r="Q16" s="679"/>
    </row>
    <row r="17" spans="1:18" ht="17.25" customHeight="1">
      <c r="A17" s="44"/>
      <c r="B17" s="44"/>
      <c r="C17" s="44"/>
      <c r="D17" s="44"/>
      <c r="E17" s="44"/>
      <c r="F17" s="44"/>
      <c r="G17" s="44"/>
      <c r="H17" s="44"/>
      <c r="I17" s="44"/>
      <c r="J17" s="44"/>
      <c r="K17" s="44"/>
      <c r="L17" s="44"/>
      <c r="M17" s="44"/>
      <c r="N17" s="679"/>
      <c r="O17" s="679"/>
      <c r="P17" s="679"/>
      <c r="Q17" s="679"/>
    </row>
    <row r="18" spans="1:18" ht="25.5" customHeight="1">
      <c r="A18" s="61" t="s">
        <v>23</v>
      </c>
      <c r="B18" s="812" t="s">
        <v>633</v>
      </c>
      <c r="C18" s="812"/>
      <c r="D18" s="812"/>
      <c r="E18" s="812"/>
      <c r="F18" s="812"/>
      <c r="G18" s="812"/>
      <c r="H18" s="812"/>
      <c r="I18" s="812"/>
      <c r="J18" s="812"/>
      <c r="K18" s="812"/>
      <c r="L18" s="812"/>
      <c r="M18" s="812"/>
      <c r="N18" s="679"/>
      <c r="O18" s="679"/>
      <c r="P18" s="679"/>
      <c r="Q18" s="679"/>
    </row>
    <row r="19" spans="1:18" ht="42.75" customHeight="1">
      <c r="A19" s="44"/>
      <c r="B19" s="44"/>
      <c r="C19" s="44"/>
      <c r="D19" s="44"/>
      <c r="E19" s="44"/>
      <c r="F19" s="44"/>
      <c r="G19" s="44"/>
      <c r="H19" s="44"/>
      <c r="I19" s="44"/>
      <c r="J19" s="44"/>
      <c r="K19" s="44"/>
      <c r="L19" s="44"/>
      <c r="M19" s="44"/>
      <c r="N19" s="679"/>
      <c r="O19" s="679"/>
      <c r="P19" s="679"/>
      <c r="Q19" s="679"/>
    </row>
    <row r="20" spans="1:18" ht="15.75" customHeight="1">
      <c r="A20" s="44"/>
      <c r="B20" s="44"/>
      <c r="C20" s="815" t="str">
        <f>+UPPER(Q4)&amp;" "&amp;Q5</f>
        <v>DICIEMBE 2022</v>
      </c>
      <c r="D20" s="815"/>
      <c r="E20" s="815"/>
      <c r="F20" s="40"/>
      <c r="G20" s="40"/>
      <c r="H20" s="40"/>
      <c r="I20" s="815" t="str">
        <f>+UPPER(Q4)&amp;" "&amp;Q5-1</f>
        <v>DICIEMBE 2021</v>
      </c>
      <c r="J20" s="815"/>
      <c r="K20" s="815"/>
      <c r="L20" s="815"/>
      <c r="M20" s="44"/>
      <c r="Q20" s="679"/>
    </row>
    <row r="21" spans="1:18" ht="11.25" customHeight="1">
      <c r="A21" s="44"/>
      <c r="B21" s="44"/>
      <c r="C21" s="44"/>
      <c r="D21" s="44"/>
      <c r="E21" s="44"/>
      <c r="F21" s="44"/>
      <c r="G21" s="44"/>
      <c r="H21" s="44"/>
      <c r="I21" s="44"/>
      <c r="J21" s="44"/>
      <c r="K21" s="44"/>
      <c r="L21" s="44"/>
      <c r="M21" s="44"/>
      <c r="Q21" s="679"/>
    </row>
    <row r="22" spans="1:18" ht="11.25" customHeight="1">
      <c r="A22" s="51"/>
      <c r="B22" s="52"/>
      <c r="C22" s="52"/>
      <c r="D22" s="52"/>
      <c r="E22" s="52"/>
      <c r="F22" s="52"/>
      <c r="G22" s="52"/>
      <c r="H22" s="52"/>
      <c r="I22" s="52"/>
      <c r="J22" s="52"/>
      <c r="K22" s="52"/>
      <c r="L22" s="52"/>
      <c r="M22" s="52"/>
      <c r="N22" s="684" t="s">
        <v>30</v>
      </c>
      <c r="O22" s="685"/>
      <c r="P22" s="685"/>
    </row>
    <row r="23" spans="1:18" ht="11.25" customHeight="1">
      <c r="A23" s="51"/>
      <c r="B23" s="52"/>
      <c r="C23" s="52"/>
      <c r="D23" s="52"/>
      <c r="E23" s="52"/>
      <c r="F23" s="52"/>
      <c r="G23" s="52"/>
      <c r="H23" s="52"/>
      <c r="I23" s="52"/>
      <c r="J23" s="52"/>
      <c r="K23" s="52"/>
      <c r="L23" s="52"/>
      <c r="M23" s="52"/>
      <c r="N23" s="684" t="s">
        <v>24</v>
      </c>
      <c r="O23" s="686">
        <v>2068.1741958075004</v>
      </c>
      <c r="P23" s="686">
        <v>2942.2881527525005</v>
      </c>
      <c r="Q23" s="687"/>
    </row>
    <row r="24" spans="1:18" ht="11.25" customHeight="1">
      <c r="A24" s="44"/>
      <c r="B24" s="44"/>
      <c r="C24" s="44"/>
      <c r="D24" s="44"/>
      <c r="E24" s="43"/>
      <c r="F24" s="44"/>
      <c r="G24" s="44"/>
      <c r="H24" s="44"/>
      <c r="I24" s="44"/>
      <c r="J24" s="44"/>
      <c r="K24" s="44"/>
      <c r="L24" s="44"/>
      <c r="M24" s="43"/>
      <c r="N24" s="687" t="s">
        <v>25</v>
      </c>
      <c r="O24" s="688">
        <v>2519.9402269400002</v>
      </c>
      <c r="P24" s="688">
        <v>1491.1456843575002</v>
      </c>
      <c r="Q24" s="689"/>
      <c r="R24" s="689"/>
    </row>
    <row r="25" spans="1:18" ht="11.25" customHeight="1">
      <c r="A25" s="44"/>
      <c r="B25" s="44"/>
      <c r="C25" s="44"/>
      <c r="D25" s="44"/>
      <c r="E25" s="44"/>
      <c r="F25" s="44"/>
      <c r="G25" s="44"/>
      <c r="H25" s="44"/>
      <c r="I25" s="44"/>
      <c r="J25" s="53"/>
      <c r="K25" s="53"/>
      <c r="L25" s="44"/>
      <c r="M25" s="44"/>
      <c r="N25" s="687" t="s">
        <v>26</v>
      </c>
      <c r="O25" s="688">
        <v>10.000489315000001</v>
      </c>
      <c r="P25" s="688">
        <v>5.8992881600000002</v>
      </c>
      <c r="Q25" s="684"/>
    </row>
    <row r="26" spans="1:18" ht="11.25" customHeight="1">
      <c r="A26" s="44"/>
      <c r="B26" s="44"/>
      <c r="C26" s="44"/>
      <c r="D26" s="44"/>
      <c r="E26" s="44"/>
      <c r="F26" s="44"/>
      <c r="G26" s="44"/>
      <c r="H26" s="44"/>
      <c r="I26" s="44"/>
      <c r="J26" s="53"/>
      <c r="K26" s="53"/>
      <c r="L26" s="44"/>
      <c r="M26" s="44"/>
      <c r="N26" s="684" t="s">
        <v>756</v>
      </c>
      <c r="O26" s="686">
        <v>172.20920180750005</v>
      </c>
      <c r="P26" s="686">
        <v>1.4685850899999999</v>
      </c>
      <c r="Q26" s="684"/>
    </row>
    <row r="27" spans="1:18" ht="11.25" customHeight="1">
      <c r="A27" s="44"/>
      <c r="B27" s="44"/>
      <c r="C27" s="44"/>
      <c r="D27" s="44"/>
      <c r="E27" s="44"/>
      <c r="F27" s="44"/>
      <c r="G27" s="44"/>
      <c r="H27" s="44"/>
      <c r="I27" s="44"/>
      <c r="J27" s="53"/>
      <c r="K27" s="44"/>
      <c r="L27" s="44"/>
      <c r="M27" s="44"/>
      <c r="N27" s="684" t="s">
        <v>27</v>
      </c>
      <c r="O27" s="686">
        <v>33.218603997500004</v>
      </c>
      <c r="P27" s="686">
        <v>28.574972872500002</v>
      </c>
      <c r="Q27" s="684"/>
    </row>
    <row r="28" spans="1:18" ht="11.25" customHeight="1">
      <c r="A28" s="44"/>
      <c r="B28" s="44"/>
      <c r="C28" s="53"/>
      <c r="D28" s="53"/>
      <c r="E28" s="53"/>
      <c r="F28" s="53"/>
      <c r="G28" s="53"/>
      <c r="H28" s="53"/>
      <c r="I28" s="53"/>
      <c r="J28" s="53"/>
      <c r="K28" s="53"/>
      <c r="L28" s="44"/>
      <c r="M28" s="44"/>
      <c r="N28" s="684" t="s">
        <v>28</v>
      </c>
      <c r="O28" s="686">
        <v>136.49075921249997</v>
      </c>
      <c r="P28" s="686">
        <v>144.32565196250002</v>
      </c>
      <c r="Q28" s="684"/>
    </row>
    <row r="29" spans="1:18" ht="11.25" customHeight="1">
      <c r="A29" s="44"/>
      <c r="B29" s="44"/>
      <c r="C29" s="53"/>
      <c r="D29" s="53"/>
      <c r="E29" s="53"/>
      <c r="F29" s="53"/>
      <c r="G29" s="53"/>
      <c r="H29" s="53"/>
      <c r="I29" s="53"/>
      <c r="J29" s="53"/>
      <c r="K29" s="53"/>
      <c r="L29" s="44"/>
      <c r="M29" s="44"/>
      <c r="N29" s="684" t="s">
        <v>29</v>
      </c>
      <c r="O29" s="686">
        <v>72.756407109999998</v>
      </c>
      <c r="P29" s="686">
        <v>73.559578087499986</v>
      </c>
      <c r="Q29" s="684"/>
    </row>
    <row r="30" spans="1:18" ht="11.25" customHeight="1">
      <c r="A30" s="44"/>
      <c r="B30" s="44"/>
      <c r="C30" s="53"/>
      <c r="D30" s="53"/>
      <c r="E30" s="53"/>
      <c r="F30" s="53"/>
      <c r="G30" s="53"/>
      <c r="H30" s="53"/>
      <c r="I30" s="53"/>
      <c r="J30" s="53"/>
      <c r="K30" s="53"/>
      <c r="L30" s="44"/>
      <c r="M30" s="44"/>
      <c r="N30" s="684"/>
      <c r="O30" s="684"/>
      <c r="P30" s="684"/>
      <c r="Q30" s="684"/>
    </row>
    <row r="31" spans="1:18" ht="11.25" customHeight="1">
      <c r="A31" s="44"/>
      <c r="B31" s="44"/>
      <c r="C31" s="53"/>
      <c r="D31" s="53"/>
      <c r="E31" s="53"/>
      <c r="F31" s="53"/>
      <c r="G31" s="53"/>
      <c r="H31" s="53"/>
      <c r="I31" s="53"/>
      <c r="J31" s="53"/>
      <c r="K31" s="53"/>
      <c r="L31" s="44"/>
      <c r="M31" s="44"/>
      <c r="O31" s="622"/>
      <c r="P31" s="622"/>
      <c r="Q31" s="690"/>
    </row>
    <row r="32" spans="1:18" ht="11.25" customHeight="1">
      <c r="A32" s="44"/>
      <c r="B32" s="44"/>
      <c r="C32" s="53"/>
      <c r="D32" s="53"/>
      <c r="E32" s="53"/>
      <c r="F32" s="53"/>
      <c r="G32" s="53"/>
      <c r="H32" s="53"/>
      <c r="I32" s="53"/>
      <c r="J32" s="53"/>
      <c r="K32" s="53"/>
      <c r="L32" s="44"/>
      <c r="M32" s="44"/>
      <c r="Q32" s="679"/>
    </row>
    <row r="33" spans="1:17" ht="11.25" customHeight="1">
      <c r="A33" s="44"/>
      <c r="B33" s="44"/>
      <c r="C33" s="53"/>
      <c r="D33" s="53"/>
      <c r="E33" s="53"/>
      <c r="F33" s="53"/>
      <c r="G33" s="53"/>
      <c r="H33" s="53"/>
      <c r="I33" s="53"/>
      <c r="J33" s="53"/>
      <c r="K33" s="53"/>
      <c r="L33" s="44"/>
      <c r="M33" s="44"/>
      <c r="Q33" s="679"/>
    </row>
    <row r="34" spans="1:17" ht="11.25" customHeight="1">
      <c r="A34" s="44"/>
      <c r="B34" s="44"/>
      <c r="C34" s="53"/>
      <c r="D34" s="53"/>
      <c r="E34" s="53"/>
      <c r="F34" s="53"/>
      <c r="G34" s="53"/>
      <c r="H34" s="53"/>
      <c r="I34" s="53"/>
      <c r="J34" s="53"/>
      <c r="K34" s="53"/>
      <c r="L34" s="44"/>
      <c r="M34" s="44"/>
      <c r="Q34" s="679"/>
    </row>
    <row r="35" spans="1:17" ht="11.25" customHeight="1">
      <c r="A35" s="54"/>
      <c r="B35" s="54"/>
      <c r="C35" s="55"/>
      <c r="D35" s="55"/>
      <c r="E35" s="55"/>
      <c r="F35" s="55"/>
      <c r="G35" s="55"/>
      <c r="H35" s="55"/>
      <c r="I35" s="55"/>
      <c r="J35" s="54"/>
      <c r="K35" s="54"/>
      <c r="L35" s="54"/>
      <c r="M35" s="54"/>
      <c r="Q35" s="679"/>
    </row>
    <row r="36" spans="1:17" ht="11.25" customHeight="1">
      <c r="A36" s="54"/>
      <c r="B36" s="54"/>
      <c r="C36" s="55"/>
      <c r="D36" s="55"/>
      <c r="E36" s="55"/>
      <c r="F36" s="55"/>
      <c r="G36" s="55"/>
      <c r="H36" s="55"/>
      <c r="I36" s="55"/>
      <c r="J36" s="54"/>
      <c r="K36" s="54"/>
      <c r="L36" s="54"/>
      <c r="M36" s="54"/>
      <c r="Q36" s="679"/>
    </row>
    <row r="37" spans="1:17" ht="11.25" customHeight="1">
      <c r="A37" s="54"/>
      <c r="B37" s="54"/>
      <c r="C37" s="55"/>
      <c r="D37" s="55"/>
      <c r="E37" s="55"/>
      <c r="F37" s="55"/>
      <c r="G37" s="55"/>
      <c r="H37" s="55"/>
      <c r="I37" s="55"/>
      <c r="J37" s="54"/>
      <c r="K37" s="54"/>
      <c r="L37" s="54"/>
      <c r="M37" s="54"/>
      <c r="N37" s="679"/>
      <c r="O37" s="679"/>
      <c r="P37" s="679"/>
      <c r="Q37" s="679"/>
    </row>
    <row r="38" spans="1:17" ht="11.25" customHeight="1">
      <c r="A38" s="54"/>
      <c r="B38" s="54"/>
      <c r="C38" s="55"/>
      <c r="D38" s="55"/>
      <c r="E38" s="55"/>
      <c r="F38" s="55"/>
      <c r="G38" s="55"/>
      <c r="H38" s="55"/>
      <c r="I38" s="55"/>
      <c r="J38" s="54"/>
      <c r="K38" s="54"/>
      <c r="L38" s="54"/>
      <c r="M38" s="54"/>
      <c r="N38" s="679"/>
      <c r="O38" s="679"/>
      <c r="P38" s="679"/>
      <c r="Q38" s="679"/>
    </row>
    <row r="39" spans="1:17" ht="11.25" customHeight="1">
      <c r="A39" s="54"/>
      <c r="B39" s="54"/>
      <c r="C39" s="55"/>
      <c r="D39" s="55"/>
      <c r="E39" s="55"/>
      <c r="F39" s="55"/>
      <c r="G39" s="55"/>
      <c r="H39" s="55"/>
      <c r="I39" s="55"/>
      <c r="J39" s="54"/>
      <c r="K39" s="54"/>
      <c r="L39" s="54"/>
      <c r="M39" s="54"/>
      <c r="N39" s="679"/>
      <c r="O39" s="679"/>
      <c r="P39" s="679"/>
      <c r="Q39" s="679"/>
    </row>
    <row r="40" spans="1:17" ht="11.25" customHeight="1">
      <c r="A40" s="54"/>
      <c r="B40" s="54"/>
      <c r="C40" s="55"/>
      <c r="D40" s="55"/>
      <c r="E40" s="55"/>
      <c r="F40" s="55"/>
      <c r="G40" s="55"/>
      <c r="H40" s="55"/>
      <c r="I40" s="55"/>
      <c r="J40" s="54"/>
      <c r="K40" s="54"/>
      <c r="L40" s="54"/>
      <c r="M40" s="54"/>
      <c r="N40" s="679"/>
      <c r="O40" s="679"/>
      <c r="P40" s="679"/>
      <c r="Q40" s="679"/>
    </row>
    <row r="41" spans="1:17" ht="11.25" customHeight="1">
      <c r="A41" s="54"/>
      <c r="B41" s="54"/>
      <c r="C41" s="54"/>
      <c r="D41" s="55"/>
      <c r="E41" s="55"/>
      <c r="F41" s="55"/>
      <c r="G41" s="55"/>
      <c r="H41" s="54"/>
      <c r="I41" s="54"/>
      <c r="J41" s="54"/>
      <c r="K41" s="54"/>
      <c r="L41" s="54"/>
      <c r="M41" s="54"/>
      <c r="N41" s="679"/>
      <c r="O41" s="679"/>
      <c r="P41" s="679"/>
      <c r="Q41" s="679"/>
    </row>
    <row r="42" spans="1:17" ht="11.25" customHeight="1">
      <c r="A42" s="54"/>
      <c r="B42" s="54"/>
      <c r="C42" s="55"/>
      <c r="D42" s="55"/>
      <c r="E42" s="55"/>
      <c r="F42" s="55"/>
      <c r="G42" s="55"/>
      <c r="H42" s="55"/>
      <c r="I42" s="55"/>
      <c r="J42" s="54"/>
      <c r="K42" s="54"/>
      <c r="L42" s="54"/>
      <c r="M42" s="54"/>
      <c r="N42" s="679"/>
      <c r="O42" s="679"/>
      <c r="P42" s="679"/>
      <c r="Q42" s="679"/>
    </row>
    <row r="43" spans="1:17" ht="11.25" customHeight="1">
      <c r="A43" s="54"/>
      <c r="B43" s="54"/>
      <c r="C43" s="55"/>
      <c r="D43" s="55"/>
      <c r="E43" s="55"/>
      <c r="F43" s="55"/>
      <c r="G43" s="55"/>
      <c r="H43" s="55"/>
      <c r="I43" s="55"/>
      <c r="J43" s="54"/>
      <c r="K43" s="54"/>
      <c r="L43" s="54"/>
      <c r="M43" s="54"/>
      <c r="N43" s="679"/>
      <c r="O43" s="679"/>
      <c r="P43" s="679"/>
      <c r="Q43" s="679"/>
    </row>
    <row r="44" spans="1:17" ht="11.25" customHeight="1">
      <c r="A44" s="54"/>
      <c r="B44" s="54"/>
      <c r="C44" s="55"/>
      <c r="D44" s="55"/>
      <c r="E44" s="55"/>
      <c r="F44" s="55"/>
      <c r="G44" s="55"/>
      <c r="H44" s="55"/>
      <c r="I44" s="55"/>
      <c r="J44" s="54"/>
      <c r="K44" s="54"/>
      <c r="L44" s="54"/>
      <c r="M44" s="54"/>
      <c r="N44" s="679"/>
      <c r="O44" s="679"/>
      <c r="P44" s="679"/>
      <c r="Q44" s="679"/>
    </row>
    <row r="45" spans="1:17" ht="11.25" customHeight="1">
      <c r="A45" s="54"/>
      <c r="B45" s="54"/>
      <c r="C45" s="55"/>
      <c r="D45" s="55"/>
      <c r="E45" s="55"/>
      <c r="F45" s="55"/>
      <c r="G45" s="55"/>
      <c r="H45" s="55"/>
      <c r="I45" s="55"/>
      <c r="J45" s="54"/>
      <c r="K45" s="54"/>
      <c r="L45" s="54"/>
      <c r="M45" s="54"/>
      <c r="N45" s="679"/>
      <c r="O45" s="679"/>
      <c r="P45" s="679"/>
      <c r="Q45" s="679"/>
    </row>
    <row r="46" spans="1:17" ht="11.25" customHeight="1">
      <c r="A46" s="54"/>
      <c r="B46" s="54"/>
      <c r="C46" s="54"/>
      <c r="D46" s="54"/>
      <c r="E46" s="54"/>
      <c r="F46" s="54"/>
      <c r="G46" s="54"/>
      <c r="H46" s="54"/>
      <c r="I46" s="54"/>
      <c r="J46" s="54"/>
      <c r="K46" s="54"/>
      <c r="L46" s="54"/>
      <c r="M46" s="54"/>
      <c r="N46" s="679"/>
      <c r="O46" s="679"/>
      <c r="P46" s="679"/>
      <c r="Q46" s="679"/>
    </row>
    <row r="47" spans="1:17" ht="16.5" customHeight="1">
      <c r="A47" s="54"/>
      <c r="B47" s="811" t="str">
        <f>"Total = "&amp;TEXT(ROUND(SUM(O23:O29),2),"0 000,00")&amp;" GWh"</f>
        <v>Total = 5 012,79 GWh</v>
      </c>
      <c r="C47" s="811"/>
      <c r="D47" s="811"/>
      <c r="E47" s="811"/>
      <c r="F47" s="54"/>
      <c r="G47" s="54"/>
      <c r="H47" s="810" t="str">
        <f>"Total = "&amp;TEXT(ROUND(SUM(P23:P29),2),"0 000,00")&amp;" GWh"</f>
        <v>Total = 4 687,26 GWh</v>
      </c>
      <c r="I47" s="810"/>
      <c r="J47" s="810"/>
      <c r="K47" s="810"/>
      <c r="L47" s="54"/>
      <c r="M47" s="54"/>
      <c r="N47" s="679"/>
      <c r="O47" s="679"/>
      <c r="P47" s="679"/>
      <c r="Q47" s="679"/>
    </row>
    <row r="48" spans="1:17" ht="11.25" customHeight="1">
      <c r="H48" s="54"/>
      <c r="I48" s="54"/>
      <c r="J48" s="54"/>
      <c r="K48" s="54"/>
      <c r="L48" s="54"/>
      <c r="M48" s="54"/>
      <c r="N48" s="679"/>
      <c r="O48" s="679"/>
      <c r="P48" s="679"/>
      <c r="Q48" s="679"/>
    </row>
    <row r="49" spans="1:17" ht="11.25" customHeight="1">
      <c r="B49" s="809" t="str">
        <f>"Gráfico 1: Comparación de producción mensual de electricidad en "&amp;Q4&amp;" por tipo de recurso energético."</f>
        <v>Gráfico 1: Comparación de producción mensual de electricidad en diciembe por tipo de recurso energético.</v>
      </c>
      <c r="C49" s="809"/>
      <c r="D49" s="809"/>
      <c r="E49" s="809"/>
      <c r="F49" s="809"/>
      <c r="G49" s="809"/>
      <c r="H49" s="809"/>
      <c r="I49" s="809"/>
      <c r="J49" s="809"/>
      <c r="K49" s="809"/>
      <c r="L49" s="809"/>
      <c r="M49" s="227"/>
      <c r="N49" s="691"/>
      <c r="O49" s="679"/>
      <c r="P49" s="679"/>
      <c r="Q49" s="679"/>
    </row>
    <row r="50" spans="1:17" ht="11.25" customHeight="1">
      <c r="B50" s="557"/>
      <c r="C50" s="557"/>
      <c r="D50" s="557"/>
      <c r="E50" s="557"/>
      <c r="F50" s="557"/>
      <c r="G50" s="557"/>
      <c r="H50" s="557"/>
      <c r="I50" s="557"/>
      <c r="J50" s="557"/>
      <c r="K50" s="557"/>
      <c r="L50" s="557"/>
      <c r="M50" s="227"/>
      <c r="N50" s="691"/>
      <c r="O50" s="679"/>
      <c r="P50" s="679"/>
      <c r="Q50" s="679"/>
    </row>
    <row r="51" spans="1:17" ht="11.25" customHeight="1">
      <c r="A51" s="54"/>
      <c r="B51" s="54"/>
      <c r="C51" s="45"/>
      <c r="D51" s="45"/>
      <c r="E51" s="54"/>
      <c r="F51" s="54"/>
      <c r="G51" s="54"/>
      <c r="H51" s="54"/>
      <c r="I51" s="54"/>
      <c r="J51" s="54"/>
      <c r="K51" s="54"/>
      <c r="L51" s="54"/>
      <c r="M51" s="54"/>
      <c r="N51" s="679"/>
      <c r="O51" s="679"/>
      <c r="P51" s="679"/>
      <c r="Q51" s="679"/>
    </row>
    <row r="52" spans="1:17" ht="11.25" customHeight="1">
      <c r="A52" s="54"/>
      <c r="B52" s="54"/>
      <c r="C52" s="54"/>
      <c r="D52" s="54"/>
      <c r="E52" s="54"/>
      <c r="F52" s="54"/>
      <c r="G52" s="54"/>
      <c r="H52" s="54"/>
      <c r="I52" s="54"/>
      <c r="J52" s="54"/>
      <c r="K52" s="54"/>
      <c r="L52" s="54"/>
      <c r="M52" s="54"/>
      <c r="N52" s="679"/>
      <c r="O52" s="679"/>
      <c r="P52" s="679"/>
      <c r="Q52" s="679"/>
    </row>
    <row r="53" spans="1:17" ht="11.25" customHeight="1">
      <c r="A53" s="54"/>
      <c r="B53" s="54"/>
      <c r="C53" s="54"/>
      <c r="D53" s="54"/>
      <c r="E53" s="54"/>
      <c r="F53" s="54"/>
      <c r="G53" s="54"/>
      <c r="H53" s="54"/>
      <c r="I53" s="54"/>
      <c r="J53" s="54"/>
      <c r="K53" s="54"/>
      <c r="L53" s="54"/>
      <c r="M53" s="54"/>
      <c r="N53" s="679"/>
      <c r="O53" s="679"/>
      <c r="P53" s="679"/>
      <c r="Q53" s="679"/>
    </row>
    <row r="54" spans="1:17" ht="11.25" customHeight="1">
      <c r="A54" s="54"/>
      <c r="B54" s="54"/>
      <c r="C54" s="54"/>
      <c r="D54" s="54"/>
      <c r="E54" s="54"/>
      <c r="F54" s="54"/>
      <c r="G54" s="54"/>
      <c r="H54" s="54"/>
      <c r="I54" s="54"/>
      <c r="J54" s="54"/>
      <c r="K54" s="54"/>
      <c r="L54" s="54"/>
      <c r="M54" s="54"/>
      <c r="N54" s="679"/>
      <c r="O54" s="679"/>
      <c r="P54" s="679"/>
      <c r="Q54" s="679"/>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3:J3"/>
    <mergeCell ref="C20:E20"/>
    <mergeCell ref="I20:L20"/>
  </mergeCells>
  <pageMargins left="0.4365" right="0.33950000000000002" top="0.97950980392156861" bottom="0.43745098039215685"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47"/>
  <sheetViews>
    <sheetView showGridLines="0" view="pageBreakPreview" zoomScale="145" zoomScaleNormal="100" zoomScaleSheetLayoutView="145" zoomScalePageLayoutView="145" workbookViewId="0">
      <selection activeCell="K58" sqref="K58"/>
    </sheetView>
  </sheetViews>
  <sheetFormatPr baseColWidth="10" defaultColWidth="9.28515625" defaultRowHeight="9.6"/>
  <cols>
    <col min="1" max="1" width="16.140625" style="560" customWidth="1"/>
    <col min="2" max="2" width="19.7109375" style="560" customWidth="1"/>
    <col min="3" max="3" width="12.85546875" style="560" bestFit="1" customWidth="1"/>
    <col min="4" max="4" width="50.7109375" style="560" customWidth="1"/>
    <col min="5" max="6" width="12" style="560" customWidth="1"/>
    <col min="7" max="8" width="9.28515625" style="560" customWidth="1"/>
    <col min="9" max="16384" width="9.28515625" style="560"/>
  </cols>
  <sheetData>
    <row r="1" spans="1:9" ht="11.25" customHeight="1">
      <c r="A1" s="558" t="s">
        <v>355</v>
      </c>
      <c r="B1" s="559"/>
      <c r="C1" s="559"/>
      <c r="D1" s="559"/>
      <c r="E1" s="559"/>
      <c r="F1" s="559"/>
    </row>
    <row r="2" spans="1:9" ht="30" customHeight="1">
      <c r="A2" s="561" t="s">
        <v>244</v>
      </c>
      <c r="B2" s="562" t="s">
        <v>356</v>
      </c>
      <c r="C2" s="561" t="s">
        <v>345</v>
      </c>
      <c r="D2" s="563" t="s">
        <v>357</v>
      </c>
      <c r="E2" s="564" t="s">
        <v>358</v>
      </c>
      <c r="F2" s="564" t="s">
        <v>359</v>
      </c>
      <c r="G2" s="565"/>
      <c r="H2" s="566"/>
      <c r="I2" s="567"/>
    </row>
    <row r="3" spans="1:9" ht="60" customHeight="1">
      <c r="A3" s="570" t="s">
        <v>702</v>
      </c>
      <c r="B3" s="570" t="s">
        <v>703</v>
      </c>
      <c r="C3" s="568">
        <v>44922.629861111112</v>
      </c>
      <c r="D3" s="569" t="s">
        <v>740</v>
      </c>
      <c r="E3" s="570">
        <v>0.9</v>
      </c>
      <c r="F3" s="570"/>
      <c r="G3" s="571"/>
      <c r="H3" s="571"/>
      <c r="I3" s="575"/>
    </row>
    <row r="4" spans="1:9" ht="57.6" customHeight="1">
      <c r="A4" s="570" t="s">
        <v>585</v>
      </c>
      <c r="B4" s="570" t="s">
        <v>606</v>
      </c>
      <c r="C4" s="568">
        <v>44922.650694444441</v>
      </c>
      <c r="D4" s="569" t="s">
        <v>741</v>
      </c>
      <c r="E4" s="570">
        <v>1.46</v>
      </c>
      <c r="F4" s="570"/>
      <c r="G4" s="571"/>
      <c r="H4" s="571"/>
      <c r="I4" s="575"/>
    </row>
    <row r="5" spans="1:9" ht="54" customHeight="1">
      <c r="A5" s="570" t="s">
        <v>591</v>
      </c>
      <c r="B5" s="570" t="s">
        <v>719</v>
      </c>
      <c r="C5" s="568">
        <v>44922.770833333336</v>
      </c>
      <c r="D5" s="569" t="s">
        <v>742</v>
      </c>
      <c r="E5" s="570">
        <v>1.47</v>
      </c>
      <c r="F5" s="570"/>
      <c r="G5" s="571"/>
      <c r="H5" s="571"/>
      <c r="I5" s="575"/>
    </row>
    <row r="6" spans="1:9" ht="61.2" customHeight="1">
      <c r="A6" s="570" t="s">
        <v>702</v>
      </c>
      <c r="B6" s="570" t="s">
        <v>703</v>
      </c>
      <c r="C6" s="568">
        <v>44923.616666666669</v>
      </c>
      <c r="D6" s="569" t="s">
        <v>743</v>
      </c>
      <c r="E6" s="570">
        <v>36</v>
      </c>
      <c r="F6" s="570"/>
      <c r="G6" s="571"/>
      <c r="H6" s="571"/>
      <c r="I6" s="575"/>
    </row>
    <row r="7" spans="1:9" ht="67.2" customHeight="1">
      <c r="A7" s="570" t="s">
        <v>451</v>
      </c>
      <c r="B7" s="570" t="s">
        <v>593</v>
      </c>
      <c r="C7" s="568">
        <v>44923.70416666667</v>
      </c>
      <c r="D7" s="569" t="s">
        <v>744</v>
      </c>
      <c r="E7" s="570">
        <v>26.17</v>
      </c>
      <c r="F7" s="570"/>
      <c r="G7" s="571"/>
      <c r="H7" s="571"/>
      <c r="I7" s="575"/>
    </row>
    <row r="8" spans="1:9" ht="66.599999999999994" customHeight="1">
      <c r="A8" s="570" t="s">
        <v>451</v>
      </c>
      <c r="B8" s="570" t="s">
        <v>593</v>
      </c>
      <c r="C8" s="568">
        <v>44923.85833333333</v>
      </c>
      <c r="D8" s="569" t="s">
        <v>745</v>
      </c>
      <c r="E8" s="570">
        <v>25.42</v>
      </c>
      <c r="F8" s="570"/>
    </row>
    <row r="9" spans="1:9" ht="69" customHeight="1">
      <c r="A9" s="570" t="s">
        <v>100</v>
      </c>
      <c r="B9" s="570" t="s">
        <v>590</v>
      </c>
      <c r="C9" s="568">
        <v>44923.918055555558</v>
      </c>
      <c r="D9" s="569" t="s">
        <v>746</v>
      </c>
      <c r="E9" s="570">
        <v>1</v>
      </c>
      <c r="F9" s="570"/>
    </row>
    <row r="10" spans="1:9" ht="67.2" customHeight="1">
      <c r="A10" s="570" t="s">
        <v>747</v>
      </c>
      <c r="B10" s="570" t="s">
        <v>748</v>
      </c>
      <c r="C10" s="568">
        <v>44924.34097222222</v>
      </c>
      <c r="D10" s="569" t="s">
        <v>749</v>
      </c>
      <c r="E10" s="570">
        <v>20.3</v>
      </c>
      <c r="F10" s="570"/>
    </row>
    <row r="11" spans="1:9" ht="54.6" customHeight="1">
      <c r="A11" s="570" t="s">
        <v>702</v>
      </c>
      <c r="B11" s="570" t="s">
        <v>703</v>
      </c>
      <c r="C11" s="568">
        <v>44925.580555555556</v>
      </c>
      <c r="D11" s="569" t="s">
        <v>750</v>
      </c>
      <c r="E11" s="570">
        <v>0.61</v>
      </c>
      <c r="F11" s="570"/>
    </row>
    <row r="12" spans="1:9" ht="75" customHeight="1">
      <c r="A12" s="570" t="s">
        <v>605</v>
      </c>
      <c r="B12" s="570" t="s">
        <v>751</v>
      </c>
      <c r="C12" s="568">
        <v>44926.78402777778</v>
      </c>
      <c r="D12" s="569" t="s">
        <v>752</v>
      </c>
      <c r="E12" s="570"/>
      <c r="F12" s="570">
        <v>7.52</v>
      </c>
    </row>
    <row r="13" spans="1:9" ht="50.4" customHeight="1">
      <c r="A13" s="570" t="s">
        <v>585</v>
      </c>
      <c r="B13" s="570" t="s">
        <v>607</v>
      </c>
      <c r="C13" s="568">
        <v>44926.912499999999</v>
      </c>
      <c r="D13" s="569" t="s">
        <v>753</v>
      </c>
      <c r="E13" s="570">
        <v>5.46</v>
      </c>
      <c r="F13" s="570"/>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row r="45" spans="5:6">
      <c r="E45" s="577"/>
      <c r="F45" s="577"/>
    </row>
    <row r="46" spans="5:6">
      <c r="E46" s="577"/>
      <c r="F46" s="577"/>
    </row>
    <row r="47" spans="5:6">
      <c r="E47" s="577"/>
      <c r="F47"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K58" sqref="K58"/>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71"/>
    <col min="12" max="12" width="18.7109375" style="276" bestFit="1" customWidth="1"/>
    <col min="13" max="14" width="9.28515625" style="276"/>
    <col min="15" max="16" width="9.28515625" style="671"/>
    <col min="17" max="17" width="9.28515625" style="665"/>
    <col min="18" max="16384" width="9.28515625" style="46"/>
  </cols>
  <sheetData>
    <row r="2" spans="1:17" ht="16.5" customHeight="1">
      <c r="A2" s="820" t="s">
        <v>543</v>
      </c>
      <c r="B2" s="820"/>
      <c r="C2" s="820"/>
      <c r="D2" s="820"/>
      <c r="E2" s="820"/>
      <c r="F2" s="820"/>
      <c r="G2" s="820"/>
      <c r="H2" s="820"/>
      <c r="I2" s="820"/>
      <c r="J2" s="820"/>
      <c r="K2" s="692"/>
    </row>
    <row r="3" spans="1:17" ht="12" customHeight="1">
      <c r="A3" s="137"/>
      <c r="B3" s="208"/>
      <c r="C3" s="218"/>
      <c r="D3" s="219"/>
      <c r="E3" s="219"/>
      <c r="F3" s="220"/>
      <c r="G3" s="221"/>
      <c r="H3" s="221"/>
      <c r="I3" s="172"/>
      <c r="J3" s="220"/>
    </row>
    <row r="4" spans="1:17" ht="11.25" customHeight="1">
      <c r="A4" s="187" t="s">
        <v>431</v>
      </c>
      <c r="B4" s="208"/>
      <c r="C4" s="218"/>
      <c r="D4" s="219"/>
      <c r="E4" s="219"/>
      <c r="F4" s="220"/>
      <c r="G4" s="221"/>
      <c r="H4" s="221"/>
      <c r="I4" s="172"/>
      <c r="J4" s="220"/>
      <c r="K4" s="670"/>
    </row>
    <row r="5" spans="1:17" ht="11.25" customHeight="1">
      <c r="A5" s="187"/>
      <c r="B5" s="208"/>
      <c r="C5" s="218"/>
      <c r="D5" s="219"/>
      <c r="E5" s="219"/>
      <c r="F5" s="220"/>
      <c r="G5" s="221"/>
      <c r="H5" s="221"/>
      <c r="I5" s="172"/>
      <c r="J5" s="220"/>
      <c r="K5" s="670"/>
    </row>
    <row r="6" spans="1:17" ht="22.5" customHeight="1">
      <c r="A6" s="768" t="s">
        <v>556</v>
      </c>
      <c r="B6" s="769" t="s">
        <v>208</v>
      </c>
      <c r="C6" s="769" t="s">
        <v>557</v>
      </c>
      <c r="D6" s="769" t="s">
        <v>558</v>
      </c>
      <c r="E6" s="769" t="s">
        <v>559</v>
      </c>
      <c r="F6" s="770" t="s">
        <v>560</v>
      </c>
      <c r="G6" s="771" t="s">
        <v>561</v>
      </c>
      <c r="H6" s="770" t="s">
        <v>562</v>
      </c>
      <c r="I6" s="771" t="s">
        <v>563</v>
      </c>
      <c r="J6" s="772" t="s">
        <v>564</v>
      </c>
      <c r="K6" s="670"/>
    </row>
    <row r="7" spans="1:17" ht="21.75" customHeight="1">
      <c r="A7" s="773" t="s">
        <v>399</v>
      </c>
      <c r="B7" s="774" t="s">
        <v>36</v>
      </c>
      <c r="C7" s="774" t="s">
        <v>570</v>
      </c>
      <c r="D7" s="774" t="s">
        <v>571</v>
      </c>
      <c r="E7" s="774" t="s">
        <v>572</v>
      </c>
      <c r="F7" s="775" t="s">
        <v>573</v>
      </c>
      <c r="G7" s="776">
        <v>13.8</v>
      </c>
      <c r="H7" s="777">
        <v>114.5</v>
      </c>
      <c r="I7" s="777">
        <v>114.5</v>
      </c>
      <c r="J7" s="778" t="s">
        <v>574</v>
      </c>
      <c r="K7" s="670"/>
    </row>
    <row r="8" spans="1:17" s="222" customFormat="1" ht="13.2" customHeight="1">
      <c r="A8" s="779" t="s">
        <v>41</v>
      </c>
      <c r="B8" s="780"/>
      <c r="C8" s="780"/>
      <c r="D8" s="780"/>
      <c r="E8" s="781"/>
      <c r="F8" s="782"/>
      <c r="G8" s="783"/>
      <c r="H8" s="784">
        <f>+H7</f>
        <v>114.5</v>
      </c>
      <c r="I8" s="784">
        <f>+I7</f>
        <v>114.5</v>
      </c>
      <c r="J8" s="785"/>
      <c r="K8" s="693"/>
      <c r="L8" s="664"/>
      <c r="M8" s="664"/>
      <c r="N8" s="664"/>
      <c r="O8" s="694"/>
      <c r="P8" s="694"/>
      <c r="Q8" s="666"/>
    </row>
    <row r="9" spans="1:17" s="222" customFormat="1" ht="13.2" customHeight="1">
      <c r="H9" s="646"/>
      <c r="I9" s="646"/>
      <c r="J9" s="647"/>
      <c r="K9" s="693"/>
      <c r="L9" s="664"/>
      <c r="M9" s="664"/>
      <c r="N9" s="664"/>
      <c r="O9" s="694"/>
      <c r="P9" s="694"/>
      <c r="Q9" s="666"/>
    </row>
    <row r="10" spans="1:17" s="222" customFormat="1" ht="10.199999999999999" customHeight="1">
      <c r="A10" s="187" t="s">
        <v>528</v>
      </c>
      <c r="B10" s="552"/>
      <c r="C10" s="552"/>
      <c r="D10" s="552"/>
      <c r="E10" s="552"/>
      <c r="F10" s="553"/>
      <c r="G10" s="554"/>
      <c r="H10" s="555"/>
      <c r="I10" s="555"/>
      <c r="J10" s="556"/>
      <c r="K10" s="693"/>
      <c r="L10" s="664"/>
      <c r="M10" s="664"/>
      <c r="N10" s="664"/>
      <c r="O10" s="694"/>
      <c r="P10" s="694"/>
      <c r="Q10" s="666"/>
    </row>
    <row r="11" spans="1:17" s="222" customFormat="1" ht="10.199999999999999" customHeight="1">
      <c r="A11" s="551"/>
      <c r="B11" s="552"/>
      <c r="C11" s="552"/>
      <c r="D11" s="552"/>
      <c r="E11" s="552"/>
      <c r="F11" s="553"/>
      <c r="G11" s="554"/>
      <c r="H11" s="555"/>
      <c r="I11" s="555"/>
      <c r="J11" s="556"/>
      <c r="K11" s="693"/>
      <c r="L11" s="664"/>
      <c r="M11" s="664"/>
      <c r="N11" s="664"/>
      <c r="O11" s="694"/>
      <c r="P11" s="694"/>
      <c r="Q11" s="666"/>
    </row>
    <row r="12" spans="1:17" s="222" customFormat="1" ht="22.5" customHeight="1">
      <c r="A12" s="768" t="s">
        <v>556</v>
      </c>
      <c r="B12" s="769" t="s">
        <v>208</v>
      </c>
      <c r="C12" s="769" t="s">
        <v>557</v>
      </c>
      <c r="D12" s="769" t="s">
        <v>558</v>
      </c>
      <c r="E12" s="769" t="s">
        <v>559</v>
      </c>
      <c r="F12" s="770" t="s">
        <v>560</v>
      </c>
      <c r="G12" s="771" t="s">
        <v>561</v>
      </c>
      <c r="H12" s="770" t="s">
        <v>562</v>
      </c>
      <c r="I12" s="771" t="s">
        <v>563</v>
      </c>
      <c r="J12" s="772" t="s">
        <v>564</v>
      </c>
      <c r="K12" s="693"/>
      <c r="L12" s="664"/>
      <c r="M12" s="664"/>
      <c r="N12" s="664"/>
      <c r="O12" s="694"/>
      <c r="P12" s="694"/>
      <c r="Q12" s="666"/>
    </row>
    <row r="13" spans="1:17" s="222" customFormat="1" ht="18.75" customHeight="1">
      <c r="A13" s="773" t="s">
        <v>565</v>
      </c>
      <c r="B13" s="774" t="s">
        <v>35</v>
      </c>
      <c r="C13" s="774" t="s">
        <v>43</v>
      </c>
      <c r="D13" s="774" t="s">
        <v>566</v>
      </c>
      <c r="E13" s="774" t="s">
        <v>567</v>
      </c>
      <c r="F13" s="775" t="s">
        <v>568</v>
      </c>
      <c r="G13" s="776">
        <v>0.4</v>
      </c>
      <c r="H13" s="777">
        <v>1</v>
      </c>
      <c r="I13" s="777">
        <v>0.92847000000000002</v>
      </c>
      <c r="J13" s="778" t="s">
        <v>569</v>
      </c>
      <c r="K13" s="693"/>
      <c r="L13" s="664"/>
      <c r="M13" s="664"/>
      <c r="N13" s="664"/>
      <c r="O13" s="694"/>
      <c r="P13" s="694"/>
      <c r="Q13" s="666"/>
    </row>
    <row r="14" spans="1:17" s="222" customFormat="1" ht="18.75" customHeight="1">
      <c r="A14" s="773" t="s">
        <v>86</v>
      </c>
      <c r="B14" s="774" t="s">
        <v>36</v>
      </c>
      <c r="C14" s="774" t="s">
        <v>26</v>
      </c>
      <c r="D14" s="774" t="s">
        <v>573</v>
      </c>
      <c r="E14" s="774" t="s">
        <v>763</v>
      </c>
      <c r="F14" s="775" t="s">
        <v>764</v>
      </c>
      <c r="G14" s="776">
        <v>13.8</v>
      </c>
      <c r="H14" s="777">
        <v>140.70957000000001</v>
      </c>
      <c r="I14" s="777">
        <v>139.77493000000001</v>
      </c>
      <c r="J14" s="778" t="s">
        <v>765</v>
      </c>
      <c r="K14" s="693"/>
      <c r="L14" s="664"/>
      <c r="M14" s="664"/>
      <c r="N14" s="664"/>
      <c r="O14" s="694"/>
      <c r="P14" s="694"/>
      <c r="Q14" s="666"/>
    </row>
    <row r="15" spans="1:17" s="222" customFormat="1" ht="13.2" customHeight="1">
      <c r="A15" s="779" t="s">
        <v>41</v>
      </c>
      <c r="B15" s="780"/>
      <c r="C15" s="780"/>
      <c r="D15" s="780"/>
      <c r="E15" s="781"/>
      <c r="F15" s="782"/>
      <c r="G15" s="783"/>
      <c r="H15" s="784">
        <f>+H13+H14</f>
        <v>141.70957000000001</v>
      </c>
      <c r="I15" s="784">
        <f>+I13+I14</f>
        <v>140.70340000000002</v>
      </c>
      <c r="J15" s="785"/>
      <c r="K15" s="693"/>
      <c r="L15" s="664"/>
      <c r="M15" s="664"/>
      <c r="N15" s="664"/>
      <c r="O15" s="694"/>
      <c r="P15" s="694"/>
      <c r="Q15" s="666"/>
    </row>
    <row r="16" spans="1:17" s="222" customFormat="1" ht="13.95" customHeight="1">
      <c r="A16" s="551"/>
      <c r="B16" s="552"/>
      <c r="C16" s="552"/>
      <c r="D16" s="552"/>
      <c r="E16" s="552"/>
      <c r="F16" s="553"/>
      <c r="G16" s="554"/>
      <c r="H16" s="555"/>
      <c r="I16" s="555"/>
      <c r="J16" s="556"/>
      <c r="K16" s="693"/>
      <c r="L16" s="664"/>
      <c r="M16" s="664"/>
      <c r="N16" s="664"/>
      <c r="O16" s="694"/>
      <c r="P16" s="694"/>
      <c r="Q16" s="666"/>
    </row>
    <row r="17" spans="1:15" ht="11.25" customHeight="1">
      <c r="A17" s="187" t="s">
        <v>461</v>
      </c>
      <c r="B17" s="132"/>
      <c r="C17" s="223"/>
      <c r="D17" s="132"/>
      <c r="E17" s="132"/>
      <c r="F17" s="132"/>
      <c r="G17" s="132"/>
      <c r="H17" s="132"/>
      <c r="I17" s="132"/>
      <c r="J17" s="132"/>
      <c r="K17" s="695"/>
    </row>
    <row r="18" spans="1:15" ht="11.25" customHeight="1">
      <c r="B18" s="132"/>
      <c r="C18" s="223"/>
      <c r="D18" s="132"/>
      <c r="E18" s="132"/>
      <c r="F18" s="132"/>
      <c r="G18" s="132"/>
      <c r="H18" s="132"/>
      <c r="I18" s="132"/>
      <c r="J18" s="132"/>
      <c r="K18" s="695"/>
    </row>
    <row r="19" spans="1:15" ht="21" customHeight="1">
      <c r="B19" s="818" t="s">
        <v>212</v>
      </c>
      <c r="C19" s="819"/>
      <c r="D19" s="358" t="str">
        <f>UPPER('1. Resumen'!Q4)&amp;" "&amp;'1. Resumen'!Q5</f>
        <v>DICIEMBE 2022</v>
      </c>
      <c r="E19" s="358" t="str">
        <f>UPPER('1. Resumen'!Q4)&amp;" "&amp;'1. Resumen'!Q5-1</f>
        <v>DICIEMBE 2021</v>
      </c>
      <c r="F19" s="359" t="s">
        <v>213</v>
      </c>
      <c r="G19" s="224"/>
      <c r="H19" s="224"/>
      <c r="I19" s="132"/>
      <c r="J19" s="132"/>
    </row>
    <row r="20" spans="1:15" ht="9.75" customHeight="1">
      <c r="B20" s="821" t="s">
        <v>209</v>
      </c>
      <c r="C20" s="822"/>
      <c r="D20" s="349">
        <f>5261.9382475-H13</f>
        <v>5260.9382475000002</v>
      </c>
      <c r="E20" s="350">
        <v>5261.9382474999966</v>
      </c>
      <c r="F20" s="648">
        <f>+D20/E20-1</f>
        <v>-1.9004403946998316E-4</v>
      </c>
      <c r="G20" s="224"/>
      <c r="H20" s="224"/>
      <c r="I20" s="132"/>
      <c r="J20" s="132"/>
      <c r="K20" s="695"/>
    </row>
    <row r="21" spans="1:15" ht="9.75" customHeight="1">
      <c r="B21" s="823" t="s">
        <v>210</v>
      </c>
      <c r="C21" s="824"/>
      <c r="D21" s="351">
        <f>7490.5945+H7-H14</f>
        <v>7464.3849300000002</v>
      </c>
      <c r="E21" s="352">
        <v>7490.5944999999983</v>
      </c>
      <c r="F21" s="649">
        <f>+D21/E21-1</f>
        <v>-3.4989973092253157E-3</v>
      </c>
      <c r="G21" s="225"/>
      <c r="H21" s="225"/>
      <c r="M21" s="667"/>
      <c r="N21" s="667"/>
      <c r="O21" s="696"/>
    </row>
    <row r="22" spans="1:15" ht="9.75" customHeight="1">
      <c r="B22" s="825" t="s">
        <v>211</v>
      </c>
      <c r="C22" s="826"/>
      <c r="D22" s="353">
        <v>412.2</v>
      </c>
      <c r="E22" s="354">
        <v>412.2</v>
      </c>
      <c r="F22" s="650">
        <f>+D22/E22-1</f>
        <v>0</v>
      </c>
      <c r="G22" s="225"/>
      <c r="H22" s="225"/>
    </row>
    <row r="23" spans="1:15" ht="9.75" customHeight="1">
      <c r="B23" s="827" t="s">
        <v>79</v>
      </c>
      <c r="C23" s="828"/>
      <c r="D23" s="355">
        <v>282.27499999999998</v>
      </c>
      <c r="E23" s="356">
        <v>286.315</v>
      </c>
      <c r="F23" s="651">
        <f>+D23/E23-1</f>
        <v>-1.4110333024815347E-2</v>
      </c>
      <c r="G23" s="225"/>
      <c r="H23" s="225"/>
    </row>
    <row r="24" spans="1:15" ht="10.5" customHeight="1">
      <c r="B24" s="816" t="s">
        <v>193</v>
      </c>
      <c r="C24" s="817"/>
      <c r="D24" s="357">
        <f>+SUM(D20:D23)</f>
        <v>13419.798177500001</v>
      </c>
      <c r="E24" s="357">
        <f>+SUM(E20:E23)</f>
        <v>13451.047747499995</v>
      </c>
      <c r="F24" s="652">
        <f>+D24/E24-1</f>
        <v>-2.3232071275490762E-3</v>
      </c>
      <c r="G24" s="321"/>
      <c r="H24" s="225"/>
    </row>
    <row r="25" spans="1:15" ht="11.25" customHeight="1">
      <c r="B25" s="267" t="str">
        <f>"Cuadro N° 2: Comparación de la potencia instalada en el SEIN al término de "&amp;'1. Resumen'!Q4&amp;" "&amp;'1. Resumen'!Q5-1&amp;" y "&amp;'1. Resumen'!Q4&amp;" "&amp;'1. Resumen'!Q5</f>
        <v>Cuadro N° 2: Comparación de la potencia instalada en el SEIN al término de diciembe 2021 y diciembe 2022</v>
      </c>
      <c r="C25" s="224"/>
      <c r="D25" s="224"/>
      <c r="E25" s="224"/>
      <c r="F25" s="224"/>
      <c r="G25" s="224"/>
      <c r="H25" s="224"/>
      <c r="I25" s="132"/>
      <c r="J25" s="132"/>
      <c r="K25" s="695"/>
    </row>
    <row r="26" spans="1:15" ht="9" customHeight="1">
      <c r="B26" s="267"/>
      <c r="C26" s="224"/>
      <c r="D26" s="224"/>
      <c r="E26" s="224"/>
      <c r="F26" s="224"/>
      <c r="G26" s="224"/>
      <c r="H26" s="224"/>
      <c r="I26" s="132"/>
      <c r="J26" s="132"/>
      <c r="K26" s="695"/>
    </row>
    <row r="27" spans="1:15" ht="9" customHeight="1">
      <c r="B27" s="267"/>
      <c r="C27" s="224"/>
      <c r="D27" s="224"/>
      <c r="E27" s="224"/>
      <c r="F27" s="224"/>
      <c r="G27" s="224"/>
      <c r="H27" s="224"/>
      <c r="I27" s="132"/>
      <c r="J27" s="132"/>
      <c r="K27" s="695"/>
    </row>
    <row r="28" spans="1:15" ht="9" customHeight="1">
      <c r="B28" s="267"/>
      <c r="C28" s="224"/>
      <c r="D28" s="224"/>
      <c r="E28" s="224"/>
      <c r="F28" s="224"/>
      <c r="G28" s="224"/>
      <c r="H28" s="224"/>
      <c r="I28" s="132"/>
      <c r="J28" s="132"/>
      <c r="K28" s="695"/>
    </row>
    <row r="29" spans="1:15" ht="9" customHeight="1">
      <c r="B29" s="267"/>
      <c r="C29" s="224"/>
      <c r="D29" s="224"/>
      <c r="E29" s="224"/>
      <c r="F29" s="224"/>
      <c r="G29" s="224"/>
      <c r="H29" s="224"/>
      <c r="I29" s="132"/>
      <c r="J29" s="132"/>
      <c r="K29" s="695"/>
    </row>
    <row r="30" spans="1:15" ht="9" customHeight="1">
      <c r="B30" s="267"/>
      <c r="C30" s="224"/>
      <c r="D30" s="224"/>
      <c r="E30" s="224"/>
      <c r="F30" s="224"/>
      <c r="G30" s="224"/>
      <c r="H30" s="224"/>
      <c r="I30" s="132"/>
      <c r="J30" s="132"/>
      <c r="K30" s="695"/>
    </row>
    <row r="31" spans="1:15" ht="9" customHeight="1">
      <c r="B31" s="267"/>
      <c r="C31" s="224"/>
      <c r="D31" s="224"/>
      <c r="E31" s="224"/>
      <c r="F31" s="224"/>
      <c r="G31" s="224"/>
      <c r="H31" s="224"/>
      <c r="I31" s="132"/>
      <c r="J31" s="132"/>
      <c r="K31" s="695"/>
    </row>
    <row r="32" spans="1:15" ht="9" customHeight="1">
      <c r="B32" s="267"/>
      <c r="C32" s="224"/>
      <c r="D32" s="224"/>
      <c r="E32" s="224"/>
      <c r="F32" s="224"/>
      <c r="G32" s="224"/>
      <c r="H32" s="224"/>
      <c r="I32" s="132"/>
      <c r="J32" s="132"/>
      <c r="K32" s="695"/>
    </row>
    <row r="33" spans="2:11" ht="9" customHeight="1">
      <c r="B33" s="267"/>
      <c r="C33" s="224"/>
      <c r="D33" s="224"/>
      <c r="E33" s="224"/>
      <c r="F33" s="224"/>
      <c r="G33" s="224"/>
      <c r="H33" s="224"/>
      <c r="I33" s="132"/>
      <c r="J33" s="132"/>
      <c r="K33" s="695"/>
    </row>
    <row r="34" spans="2:11" ht="9" customHeight="1">
      <c r="B34" s="267"/>
      <c r="C34" s="224"/>
      <c r="D34" s="224"/>
      <c r="E34" s="224"/>
      <c r="F34" s="224"/>
      <c r="G34" s="224"/>
      <c r="H34" s="224"/>
      <c r="I34" s="132"/>
      <c r="J34" s="132"/>
      <c r="K34" s="695"/>
    </row>
    <row r="35" spans="2:11" ht="9" customHeight="1">
      <c r="B35" s="267"/>
      <c r="C35" s="224"/>
      <c r="D35" s="224"/>
      <c r="E35" s="224"/>
      <c r="F35" s="224"/>
      <c r="G35" s="224"/>
      <c r="H35" s="224"/>
      <c r="I35" s="132"/>
      <c r="J35" s="132"/>
      <c r="K35" s="695"/>
    </row>
    <row r="36" spans="2:11" ht="9" customHeight="1">
      <c r="B36" s="267"/>
      <c r="C36" s="224"/>
      <c r="D36" s="224"/>
      <c r="E36" s="224"/>
      <c r="F36" s="224"/>
      <c r="G36" s="224"/>
      <c r="H36" s="224"/>
      <c r="I36" s="132"/>
      <c r="J36" s="132"/>
      <c r="K36" s="695"/>
    </row>
    <row r="37" spans="2:11" ht="9" customHeight="1">
      <c r="B37" s="267"/>
      <c r="C37" s="224"/>
      <c r="D37" s="224"/>
      <c r="E37" s="224"/>
      <c r="F37" s="224"/>
      <c r="G37" s="224"/>
      <c r="H37" s="224"/>
      <c r="I37" s="132"/>
      <c r="J37" s="132"/>
      <c r="K37" s="695"/>
    </row>
    <row r="38" spans="2:11" ht="9" customHeight="1">
      <c r="B38" s="267"/>
      <c r="C38" s="224"/>
      <c r="D38" s="224"/>
      <c r="E38" s="224"/>
      <c r="F38" s="224"/>
      <c r="G38" s="224"/>
      <c r="H38" s="224"/>
      <c r="I38" s="132"/>
      <c r="J38" s="132"/>
      <c r="K38" s="695"/>
    </row>
    <row r="39" spans="2:11" ht="9" customHeight="1">
      <c r="B39" s="267"/>
      <c r="C39" s="224"/>
      <c r="D39" s="224"/>
      <c r="E39" s="224"/>
      <c r="F39" s="224"/>
      <c r="G39" s="224"/>
      <c r="H39" s="224"/>
      <c r="I39" s="132"/>
      <c r="J39" s="132"/>
      <c r="K39" s="695"/>
    </row>
    <row r="40" spans="2:11" ht="9" customHeight="1">
      <c r="B40" s="267"/>
      <c r="C40" s="224"/>
      <c r="D40" s="224"/>
      <c r="E40" s="224"/>
      <c r="F40" s="224"/>
      <c r="G40" s="224"/>
      <c r="H40" s="224"/>
      <c r="I40" s="132"/>
      <c r="J40" s="132"/>
      <c r="K40" s="695"/>
    </row>
    <row r="41" spans="2:11" ht="9" customHeight="1">
      <c r="B41" s="267"/>
      <c r="C41" s="224"/>
      <c r="D41" s="224"/>
      <c r="E41" s="224"/>
      <c r="F41" s="224"/>
      <c r="G41" s="224"/>
      <c r="H41" s="224"/>
      <c r="I41" s="132"/>
      <c r="J41" s="132"/>
      <c r="K41" s="695"/>
    </row>
    <row r="42" spans="2:11" ht="9" customHeight="1">
      <c r="B42" s="267"/>
      <c r="C42" s="224"/>
      <c r="D42" s="224"/>
      <c r="E42" s="224"/>
      <c r="F42" s="224"/>
      <c r="G42" s="224"/>
      <c r="H42" s="224"/>
      <c r="I42" s="132"/>
      <c r="J42" s="132"/>
      <c r="K42" s="695"/>
    </row>
    <row r="43" spans="2:11" ht="9" customHeight="1">
      <c r="B43" s="267"/>
      <c r="C43" s="224"/>
      <c r="D43" s="224"/>
      <c r="E43" s="224"/>
      <c r="F43" s="224"/>
      <c r="G43" s="224"/>
      <c r="H43" s="224"/>
      <c r="I43" s="132"/>
      <c r="J43" s="132"/>
      <c r="K43" s="695"/>
    </row>
    <row r="44" spans="2:11" ht="9" customHeight="1">
      <c r="B44" s="267"/>
      <c r="C44" s="224"/>
      <c r="D44" s="224"/>
      <c r="E44" s="224"/>
      <c r="F44" s="224"/>
      <c r="G44" s="224"/>
      <c r="H44" s="224"/>
      <c r="I44" s="132"/>
      <c r="J44" s="132"/>
      <c r="K44" s="695"/>
    </row>
    <row r="45" spans="2:11" ht="9" customHeight="1">
      <c r="B45" s="267"/>
      <c r="C45" s="224"/>
      <c r="D45" s="224"/>
      <c r="E45" s="224"/>
      <c r="F45" s="224"/>
      <c r="G45" s="224"/>
      <c r="H45" s="224"/>
      <c r="I45" s="132"/>
      <c r="J45" s="132"/>
      <c r="K45" s="695"/>
    </row>
    <row r="46" spans="2:11" ht="9" customHeight="1">
      <c r="B46" s="267"/>
      <c r="C46" s="224"/>
      <c r="D46" s="224"/>
      <c r="E46" s="224"/>
      <c r="F46" s="224"/>
      <c r="G46" s="224"/>
      <c r="H46" s="224"/>
      <c r="I46" s="132"/>
      <c r="J46" s="132"/>
      <c r="K46" s="695"/>
    </row>
    <row r="47" spans="2:11" ht="25.5" customHeight="1">
      <c r="B47" s="267"/>
      <c r="C47" s="224"/>
      <c r="D47" s="224"/>
      <c r="E47" s="224"/>
      <c r="F47" s="224"/>
      <c r="G47" s="224"/>
      <c r="H47" s="224"/>
      <c r="I47" s="132"/>
      <c r="J47" s="132"/>
      <c r="K47" s="695"/>
    </row>
    <row r="48" spans="2:11" ht="11.25" customHeight="1">
      <c r="B48" s="267"/>
      <c r="C48" s="224"/>
      <c r="D48" s="224"/>
      <c r="E48" s="224"/>
      <c r="F48" s="224"/>
      <c r="G48" s="224"/>
      <c r="H48" s="224"/>
      <c r="I48" s="132"/>
      <c r="J48" s="132"/>
      <c r="K48" s="695"/>
    </row>
    <row r="49" spans="1:11" ht="11.25" customHeight="1">
      <c r="B49" s="267"/>
      <c r="C49" s="224"/>
      <c r="D49" s="224"/>
      <c r="E49" s="224"/>
      <c r="F49" s="224"/>
      <c r="G49" s="224"/>
      <c r="H49" s="224"/>
      <c r="I49" s="132"/>
      <c r="J49" s="132"/>
      <c r="K49" s="695"/>
    </row>
    <row r="50" spans="1:11" ht="11.25" customHeight="1">
      <c r="B50" s="267"/>
      <c r="C50" s="224"/>
      <c r="D50" s="224"/>
      <c r="E50" s="224"/>
      <c r="F50" s="224"/>
      <c r="G50" s="224"/>
      <c r="H50" s="224"/>
      <c r="I50" s="132"/>
      <c r="J50" s="132"/>
      <c r="K50" s="695"/>
    </row>
    <row r="51" spans="1:11" ht="11.25" customHeight="1">
      <c r="B51" s="267"/>
      <c r="C51" s="224"/>
      <c r="D51" s="224"/>
      <c r="E51" s="224"/>
      <c r="F51" s="224"/>
      <c r="G51" s="224"/>
      <c r="H51" s="224"/>
      <c r="I51" s="132"/>
      <c r="J51" s="132"/>
      <c r="K51" s="695"/>
    </row>
    <row r="52" spans="1:11" ht="11.25" customHeight="1">
      <c r="B52" s="267"/>
      <c r="C52" s="224"/>
      <c r="D52" s="224"/>
      <c r="E52" s="224"/>
      <c r="F52" s="224"/>
      <c r="G52" s="224"/>
      <c r="H52" s="224"/>
      <c r="I52" s="132"/>
      <c r="J52" s="132"/>
      <c r="K52" s="695"/>
    </row>
    <row r="53" spans="1:11" ht="25.2" customHeight="1">
      <c r="A53" s="132"/>
      <c r="C53" s="225"/>
      <c r="D53" s="224"/>
      <c r="E53" s="224"/>
      <c r="F53" s="224"/>
      <c r="G53" s="224"/>
      <c r="H53" s="224"/>
      <c r="I53" s="132"/>
      <c r="J53" s="132"/>
      <c r="K53" s="695"/>
    </row>
    <row r="54" spans="1:11" ht="25.2" customHeight="1">
      <c r="A54" s="132"/>
      <c r="B54" s="132"/>
      <c r="C54" s="132"/>
      <c r="D54" s="132"/>
      <c r="E54" s="132"/>
      <c r="F54" s="132"/>
      <c r="G54" s="132"/>
      <c r="H54" s="132"/>
      <c r="I54" s="132"/>
      <c r="J54" s="132"/>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diciembe 2021 y diciembe 2022</v>
      </c>
      <c r="C57" s="132"/>
      <c r="D57" s="132"/>
      <c r="E57" s="132"/>
      <c r="F57" s="132"/>
      <c r="G57" s="132"/>
      <c r="H57" s="132"/>
      <c r="I57" s="132"/>
      <c r="J57" s="132"/>
    </row>
  </sheetData>
  <mergeCells count="7">
    <mergeCell ref="B24:C24"/>
    <mergeCell ref="B19:C19"/>
    <mergeCell ref="A2:J2"/>
    <mergeCell ref="B20:C20"/>
    <mergeCell ref="B21:C21"/>
    <mergeCell ref="B22:C22"/>
    <mergeCell ref="B23:C23"/>
  </mergeCells>
  <pageMargins left="0.4365" right="0.33950000000000002" top="0.93766666666666665" bottom="0.55774999999999997"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8"/>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3" t="s">
        <v>215</v>
      </c>
      <c r="B2" s="833"/>
      <c r="C2" s="833"/>
      <c r="D2" s="833"/>
      <c r="E2" s="833"/>
      <c r="F2" s="833"/>
      <c r="G2" s="833"/>
      <c r="H2" s="833"/>
      <c r="I2" s="833"/>
      <c r="J2" s="833"/>
      <c r="K2" s="833"/>
    </row>
    <row r="3" spans="1:11" ht="11.25" customHeight="1">
      <c r="A3" s="83"/>
      <c r="B3" s="84"/>
      <c r="C3" s="85"/>
      <c r="D3" s="86"/>
      <c r="E3" s="86"/>
      <c r="F3" s="86"/>
      <c r="G3" s="86"/>
      <c r="H3" s="83"/>
      <c r="I3" s="83"/>
      <c r="J3" s="83"/>
      <c r="K3" s="87"/>
    </row>
    <row r="4" spans="1:11" ht="11.25" customHeight="1">
      <c r="A4" s="834" t="str">
        <f>+"3.1. PRODUCCIÓN POR TIPO DE GENERACIÓN (GWh)"</f>
        <v>3.1. PRODUCCIÓN POR TIPO DE GENERACIÓN (GWh)</v>
      </c>
      <c r="B4" s="834"/>
      <c r="C4" s="834"/>
      <c r="D4" s="834"/>
      <c r="E4" s="834"/>
      <c r="F4" s="834"/>
      <c r="G4" s="834"/>
      <c r="H4" s="834"/>
      <c r="I4" s="834"/>
      <c r="J4" s="834"/>
      <c r="K4" s="834"/>
    </row>
    <row r="5" spans="1:11" ht="11.25" customHeight="1">
      <c r="A5" s="54"/>
      <c r="B5" s="88"/>
      <c r="C5" s="89"/>
      <c r="D5" s="90"/>
      <c r="E5" s="90"/>
      <c r="F5" s="90"/>
      <c r="G5" s="90"/>
      <c r="H5" s="91"/>
      <c r="I5" s="83"/>
      <c r="J5" s="83"/>
      <c r="K5" s="92"/>
    </row>
    <row r="6" spans="1:11" ht="18" customHeight="1">
      <c r="A6" s="831" t="s">
        <v>31</v>
      </c>
      <c r="B6" s="835" t="s">
        <v>32</v>
      </c>
      <c r="C6" s="836"/>
      <c r="D6" s="836"/>
      <c r="E6" s="836" t="s">
        <v>33</v>
      </c>
      <c r="F6" s="836"/>
      <c r="G6" s="837" t="str">
        <f>"Generación Acumulada a "&amp;'1. Resumen'!Q4</f>
        <v>Generación Acumulada a diciembe</v>
      </c>
      <c r="H6" s="837"/>
      <c r="I6" s="837"/>
      <c r="J6" s="837"/>
      <c r="K6" s="838"/>
    </row>
    <row r="7" spans="1:11" ht="32.25" customHeight="1">
      <c r="A7" s="832"/>
      <c r="B7" s="360">
        <f>+C7-30</f>
        <v>44838</v>
      </c>
      <c r="C7" s="360">
        <f>+D7-28</f>
        <v>44868</v>
      </c>
      <c r="D7" s="360">
        <f>+'1. Resumen'!Q6</f>
        <v>44896</v>
      </c>
      <c r="E7" s="360">
        <f>+D7-365</f>
        <v>44531</v>
      </c>
      <c r="F7" s="361" t="s">
        <v>34</v>
      </c>
      <c r="G7" s="362">
        <v>2022</v>
      </c>
      <c r="H7" s="362">
        <v>2021</v>
      </c>
      <c r="I7" s="361" t="s">
        <v>535</v>
      </c>
      <c r="J7" s="362">
        <v>2020</v>
      </c>
      <c r="K7" s="363" t="s">
        <v>459</v>
      </c>
    </row>
    <row r="8" spans="1:11" ht="15" customHeight="1">
      <c r="A8" s="116" t="s">
        <v>35</v>
      </c>
      <c r="B8" s="304">
        <v>1960.0373353425</v>
      </c>
      <c r="C8" s="300">
        <v>1784.1788579074996</v>
      </c>
      <c r="D8" s="305">
        <v>2068.1741958075004</v>
      </c>
      <c r="E8" s="304">
        <v>2942.2881527525005</v>
      </c>
      <c r="F8" s="233">
        <f>IF(E8=0,"",D8/E8-1)</f>
        <v>-0.29708645501878173</v>
      </c>
      <c r="G8" s="312">
        <v>28486.350165722495</v>
      </c>
      <c r="H8" s="300">
        <v>30664.412630418999</v>
      </c>
      <c r="I8" s="237">
        <f>IF(H8=0,"",G8/H8-1)</f>
        <v>-7.1028996737927841E-2</v>
      </c>
      <c r="J8" s="304">
        <v>29317.562410899998</v>
      </c>
      <c r="K8" s="233">
        <f t="shared" ref="K8:K15" si="0">IF(J8=0,"",H8/J8-1)</f>
        <v>4.594004783352168E-2</v>
      </c>
    </row>
    <row r="9" spans="1:11" ht="15" customHeight="1">
      <c r="A9" s="117" t="s">
        <v>36</v>
      </c>
      <c r="B9" s="306">
        <v>2613.5648268050004</v>
      </c>
      <c r="C9" s="243">
        <v>2834.8333053300003</v>
      </c>
      <c r="D9" s="307">
        <v>2735.3685220600005</v>
      </c>
      <c r="E9" s="306">
        <v>1527.0885304800001</v>
      </c>
      <c r="F9" s="234">
        <f t="shared" ref="F9:F15" si="1">IF(E9=0,"",D9/E9-1)</f>
        <v>0.79123113523759447</v>
      </c>
      <c r="G9" s="313">
        <v>24846.5571019175</v>
      </c>
      <c r="H9" s="243">
        <v>20723.380587247499</v>
      </c>
      <c r="I9" s="238">
        <f t="shared" ref="I9:I15" si="2">IF(H9=0,"",G9/H9-1)</f>
        <v>0.19896254365020316</v>
      </c>
      <c r="J9" s="306">
        <v>17288.021226845005</v>
      </c>
      <c r="K9" s="234">
        <f t="shared" si="0"/>
        <v>0.19871327755359491</v>
      </c>
    </row>
    <row r="10" spans="1:11" ht="15" customHeight="1">
      <c r="A10" s="118" t="s">
        <v>37</v>
      </c>
      <c r="B10" s="308">
        <v>188.35351789749998</v>
      </c>
      <c r="C10" s="244">
        <v>131.16011250249997</v>
      </c>
      <c r="D10" s="309">
        <v>136.49075921249997</v>
      </c>
      <c r="E10" s="308">
        <v>144.32565196250002</v>
      </c>
      <c r="F10" s="235">
        <f>IF(E10=0,"",D10/E10-1)</f>
        <v>-5.4286210687174208E-2</v>
      </c>
      <c r="G10" s="314">
        <v>1930.1016319949999</v>
      </c>
      <c r="H10" s="244">
        <v>1800.6359014000002</v>
      </c>
      <c r="I10" s="239">
        <f t="shared" si="2"/>
        <v>7.1900005156144919E-2</v>
      </c>
      <c r="J10" s="308">
        <v>1803.1959296025</v>
      </c>
      <c r="K10" s="235">
        <f t="shared" si="0"/>
        <v>-1.4197171591132651E-3</v>
      </c>
    </row>
    <row r="11" spans="1:11" ht="15" customHeight="1">
      <c r="A11" s="117" t="s">
        <v>29</v>
      </c>
      <c r="B11" s="306">
        <v>85.305445697500005</v>
      </c>
      <c r="C11" s="243">
        <v>81.886447879999992</v>
      </c>
      <c r="D11" s="307">
        <v>72.756407109999998</v>
      </c>
      <c r="E11" s="306">
        <v>73.559578087499986</v>
      </c>
      <c r="F11" s="234">
        <f>IF(E11=0,"",D11/E11-1)</f>
        <v>-1.0918645788650538E-2</v>
      </c>
      <c r="G11" s="313">
        <v>821.18880002250012</v>
      </c>
      <c r="H11" s="243">
        <v>801.91851950750004</v>
      </c>
      <c r="I11" s="238">
        <f t="shared" si="2"/>
        <v>2.4030222580262883E-2</v>
      </c>
      <c r="J11" s="306">
        <v>777.86027249749998</v>
      </c>
      <c r="K11" s="234">
        <f t="shared" si="0"/>
        <v>3.0928751423125789E-2</v>
      </c>
    </row>
    <row r="12" spans="1:11" ht="15" customHeight="1">
      <c r="A12" s="145" t="s">
        <v>41</v>
      </c>
      <c r="B12" s="310">
        <f>+SUM(B8:B11)</f>
        <v>4847.2611257424996</v>
      </c>
      <c r="C12" s="301">
        <f t="shared" ref="C12:D12" si="3">+SUM(C8:C11)</f>
        <v>4832.058723619999</v>
      </c>
      <c r="D12" s="311">
        <f t="shared" si="3"/>
        <v>5012.7898841900005</v>
      </c>
      <c r="E12" s="310">
        <f>+SUM(E8:E11)</f>
        <v>4687.2619132825012</v>
      </c>
      <c r="F12" s="236">
        <f>IF(E12=0,"",D12/E12-1)</f>
        <v>6.9449494594069128E-2</v>
      </c>
      <c r="G12" s="310">
        <f>+SUM(G8:G11)</f>
        <v>56084.197699657496</v>
      </c>
      <c r="H12" s="301">
        <f t="shared" ref="H12" si="4">+SUM(H8:H11)</f>
        <v>53990.347638573992</v>
      </c>
      <c r="I12" s="240">
        <f>IF(H12=0,"",G12/H12-1)</f>
        <v>3.8781933302232119E-2</v>
      </c>
      <c r="J12" s="310">
        <f>+SUM(J8:J11)</f>
        <v>49186.639839845004</v>
      </c>
      <c r="K12" s="236">
        <f t="shared" si="0"/>
        <v>9.7662857523306723E-2</v>
      </c>
    </row>
    <row r="13" spans="1:11" ht="15" customHeight="1">
      <c r="A13" s="112"/>
      <c r="B13" s="112"/>
      <c r="C13" s="112"/>
      <c r="D13" s="112"/>
      <c r="E13" s="112"/>
      <c r="F13" s="114"/>
      <c r="G13" s="112"/>
      <c r="H13" s="112"/>
      <c r="I13" s="582"/>
      <c r="J13" s="113"/>
      <c r="K13" s="114" t="str">
        <f t="shared" si="0"/>
        <v/>
      </c>
    </row>
    <row r="14" spans="1:11" ht="15" customHeight="1">
      <c r="A14" s="119" t="s">
        <v>38</v>
      </c>
      <c r="B14" s="231">
        <v>0</v>
      </c>
      <c r="C14" s="232">
        <v>0</v>
      </c>
      <c r="D14" s="303">
        <v>0</v>
      </c>
      <c r="E14" s="231">
        <v>3.9812734000000001</v>
      </c>
      <c r="F14" s="120">
        <f>IF(E14=0,"",D14/E14-1)</f>
        <v>-1</v>
      </c>
      <c r="G14" s="231">
        <v>32.101867080000005</v>
      </c>
      <c r="H14" s="232">
        <v>43.009668510000004</v>
      </c>
      <c r="I14" s="123">
        <f t="shared" si="2"/>
        <v>-0.25361277610088695</v>
      </c>
      <c r="J14" s="231">
        <v>37.447757109999998</v>
      </c>
      <c r="K14" s="120">
        <f t="shared" si="0"/>
        <v>0.14852455338412685</v>
      </c>
    </row>
    <row r="15" spans="1:11" ht="15" customHeight="1">
      <c r="A15" s="118" t="s">
        <v>39</v>
      </c>
      <c r="B15" s="228">
        <v>0</v>
      </c>
      <c r="C15" s="229">
        <v>0</v>
      </c>
      <c r="D15" s="230">
        <v>0.53031638000000003</v>
      </c>
      <c r="E15" s="228">
        <v>0</v>
      </c>
      <c r="F15" s="121" t="str">
        <f t="shared" si="1"/>
        <v/>
      </c>
      <c r="G15" s="228">
        <v>0.53031638000000003</v>
      </c>
      <c r="H15" s="229">
        <v>0</v>
      </c>
      <c r="I15" s="115" t="str">
        <f t="shared" si="2"/>
        <v/>
      </c>
      <c r="J15" s="228">
        <v>0</v>
      </c>
      <c r="K15" s="121" t="str">
        <f t="shared" si="0"/>
        <v/>
      </c>
    </row>
    <row r="16" spans="1:11" ht="23.25" customHeight="1">
      <c r="A16" s="125" t="s">
        <v>40</v>
      </c>
      <c r="B16" s="241">
        <f>+B15-B14</f>
        <v>0</v>
      </c>
      <c r="C16" s="242">
        <f t="shared" ref="C16:E16" si="5">+C15-C14</f>
        <v>0</v>
      </c>
      <c r="D16" s="242">
        <f t="shared" si="5"/>
        <v>0.53031638000000003</v>
      </c>
      <c r="E16" s="241">
        <f t="shared" si="5"/>
        <v>-3.9812734000000001</v>
      </c>
      <c r="F16" s="122"/>
      <c r="G16" s="241">
        <f t="shared" ref="G16:H16" si="6">+G15-G14</f>
        <v>-31.571550700000007</v>
      </c>
      <c r="H16" s="242">
        <f t="shared" si="6"/>
        <v>-43.009668510000004</v>
      </c>
      <c r="I16" s="124"/>
      <c r="J16" s="241">
        <f>+J15-J14</f>
        <v>-37.447757109999998</v>
      </c>
      <c r="K16" s="122"/>
    </row>
    <row r="17" spans="1:11" ht="11.25" customHeight="1">
      <c r="A17" s="227" t="s">
        <v>214</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9"/>
      <c r="C42" s="829"/>
      <c r="D42" s="829"/>
      <c r="E42" s="93"/>
      <c r="F42" s="93"/>
      <c r="G42" s="830"/>
      <c r="H42" s="830"/>
      <c r="I42" s="830"/>
      <c r="J42" s="830"/>
      <c r="K42" s="830"/>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diciembe.</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4"/>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39" t="str">
        <f>+"3.2. PRODUCCIÓN POR TIPO DE RECURSO ENERGÉTICO (GWh)"</f>
        <v>3.2. PRODUCCIÓN POR TIPO DE RECURSO ENERGÉTICO (GWh)</v>
      </c>
      <c r="B2" s="839"/>
      <c r="C2" s="839"/>
      <c r="D2" s="839"/>
      <c r="E2" s="839"/>
      <c r="F2" s="839"/>
      <c r="G2" s="839"/>
      <c r="H2" s="839"/>
      <c r="I2" s="839"/>
      <c r="J2" s="839"/>
      <c r="K2" s="839"/>
    </row>
    <row r="3" spans="1:12" ht="18.75" customHeight="1">
      <c r="A3" s="126"/>
      <c r="B3" s="127"/>
      <c r="C3" s="128"/>
      <c r="D3" s="129"/>
      <c r="E3" s="129"/>
      <c r="F3" s="129"/>
      <c r="G3" s="130"/>
      <c r="H3" s="130"/>
      <c r="I3" s="130"/>
      <c r="J3" s="126"/>
      <c r="K3" s="126"/>
      <c r="L3" s="36"/>
    </row>
    <row r="4" spans="1:12" ht="14.25" customHeight="1">
      <c r="A4" s="843" t="s">
        <v>42</v>
      </c>
      <c r="B4" s="840" t="s">
        <v>32</v>
      </c>
      <c r="C4" s="841"/>
      <c r="D4" s="841"/>
      <c r="E4" s="841" t="s">
        <v>33</v>
      </c>
      <c r="F4" s="841"/>
      <c r="G4" s="842" t="str">
        <f>+'3. Tipo Generación'!G6:K6</f>
        <v>Generación Acumulada a diciembe</v>
      </c>
      <c r="H4" s="842"/>
      <c r="I4" s="842"/>
      <c r="J4" s="842"/>
      <c r="K4" s="842"/>
      <c r="L4" s="131"/>
    </row>
    <row r="5" spans="1:12" ht="26.25" customHeight="1">
      <c r="A5" s="843"/>
      <c r="B5" s="364">
        <f>+'3. Tipo Generación'!B7</f>
        <v>44838</v>
      </c>
      <c r="C5" s="364">
        <f>+'3. Tipo Generación'!C7</f>
        <v>44868</v>
      </c>
      <c r="D5" s="364">
        <f>+'3. Tipo Generación'!D7</f>
        <v>44896</v>
      </c>
      <c r="E5" s="364">
        <f>+'3. Tipo Generación'!E7</f>
        <v>44531</v>
      </c>
      <c r="F5" s="365" t="s">
        <v>34</v>
      </c>
      <c r="G5" s="366">
        <v>2022</v>
      </c>
      <c r="H5" s="366">
        <v>2021</v>
      </c>
      <c r="I5" s="365" t="s">
        <v>535</v>
      </c>
      <c r="J5" s="366">
        <v>2020</v>
      </c>
      <c r="K5" s="365" t="s">
        <v>459</v>
      </c>
      <c r="L5" s="19"/>
    </row>
    <row r="6" spans="1:12" ht="11.25" customHeight="1">
      <c r="A6" s="139" t="s">
        <v>43</v>
      </c>
      <c r="B6" s="278">
        <v>1960.0373353425</v>
      </c>
      <c r="C6" s="279">
        <v>1784.1788579074996</v>
      </c>
      <c r="D6" s="280">
        <v>2068.1741958075004</v>
      </c>
      <c r="E6" s="278">
        <v>2942.2881527525005</v>
      </c>
      <c r="F6" s="248">
        <f>IF(E6=0,"",D6/E6-1)</f>
        <v>-0.29708645501878173</v>
      </c>
      <c r="G6" s="278">
        <v>28486.350165722495</v>
      </c>
      <c r="H6" s="279">
        <v>30664.412630418999</v>
      </c>
      <c r="I6" s="248">
        <f t="shared" ref="I6:I16" si="0">IF(H6=0,"",G6/H6-1)</f>
        <v>-7.1028996737927841E-2</v>
      </c>
      <c r="J6" s="278">
        <v>29317.562410899998</v>
      </c>
      <c r="K6" s="248">
        <f>IF(J6=0,"",H6/J6-1)</f>
        <v>4.594004783352168E-2</v>
      </c>
      <c r="L6" s="24"/>
    </row>
    <row r="7" spans="1:12" ht="11.25" customHeight="1">
      <c r="A7" s="140" t="s">
        <v>49</v>
      </c>
      <c r="B7" s="281">
        <v>2498.3405698800002</v>
      </c>
      <c r="C7" s="243">
        <v>2522.4857112949999</v>
      </c>
      <c r="D7" s="282">
        <v>2411.1386688700009</v>
      </c>
      <c r="E7" s="281">
        <v>1428.8409266925</v>
      </c>
      <c r="F7" s="249">
        <f t="shared" ref="F7:F18" si="1">IF(E7=0,"",D7/E7-1)</f>
        <v>0.68747872756650152</v>
      </c>
      <c r="G7" s="281">
        <v>23118.795134097501</v>
      </c>
      <c r="H7" s="243">
        <v>19366.858032284999</v>
      </c>
      <c r="I7" s="249">
        <f t="shared" si="0"/>
        <v>0.19372977772429256</v>
      </c>
      <c r="J7" s="281">
        <v>16221.763358342501</v>
      </c>
      <c r="K7" s="249">
        <f t="shared" ref="K7:K19" si="2">IF(J7=0,"",H7/J7-1)</f>
        <v>0.19388118322691739</v>
      </c>
      <c r="L7" s="22"/>
    </row>
    <row r="8" spans="1:12" ht="11.25" customHeight="1">
      <c r="A8" s="141" t="s">
        <v>50</v>
      </c>
      <c r="B8" s="283">
        <v>67.968325499999992</v>
      </c>
      <c r="C8" s="244">
        <v>69.135725000000008</v>
      </c>
      <c r="D8" s="284">
        <v>66.752559250000004</v>
      </c>
      <c r="E8" s="283">
        <v>60.695053249999994</v>
      </c>
      <c r="F8" s="323">
        <f t="shared" si="1"/>
        <v>9.9802301433848939E-2</v>
      </c>
      <c r="G8" s="283">
        <v>683.84089675000007</v>
      </c>
      <c r="H8" s="244">
        <v>724.35646725999993</v>
      </c>
      <c r="I8" s="323">
        <f t="shared" si="0"/>
        <v>-5.5933193588036612E-2</v>
      </c>
      <c r="J8" s="283">
        <v>622.39824454250004</v>
      </c>
      <c r="K8" s="323">
        <f t="shared" si="2"/>
        <v>0.16381508722352733</v>
      </c>
      <c r="L8" s="22"/>
    </row>
    <row r="9" spans="1:12" ht="11.25" customHeight="1">
      <c r="A9" s="140" t="s">
        <v>51</v>
      </c>
      <c r="B9" s="281">
        <v>10.1433220075</v>
      </c>
      <c r="C9" s="243">
        <v>57.415524187499997</v>
      </c>
      <c r="D9" s="282">
        <v>42.048998820000001</v>
      </c>
      <c r="E9" s="281">
        <v>1.6097044149999999</v>
      </c>
      <c r="F9" s="249"/>
      <c r="G9" s="281">
        <v>306.47811698249996</v>
      </c>
      <c r="H9" s="243">
        <v>218.93550600749995</v>
      </c>
      <c r="I9" s="249">
        <f t="shared" si="0"/>
        <v>0.39985570441005169</v>
      </c>
      <c r="J9" s="281">
        <v>73.956694942500008</v>
      </c>
      <c r="K9" s="249">
        <f t="shared" si="2"/>
        <v>1.9603203087660739</v>
      </c>
      <c r="L9" s="22"/>
    </row>
    <row r="10" spans="1:12" ht="11.25" customHeight="1">
      <c r="A10" s="141" t="s">
        <v>52</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61.863544865000001</v>
      </c>
      <c r="D11" s="282">
        <v>10.000489315000001</v>
      </c>
      <c r="E11" s="281">
        <v>5.8992881600000002</v>
      </c>
      <c r="F11" s="249">
        <f t="shared" si="1"/>
        <v>0.69520271662742461</v>
      </c>
      <c r="G11" s="281">
        <v>89.693382032500011</v>
      </c>
      <c r="H11" s="243">
        <v>28.600194885000001</v>
      </c>
      <c r="I11" s="249">
        <f t="shared" si="0"/>
        <v>2.1361108689347312</v>
      </c>
      <c r="J11" s="281">
        <v>13.023314237500001</v>
      </c>
      <c r="K11" s="249">
        <f t="shared" si="2"/>
        <v>1.1960765411501111</v>
      </c>
      <c r="L11" s="24"/>
    </row>
    <row r="12" spans="1:12" ht="11.25" customHeight="1">
      <c r="A12" s="141" t="s">
        <v>44</v>
      </c>
      <c r="B12" s="283">
        <v>1.2144002650000001</v>
      </c>
      <c r="C12" s="244">
        <v>0</v>
      </c>
      <c r="D12" s="284">
        <v>0.1060309825</v>
      </c>
      <c r="E12" s="283">
        <v>0.52959690000000004</v>
      </c>
      <c r="F12" s="323">
        <f t="shared" si="1"/>
        <v>-0.79978926897041891</v>
      </c>
      <c r="G12" s="283">
        <v>10.011497729999999</v>
      </c>
      <c r="H12" s="244">
        <v>7.6434154775000005</v>
      </c>
      <c r="I12" s="323">
        <f t="shared" si="0"/>
        <v>0.30981990439626705</v>
      </c>
      <c r="J12" s="283">
        <v>8.6585097225000016</v>
      </c>
      <c r="K12" s="323">
        <f t="shared" si="2"/>
        <v>-0.1172366004697295</v>
      </c>
      <c r="L12" s="22"/>
    </row>
    <row r="13" spans="1:12" ht="11.25" customHeight="1">
      <c r="A13" s="140" t="s">
        <v>45</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46</v>
      </c>
      <c r="B14" s="283">
        <v>3.6235826049999997</v>
      </c>
      <c r="C14" s="244">
        <v>86.837220154999997</v>
      </c>
      <c r="D14" s="284">
        <v>172.10317082500003</v>
      </c>
      <c r="E14" s="283">
        <v>0.93898818999999989</v>
      </c>
      <c r="F14" s="323">
        <f>IF(E14=0,"",D14/E14-1)</f>
        <v>182.28576723100218</v>
      </c>
      <c r="G14" s="283">
        <v>283.72731350999999</v>
      </c>
      <c r="H14" s="244">
        <v>21.294846657500003</v>
      </c>
      <c r="I14" s="323">
        <f t="shared" si="0"/>
        <v>12.323754712742756</v>
      </c>
      <c r="J14" s="283">
        <v>43.784422135</v>
      </c>
      <c r="K14" s="323">
        <f t="shared" si="2"/>
        <v>-0.51364330921527634</v>
      </c>
      <c r="L14" s="22"/>
    </row>
    <row r="15" spans="1:12" ht="11.25" customHeight="1">
      <c r="A15" s="140" t="s">
        <v>47</v>
      </c>
      <c r="B15" s="281">
        <v>25.303337622499999</v>
      </c>
      <c r="C15" s="243">
        <v>29.627186377500003</v>
      </c>
      <c r="D15" s="282">
        <v>25.9735237975</v>
      </c>
      <c r="E15" s="281">
        <v>23.252673597499999</v>
      </c>
      <c r="F15" s="249">
        <f t="shared" si="1"/>
        <v>0.11701235939993282</v>
      </c>
      <c r="G15" s="281">
        <v>275.32209693999999</v>
      </c>
      <c r="H15" s="243">
        <v>276.82038679249996</v>
      </c>
      <c r="I15" s="249">
        <f>IF(H15=0,"",G15/H15-1)</f>
        <v>-5.4124982262345744E-3</v>
      </c>
      <c r="J15" s="281">
        <v>244.06263210500001</v>
      </c>
      <c r="K15" s="249">
        <f t="shared" si="2"/>
        <v>0.13421864053898669</v>
      </c>
      <c r="L15" s="22"/>
    </row>
    <row r="16" spans="1:12" ht="11.25" customHeight="1">
      <c r="A16" s="141" t="s">
        <v>48</v>
      </c>
      <c r="B16" s="283">
        <v>6.9712889249999996</v>
      </c>
      <c r="C16" s="244">
        <v>7.4683934499999998</v>
      </c>
      <c r="D16" s="284">
        <v>7.2450802000000012</v>
      </c>
      <c r="E16" s="283">
        <v>5.3222992749999998</v>
      </c>
      <c r="F16" s="323">
        <f t="shared" si="1"/>
        <v>0.36126884747569954</v>
      </c>
      <c r="G16" s="283">
        <v>78.688663875000003</v>
      </c>
      <c r="H16" s="244">
        <v>78.8717378825</v>
      </c>
      <c r="I16" s="323">
        <f t="shared" si="0"/>
        <v>-2.3211610700493157E-3</v>
      </c>
      <c r="J16" s="283">
        <v>60.374050817499999</v>
      </c>
      <c r="K16" s="323">
        <f t="shared" si="2"/>
        <v>0.30638472679123718</v>
      </c>
      <c r="L16" s="22"/>
    </row>
    <row r="17" spans="1:12" ht="11.25" customHeight="1">
      <c r="A17" s="140" t="s">
        <v>29</v>
      </c>
      <c r="B17" s="281">
        <v>85.305445697500005</v>
      </c>
      <c r="C17" s="243">
        <v>81.886447879999992</v>
      </c>
      <c r="D17" s="282">
        <v>72.756407109999998</v>
      </c>
      <c r="E17" s="281">
        <v>73.559578087499986</v>
      </c>
      <c r="F17" s="249">
        <f t="shared" si="1"/>
        <v>-1.0918645788650538E-2</v>
      </c>
      <c r="G17" s="281">
        <v>821.18880002250012</v>
      </c>
      <c r="H17" s="243">
        <v>801.91851950750004</v>
      </c>
      <c r="I17" s="249">
        <f>IF(H17=0,"",G17/H17-1)</f>
        <v>2.4030222580262883E-2</v>
      </c>
      <c r="J17" s="281">
        <v>777.86027249749998</v>
      </c>
      <c r="K17" s="249">
        <f t="shared" si="2"/>
        <v>3.0928751423125789E-2</v>
      </c>
      <c r="L17" s="22"/>
    </row>
    <row r="18" spans="1:12" ht="11.25" customHeight="1">
      <c r="A18" s="141" t="s">
        <v>28</v>
      </c>
      <c r="B18" s="283">
        <v>188.35351789749998</v>
      </c>
      <c r="C18" s="244">
        <v>131.16011250249997</v>
      </c>
      <c r="D18" s="284">
        <v>136.49075921249997</v>
      </c>
      <c r="E18" s="283">
        <v>144.32565196250002</v>
      </c>
      <c r="F18" s="323">
        <f t="shared" si="1"/>
        <v>-5.4286210687174208E-2</v>
      </c>
      <c r="G18" s="283">
        <v>1930.1016319949999</v>
      </c>
      <c r="H18" s="244">
        <v>1800.6359014000002</v>
      </c>
      <c r="I18" s="323">
        <f>IF(H18=0,"",G18/H18-1)</f>
        <v>7.1900005156144919E-2</v>
      </c>
      <c r="J18" s="283">
        <v>1803.1959296025</v>
      </c>
      <c r="K18" s="323">
        <f t="shared" si="2"/>
        <v>-1.4197171591132651E-3</v>
      </c>
      <c r="L18" s="22"/>
    </row>
    <row r="19" spans="1:12" ht="11.25" customHeight="1">
      <c r="A19" s="146" t="s">
        <v>41</v>
      </c>
      <c r="B19" s="285">
        <f>SUM(B6:B18)</f>
        <v>4847.2611257424996</v>
      </c>
      <c r="C19" s="286">
        <f>SUM(C6:C18)</f>
        <v>4832.058723619999</v>
      </c>
      <c r="D19" s="542">
        <f>SUM(D6:D18)</f>
        <v>5012.7898841900005</v>
      </c>
      <c r="E19" s="285">
        <f>SUM(E6:E18)</f>
        <v>4687.2619132824993</v>
      </c>
      <c r="F19" s="324">
        <f>IF(E19=0,"",D19/E19-1)</f>
        <v>6.9449494594069572E-2</v>
      </c>
      <c r="G19" s="285">
        <f>SUM(G6:G18)</f>
        <v>56084.197699657496</v>
      </c>
      <c r="H19" s="286">
        <f>SUM(H6:H18)</f>
        <v>53990.347638574</v>
      </c>
      <c r="I19" s="324">
        <f>IF(H19=0,"",G19/H19-1)</f>
        <v>3.8781933302232119E-2</v>
      </c>
      <c r="J19" s="285">
        <f>SUM(J6:J18)</f>
        <v>49186.639839845004</v>
      </c>
      <c r="K19" s="324">
        <f t="shared" si="2"/>
        <v>9.7662857523306945E-2</v>
      </c>
      <c r="L19" s="30"/>
    </row>
    <row r="20" spans="1:12" ht="11.25" customHeight="1">
      <c r="A20" s="22"/>
      <c r="B20" s="22"/>
      <c r="C20" s="22"/>
      <c r="D20" s="22"/>
      <c r="E20" s="22"/>
      <c r="F20" s="22"/>
      <c r="G20" s="22"/>
      <c r="H20" s="22"/>
      <c r="I20" s="22"/>
      <c r="J20" s="22"/>
      <c r="K20" s="22"/>
      <c r="L20" s="22"/>
    </row>
    <row r="21" spans="1:12" ht="11.25" customHeight="1">
      <c r="A21" s="142" t="s">
        <v>38</v>
      </c>
      <c r="B21" s="231">
        <v>0</v>
      </c>
      <c r="C21" s="232">
        <v>0</v>
      </c>
      <c r="D21" s="303">
        <v>0</v>
      </c>
      <c r="E21" s="528">
        <v>3.9812734000000001</v>
      </c>
      <c r="F21" s="120">
        <f>IF(E21=0,"",D21/E21-1)</f>
        <v>-1</v>
      </c>
      <c r="G21" s="231">
        <v>32.101867080000005</v>
      </c>
      <c r="H21" s="302">
        <v>43.009668510000004</v>
      </c>
      <c r="I21" s="123">
        <f>IF(H21=0,"",G21/H21-1)</f>
        <v>-0.25361277610088695</v>
      </c>
      <c r="J21" s="231">
        <v>37.447757109999998</v>
      </c>
      <c r="K21" s="120">
        <f>IF(J21=0,"",H21/J21-1)</f>
        <v>0.14852455338412685</v>
      </c>
      <c r="L21" s="22"/>
    </row>
    <row r="22" spans="1:12" ht="11.25" customHeight="1">
      <c r="A22" s="143" t="s">
        <v>39</v>
      </c>
      <c r="B22" s="228">
        <v>0</v>
      </c>
      <c r="C22" s="229">
        <v>0</v>
      </c>
      <c r="D22" s="230">
        <v>0.53031638000000003</v>
      </c>
      <c r="E22" s="529">
        <v>0</v>
      </c>
      <c r="F22" s="229" t="str">
        <f>IF(E22=0,"",D22/E22-1)</f>
        <v/>
      </c>
      <c r="G22" s="228">
        <v>0.53031638000000003</v>
      </c>
      <c r="H22" s="229">
        <v>0</v>
      </c>
      <c r="I22" s="115" t="str">
        <f>IF(H22=0,"",G22/H22-1)</f>
        <v/>
      </c>
      <c r="J22" s="228">
        <v>0</v>
      </c>
      <c r="K22" s="121" t="str">
        <f>IF(J22=0,"",H22/J22-1)</f>
        <v/>
      </c>
      <c r="L22" s="22"/>
    </row>
    <row r="23" spans="1:12" ht="23.25" customHeight="1">
      <c r="A23" s="144" t="s">
        <v>40</v>
      </c>
      <c r="B23" s="241">
        <f>+B22-B21</f>
        <v>0</v>
      </c>
      <c r="C23" s="242">
        <f>+C22-C21</f>
        <v>0</v>
      </c>
      <c r="D23" s="325">
        <f>+D22-D21</f>
        <v>0.53031638000000003</v>
      </c>
      <c r="E23" s="530">
        <f>+E22-E21</f>
        <v>-3.9812734000000001</v>
      </c>
      <c r="F23" s="242"/>
      <c r="G23" s="241">
        <f>+G22-G21</f>
        <v>-31.571550700000007</v>
      </c>
      <c r="H23" s="242">
        <f>+H22-H21</f>
        <v>-43.009668510000004</v>
      </c>
      <c r="I23" s="124"/>
      <c r="J23" s="241">
        <f>+J22-J21</f>
        <v>-37.447757109999998</v>
      </c>
      <c r="K23" s="122"/>
      <c r="L23" s="30"/>
    </row>
    <row r="24" spans="1:12" ht="11.25" customHeight="1">
      <c r="A24" s="226" t="s">
        <v>216</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B63" s="138"/>
      <c r="C63" s="138"/>
      <c r="D63" s="138"/>
      <c r="E63" s="138"/>
      <c r="F63" s="138"/>
      <c r="G63" s="138"/>
      <c r="H63" s="138"/>
      <c r="I63" s="138"/>
      <c r="J63" s="138"/>
      <c r="K63" s="138"/>
    </row>
    <row r="64" spans="1:11">
      <c r="A64" s="226" t="str">
        <f>"Gráfico N° 5: Comparación de la producción de energía eléctrica (GWh) por tipo de recurso energético acumulado a "&amp;'1. Resumen'!Q4&amp;"."</f>
        <v>Gráfico N° 5: Comparación de la producción de energía eléctrica (GWh) por tipo de recurso energético acumulado a diciembe.</v>
      </c>
    </row>
  </sheetData>
  <mergeCells count="5">
    <mergeCell ref="A2:K2"/>
    <mergeCell ref="B4:D4"/>
    <mergeCell ref="E4:F4"/>
    <mergeCell ref="G4:K4"/>
    <mergeCell ref="A4:A5"/>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topLeftCell="A23" zoomScaleNormal="100" zoomScaleSheetLayoutView="100" zoomScalePageLayoutView="115" workbookViewId="0">
      <selection activeCell="K58" sqref="K58"/>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45" t="s">
        <v>224</v>
      </c>
      <c r="B2" s="845"/>
      <c r="C2" s="845"/>
      <c r="D2" s="845"/>
      <c r="E2" s="845"/>
      <c r="F2" s="845"/>
      <c r="G2" s="845"/>
      <c r="H2" s="845"/>
      <c r="I2" s="845"/>
      <c r="J2" s="845"/>
      <c r="K2" s="845"/>
      <c r="L2" s="428"/>
    </row>
    <row r="3" spans="1:12" ht="11.25" customHeight="1">
      <c r="A3" s="74"/>
      <c r="B3" s="73"/>
      <c r="C3" s="73"/>
      <c r="D3" s="73"/>
      <c r="E3" s="73"/>
      <c r="F3" s="73"/>
      <c r="G3" s="73"/>
      <c r="H3" s="73"/>
      <c r="I3" s="73"/>
      <c r="J3" s="73"/>
      <c r="K3" s="73"/>
      <c r="L3" s="428"/>
    </row>
    <row r="4" spans="1:12" ht="15.75" customHeight="1">
      <c r="A4" s="843" t="s">
        <v>220</v>
      </c>
      <c r="B4" s="840" t="s">
        <v>32</v>
      </c>
      <c r="C4" s="841"/>
      <c r="D4" s="841"/>
      <c r="E4" s="841" t="s">
        <v>33</v>
      </c>
      <c r="F4" s="841"/>
      <c r="G4" s="842" t="str">
        <f>+'4. Tipo Recurso'!G4:K4</f>
        <v>Generación Acumulada a diciembe</v>
      </c>
      <c r="H4" s="842"/>
      <c r="I4" s="842"/>
      <c r="J4" s="842"/>
      <c r="K4" s="842"/>
      <c r="L4" s="429"/>
    </row>
    <row r="5" spans="1:12" ht="29.25" customHeight="1">
      <c r="A5" s="843"/>
      <c r="B5" s="364">
        <f>+'4. Tipo Recurso'!B5</f>
        <v>44838</v>
      </c>
      <c r="C5" s="364">
        <f>+'4. Tipo Recurso'!C5</f>
        <v>44868</v>
      </c>
      <c r="D5" s="364">
        <f>+'4. Tipo Recurso'!D5</f>
        <v>44896</v>
      </c>
      <c r="E5" s="364">
        <f>+'4. Tipo Recurso'!E5</f>
        <v>44531</v>
      </c>
      <c r="F5" s="364" t="s">
        <v>34</v>
      </c>
      <c r="G5" s="366">
        <v>2022</v>
      </c>
      <c r="H5" s="366">
        <v>2021</v>
      </c>
      <c r="I5" s="365" t="s">
        <v>535</v>
      </c>
      <c r="J5" s="366">
        <v>2020</v>
      </c>
      <c r="K5" s="365" t="s">
        <v>459</v>
      </c>
      <c r="L5" s="430"/>
    </row>
    <row r="6" spans="1:12" ht="11.25" customHeight="1">
      <c r="A6" s="139" t="s">
        <v>43</v>
      </c>
      <c r="B6" s="278">
        <v>138.74792933749998</v>
      </c>
      <c r="C6" s="279">
        <v>112.85633481000004</v>
      </c>
      <c r="D6" s="280">
        <v>163.33989009999999</v>
      </c>
      <c r="E6" s="278">
        <v>241.74531752999999</v>
      </c>
      <c r="F6" s="248">
        <f t="shared" ref="F6:F11" si="0">IF(E6=0,"",D6/E6-1)</f>
        <v>-0.32433069740955822</v>
      </c>
      <c r="G6" s="278">
        <v>2009.0525463025001</v>
      </c>
      <c r="H6" s="279">
        <v>2319.2021281764951</v>
      </c>
      <c r="I6" s="252">
        <f t="shared" ref="I6:I11" si="1">IF(H6=0,"",G6/H6-1)</f>
        <v>-0.13373115611870123</v>
      </c>
      <c r="J6" s="278">
        <v>2085.0540282825</v>
      </c>
      <c r="K6" s="248">
        <f t="shared" ref="K6:K11" si="2">IF(J6=0,"",H6/J6-1)</f>
        <v>0.11229833698212</v>
      </c>
      <c r="L6" s="431"/>
    </row>
    <row r="7" spans="1:12" ht="11.25" customHeight="1">
      <c r="A7" s="140" t="s">
        <v>37</v>
      </c>
      <c r="B7" s="281">
        <v>188.35351789749998</v>
      </c>
      <c r="C7" s="243">
        <v>131.16011250249997</v>
      </c>
      <c r="D7" s="282">
        <v>136.49075921249997</v>
      </c>
      <c r="E7" s="281">
        <v>144.32565196250002</v>
      </c>
      <c r="F7" s="249">
        <f t="shared" si="0"/>
        <v>-5.4286210687174208E-2</v>
      </c>
      <c r="G7" s="281">
        <v>1930.1016319949999</v>
      </c>
      <c r="H7" s="243">
        <v>1800.6359014000002</v>
      </c>
      <c r="I7" s="238">
        <f t="shared" si="1"/>
        <v>7.1900005156144919E-2</v>
      </c>
      <c r="J7" s="281">
        <v>1803.1959296025</v>
      </c>
      <c r="K7" s="249">
        <f t="shared" si="2"/>
        <v>-1.4197171591132651E-3</v>
      </c>
      <c r="L7" s="431"/>
    </row>
    <row r="8" spans="1:12" ht="11.25" customHeight="1">
      <c r="A8" s="246" t="s">
        <v>29</v>
      </c>
      <c r="B8" s="330">
        <v>85.305445697500005</v>
      </c>
      <c r="C8" s="287">
        <v>81.886447879999992</v>
      </c>
      <c r="D8" s="331">
        <v>72.756407109999998</v>
      </c>
      <c r="E8" s="330">
        <v>73.559578087499986</v>
      </c>
      <c r="F8" s="250">
        <f t="shared" si="0"/>
        <v>-1.0918645788650538E-2</v>
      </c>
      <c r="G8" s="330">
        <v>821.18880002250012</v>
      </c>
      <c r="H8" s="287">
        <v>801.91851950750004</v>
      </c>
      <c r="I8" s="245">
        <f t="shared" si="1"/>
        <v>2.4030222580262883E-2</v>
      </c>
      <c r="J8" s="330">
        <v>777.86027249749998</v>
      </c>
      <c r="K8" s="250">
        <f t="shared" si="2"/>
        <v>3.0928751423125789E-2</v>
      </c>
      <c r="L8" s="431"/>
    </row>
    <row r="9" spans="1:12" ht="11.25" customHeight="1">
      <c r="A9" s="140" t="s">
        <v>47</v>
      </c>
      <c r="B9" s="281">
        <v>25.303337622499999</v>
      </c>
      <c r="C9" s="243">
        <v>29.627186377500003</v>
      </c>
      <c r="D9" s="282">
        <v>25.9735237975</v>
      </c>
      <c r="E9" s="281">
        <v>23.252673597499999</v>
      </c>
      <c r="F9" s="249">
        <f t="shared" si="0"/>
        <v>0.11701235939993282</v>
      </c>
      <c r="G9" s="281">
        <v>275.32209693999999</v>
      </c>
      <c r="H9" s="243">
        <v>276.82038679249996</v>
      </c>
      <c r="I9" s="238">
        <f t="shared" si="1"/>
        <v>-5.4124982262345744E-3</v>
      </c>
      <c r="J9" s="281">
        <v>244.06263210500001</v>
      </c>
      <c r="K9" s="249">
        <f t="shared" si="2"/>
        <v>0.13421864053898669</v>
      </c>
      <c r="L9" s="432"/>
    </row>
    <row r="10" spans="1:12" ht="11.25" customHeight="1">
      <c r="A10" s="247" t="s">
        <v>48</v>
      </c>
      <c r="B10" s="332">
        <v>6.9712889249999996</v>
      </c>
      <c r="C10" s="333">
        <v>7.4683934499999998</v>
      </c>
      <c r="D10" s="334">
        <v>7.2450802000000012</v>
      </c>
      <c r="E10" s="332">
        <v>5.3222992749999998</v>
      </c>
      <c r="F10" s="251">
        <f t="shared" si="0"/>
        <v>0.36126884747569954</v>
      </c>
      <c r="G10" s="332">
        <v>78.688663875000003</v>
      </c>
      <c r="H10" s="333">
        <v>78.8717378825</v>
      </c>
      <c r="I10" s="253">
        <f t="shared" si="1"/>
        <v>-2.3211610700493157E-3</v>
      </c>
      <c r="J10" s="332">
        <v>60.374050817499999</v>
      </c>
      <c r="K10" s="251">
        <f t="shared" si="2"/>
        <v>0.30638472679123718</v>
      </c>
      <c r="L10" s="431"/>
    </row>
    <row r="11" spans="1:12" ht="11.25" customHeight="1">
      <c r="A11" s="254" t="s">
        <v>217</v>
      </c>
      <c r="B11" s="315">
        <f>+B6+B7+B8+B9+B10</f>
        <v>444.68151948000002</v>
      </c>
      <c r="C11" s="316">
        <f t="shared" ref="C11:D11" si="3">+C6+C7+C8+C9+C10</f>
        <v>362.99847502</v>
      </c>
      <c r="D11" s="317">
        <f t="shared" si="3"/>
        <v>405.80566041999998</v>
      </c>
      <c r="E11" s="318">
        <f>+E6+E7+E8+E9+E10</f>
        <v>488.20552045249997</v>
      </c>
      <c r="F11" s="255">
        <f t="shared" si="0"/>
        <v>-0.16878109030009847</v>
      </c>
      <c r="G11" s="328">
        <f>+G6+G7+G8+G9+G10</f>
        <v>5114.3537391350001</v>
      </c>
      <c r="H11" s="329">
        <f>+H6+H7+H8+H9+H10</f>
        <v>5277.4486737589959</v>
      </c>
      <c r="I11" s="256">
        <f t="shared" si="1"/>
        <v>-3.0904125213941147E-2</v>
      </c>
      <c r="J11" s="328">
        <f>+J6+J7+J8+J9+J10</f>
        <v>4970.5469133050001</v>
      </c>
      <c r="K11" s="255">
        <f t="shared" si="2"/>
        <v>6.1744062737340011E-2</v>
      </c>
      <c r="L11" s="429"/>
    </row>
    <row r="12" spans="1:12" ht="24.75" customHeight="1">
      <c r="A12" s="257" t="s">
        <v>218</v>
      </c>
      <c r="B12" s="258">
        <f>B11/'4. Tipo Recurso'!B19</f>
        <v>9.1738717585981927E-2</v>
      </c>
      <c r="C12" s="541">
        <f>C11/'4. Tipo Recurso'!C19</f>
        <v>7.5122943611093992E-2</v>
      </c>
      <c r="D12" s="435">
        <f>D11/'4. Tipo Recurso'!D19</f>
        <v>8.0954053490229771E-2</v>
      </c>
      <c r="E12" s="258">
        <f>E11/'4. Tipo Recurso'!E19</f>
        <v>0.10415580129393892</v>
      </c>
      <c r="F12" s="259"/>
      <c r="G12" s="258">
        <f>G11/'4. Tipo Recurso'!G19</f>
        <v>9.1190637450560039E-2</v>
      </c>
      <c r="H12" s="256">
        <f>H11/'4. Tipo Recurso'!H19</f>
        <v>9.7748003200269537E-2</v>
      </c>
      <c r="I12" s="256"/>
      <c r="J12" s="258">
        <f>J11/'4. Tipo Recurso'!J19</f>
        <v>0.1010548175173062</v>
      </c>
      <c r="K12" s="259"/>
      <c r="L12" s="429"/>
    </row>
    <row r="13" spans="1:12" ht="11.25" customHeight="1">
      <c r="A13" s="260" t="s">
        <v>219</v>
      </c>
      <c r="B13" s="134"/>
      <c r="C13" s="134"/>
      <c r="D13" s="134"/>
      <c r="E13" s="134"/>
      <c r="F13" s="134"/>
      <c r="G13" s="134"/>
      <c r="H13" s="134"/>
      <c r="I13" s="134"/>
      <c r="J13" s="134"/>
      <c r="K13" s="135"/>
      <c r="L13" s="429"/>
    </row>
    <row r="14" spans="1:12" ht="35.25" customHeight="1">
      <c r="A14" s="846" t="s">
        <v>529</v>
      </c>
      <c r="B14" s="846"/>
      <c r="C14" s="846"/>
      <c r="D14" s="846"/>
      <c r="E14" s="846"/>
      <c r="F14" s="846"/>
      <c r="G14" s="846"/>
      <c r="H14" s="846"/>
      <c r="I14" s="846"/>
      <c r="J14" s="846"/>
      <c r="K14" s="846"/>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44" t="str">
        <f>"Gráfico N° 6: Comparación de la producción de energía eléctrica acumulada (GWh) con recursos energéticos renovables en "&amp;'1. Resumen'!Q4&amp;"."</f>
        <v>Gráfico N° 6: Comparación de la producción de energía eléctrica acumulada (GWh) con recursos energéticos renovables en diciembe.</v>
      </c>
      <c r="B35" s="844"/>
      <c r="C35" s="844"/>
      <c r="D35" s="844"/>
      <c r="E35" s="844"/>
      <c r="F35" s="844"/>
      <c r="G35" s="844"/>
      <c r="H35" s="844"/>
      <c r="I35" s="844"/>
      <c r="J35" s="844"/>
      <c r="K35" s="844"/>
      <c r="L35" s="583"/>
      <c r="M35" s="277"/>
      <c r="N35" s="277"/>
      <c r="O35" s="277"/>
    </row>
    <row r="36" spans="1:16" ht="11.25" customHeight="1">
      <c r="L36" s="584"/>
      <c r="M36" s="277"/>
      <c r="N36" s="277"/>
      <c r="O36" s="277"/>
    </row>
    <row r="37" spans="1:16" ht="11.25" customHeight="1">
      <c r="A37" s="136"/>
      <c r="B37" s="138"/>
      <c r="C37" s="138"/>
      <c r="D37" s="138"/>
      <c r="E37" s="138"/>
      <c r="F37" s="138"/>
      <c r="G37" s="138"/>
      <c r="H37" s="138"/>
      <c r="I37" s="138"/>
      <c r="J37" s="138"/>
      <c r="K37" s="138"/>
      <c r="L37" s="583"/>
      <c r="M37" s="277"/>
      <c r="N37" s="277"/>
      <c r="O37" s="277"/>
    </row>
    <row r="38" spans="1:16" ht="11.25" customHeight="1">
      <c r="A38" s="136"/>
      <c r="B38" s="138"/>
      <c r="C38" s="138"/>
      <c r="D38" s="138"/>
      <c r="E38" s="138"/>
      <c r="F38" s="138"/>
      <c r="G38" s="138"/>
      <c r="H38" s="138"/>
      <c r="I38" s="138"/>
      <c r="J38" s="138"/>
      <c r="K38" s="138"/>
      <c r="L38" s="583"/>
      <c r="M38" s="277"/>
      <c r="N38" s="277"/>
      <c r="O38" s="277"/>
    </row>
    <row r="39" spans="1:16" ht="11.25" customHeight="1">
      <c r="A39" s="136"/>
      <c r="B39" s="138"/>
      <c r="C39" s="138"/>
      <c r="D39" s="138"/>
      <c r="E39" s="138"/>
      <c r="F39" s="138"/>
      <c r="G39" s="138"/>
      <c r="H39" s="138"/>
      <c r="I39" s="138"/>
      <c r="J39" s="138"/>
      <c r="K39" s="138"/>
      <c r="L39" s="583"/>
      <c r="M39" s="277"/>
      <c r="N39" s="277"/>
      <c r="O39" s="277"/>
    </row>
    <row r="40" spans="1:16" ht="11.25" customHeight="1">
      <c r="A40" s="136"/>
      <c r="B40" s="138"/>
      <c r="C40" s="261" t="s">
        <v>222</v>
      </c>
      <c r="D40" s="158"/>
      <c r="E40" s="158"/>
      <c r="F40" s="327">
        <f>+'4. Tipo Recurso'!D19</f>
        <v>5012.7898841900005</v>
      </c>
      <c r="G40" s="261" t="s">
        <v>221</v>
      </c>
      <c r="H40" s="138"/>
      <c r="I40" s="138"/>
      <c r="J40" s="138"/>
      <c r="K40" s="138"/>
      <c r="L40" s="583"/>
      <c r="M40" s="585">
        <f>+F40-F41</f>
        <v>4606.9798841900001</v>
      </c>
      <c r="N40" s="277"/>
      <c r="O40" s="277"/>
      <c r="P40" s="434"/>
    </row>
    <row r="41" spans="1:16" ht="11.25" customHeight="1">
      <c r="A41" s="136"/>
      <c r="B41" s="138"/>
      <c r="C41" s="261" t="s">
        <v>223</v>
      </c>
      <c r="D41" s="158"/>
      <c r="E41" s="158"/>
      <c r="F41" s="327">
        <f>ROUND(D11,2)</f>
        <v>405.81</v>
      </c>
      <c r="G41" s="261" t="s">
        <v>221</v>
      </c>
      <c r="H41" s="138"/>
      <c r="I41" s="138"/>
      <c r="J41" s="138"/>
      <c r="K41" s="138"/>
      <c r="L41" s="583"/>
      <c r="M41" s="586"/>
      <c r="N41" s="277"/>
      <c r="O41" s="277"/>
      <c r="P41" s="434"/>
    </row>
    <row r="42" spans="1:16" ht="11.25" customHeight="1">
      <c r="A42" s="136"/>
      <c r="B42" s="138"/>
      <c r="C42" s="138"/>
      <c r="D42" s="138"/>
      <c r="E42" s="138"/>
      <c r="F42" s="138"/>
      <c r="G42" s="138"/>
      <c r="H42" s="138"/>
      <c r="I42" s="138"/>
      <c r="J42" s="138"/>
      <c r="K42" s="138"/>
      <c r="L42" s="583"/>
      <c r="M42" s="277"/>
      <c r="N42" s="277"/>
      <c r="O42" s="277"/>
      <c r="P42" s="434"/>
    </row>
    <row r="43" spans="1:16" ht="11.25" customHeight="1">
      <c r="A43" s="136"/>
      <c r="B43" s="138"/>
      <c r="C43" s="138"/>
      <c r="D43" s="138"/>
      <c r="E43" s="138"/>
      <c r="F43" s="138"/>
      <c r="G43" s="138"/>
      <c r="H43" s="138"/>
      <c r="I43" s="138"/>
      <c r="J43" s="138"/>
      <c r="K43" s="138"/>
      <c r="L43" s="583"/>
      <c r="M43" s="277"/>
      <c r="N43" s="277"/>
      <c r="O43" s="277"/>
      <c r="P43" s="434"/>
    </row>
    <row r="44" spans="1:16" ht="11.25" customHeight="1">
      <c r="A44" s="136"/>
      <c r="B44" s="138"/>
      <c r="C44" s="138"/>
      <c r="D44" s="138"/>
      <c r="E44" s="138"/>
      <c r="F44" s="138"/>
      <c r="G44" s="138"/>
      <c r="H44" s="138"/>
      <c r="I44" s="138"/>
      <c r="J44" s="138"/>
      <c r="K44" s="138"/>
      <c r="L44" s="583"/>
      <c r="M44" s="277"/>
      <c r="N44" s="277"/>
      <c r="O44" s="277"/>
      <c r="P44" s="434"/>
    </row>
    <row r="45" spans="1:16" ht="11.25" customHeight="1">
      <c r="A45" s="136"/>
      <c r="B45" s="138"/>
      <c r="C45" s="138"/>
      <c r="D45" s="138"/>
      <c r="E45" s="138"/>
      <c r="F45" s="138"/>
      <c r="G45" s="138"/>
      <c r="H45" s="138"/>
      <c r="I45" s="138"/>
      <c r="J45" s="138"/>
      <c r="K45" s="138"/>
      <c r="L45" s="583"/>
      <c r="M45" s="277"/>
      <c r="N45" s="277"/>
      <c r="O45" s="277"/>
      <c r="P45" s="434"/>
    </row>
    <row r="46" spans="1:16" ht="11.25" customHeight="1">
      <c r="A46" s="136"/>
      <c r="B46" s="138"/>
      <c r="C46" s="138"/>
      <c r="D46" s="138"/>
      <c r="E46" s="138"/>
      <c r="F46" s="138"/>
      <c r="G46" s="138"/>
      <c r="H46" s="138"/>
      <c r="I46" s="138"/>
      <c r="J46" s="138"/>
      <c r="K46" s="138"/>
      <c r="L46" s="583"/>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diciembe 2022.</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4365" right="0.30927536231884056" top="0.9207971014492754" bottom="0.56231884057971016"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K58" sqref="K58"/>
    </sheetView>
  </sheetViews>
  <sheetFormatPr baseColWidth="10" defaultColWidth="9.28515625" defaultRowHeight="10.199999999999999"/>
  <cols>
    <col min="1" max="12" width="10.28515625" customWidth="1"/>
    <col min="13" max="13" width="21.140625" style="550" bestFit="1" customWidth="1"/>
    <col min="14" max="14" width="9.28515625" style="639"/>
    <col min="15" max="15" width="9.28515625" style="550"/>
    <col min="16" max="16" width="11.85546875" style="550" customWidth="1"/>
    <col min="17" max="20" width="9.28515625" style="550"/>
    <col min="21" max="21" width="15" style="550" customWidth="1"/>
    <col min="22" max="22" width="9.28515625" style="550"/>
    <col min="23" max="23" width="14.140625" style="550" bestFit="1" customWidth="1"/>
    <col min="26" max="26" width="17.85546875" bestFit="1" customWidth="1"/>
  </cols>
  <sheetData>
    <row r="2" spans="1:26" ht="11.25" customHeight="1">
      <c r="A2" s="847" t="s">
        <v>228</v>
      </c>
      <c r="B2" s="847"/>
      <c r="C2" s="847"/>
      <c r="D2" s="847"/>
      <c r="E2" s="847"/>
      <c r="F2" s="847"/>
      <c r="G2" s="847"/>
      <c r="H2" s="847"/>
      <c r="I2" s="847"/>
      <c r="J2" s="847"/>
      <c r="K2" s="847"/>
      <c r="L2" s="847"/>
    </row>
    <row r="3" spans="1:26" ht="11.25" customHeight="1"/>
    <row r="4" spans="1:26" ht="11.25" customHeight="1">
      <c r="M4" s="635" t="s">
        <v>53</v>
      </c>
      <c r="N4" s="636" t="s">
        <v>30</v>
      </c>
      <c r="O4" s="635"/>
      <c r="P4" s="637"/>
      <c r="Q4" s="638"/>
      <c r="R4" s="638"/>
    </row>
    <row r="5" spans="1:26" ht="10.5" customHeight="1">
      <c r="A5" s="149"/>
      <c r="B5" s="138"/>
      <c r="C5" s="138"/>
      <c r="D5" s="138"/>
      <c r="E5" s="138"/>
      <c r="F5" s="138"/>
      <c r="G5" s="138"/>
      <c r="H5" s="138"/>
      <c r="I5" s="138"/>
      <c r="J5" s="138"/>
      <c r="K5" s="138"/>
      <c r="L5" s="138"/>
      <c r="M5" s="635"/>
      <c r="N5" s="636"/>
      <c r="O5" s="635"/>
      <c r="P5" s="635" t="s">
        <v>54</v>
      </c>
      <c r="Q5" s="635" t="s">
        <v>55</v>
      </c>
      <c r="R5" s="635"/>
      <c r="V5" s="550">
        <v>2022</v>
      </c>
      <c r="W5" s="639">
        <v>2021</v>
      </c>
      <c r="X5" s="795"/>
    </row>
    <row r="6" spans="1:26" ht="10.5" customHeight="1">
      <c r="A6" s="111"/>
      <c r="B6" s="138"/>
      <c r="C6" s="138"/>
      <c r="D6" s="138"/>
      <c r="E6" s="138"/>
      <c r="F6" s="138"/>
      <c r="G6" s="138"/>
      <c r="H6" s="138"/>
      <c r="I6" s="138"/>
      <c r="J6" s="138"/>
      <c r="K6" s="138"/>
      <c r="L6" s="138"/>
      <c r="M6" s="640" t="s">
        <v>395</v>
      </c>
      <c r="N6" s="642" t="s">
        <v>57</v>
      </c>
      <c r="O6" s="641">
        <v>20.861999999999998</v>
      </c>
      <c r="P6" s="642">
        <v>12.58767776</v>
      </c>
      <c r="Q6" s="642">
        <v>0.81099231715224374</v>
      </c>
      <c r="R6" s="642"/>
      <c r="T6" s="550" t="s">
        <v>434</v>
      </c>
      <c r="U6" s="550" t="s">
        <v>61</v>
      </c>
      <c r="V6" s="643">
        <v>0.90649003274173401</v>
      </c>
      <c r="W6" s="644">
        <v>0.88188978032060894</v>
      </c>
      <c r="X6" s="796"/>
      <c r="Y6" s="742"/>
      <c r="Z6" s="707"/>
    </row>
    <row r="7" spans="1:26" ht="10.5" customHeight="1">
      <c r="A7" s="136"/>
      <c r="B7" s="138"/>
      <c r="C7" s="138"/>
      <c r="D7" s="138"/>
      <c r="E7" s="138"/>
      <c r="F7" s="138"/>
      <c r="G7" s="138"/>
      <c r="H7" s="138"/>
      <c r="I7" s="138"/>
      <c r="J7" s="138"/>
      <c r="K7" s="138"/>
      <c r="L7" s="138"/>
      <c r="M7" s="640" t="s">
        <v>58</v>
      </c>
      <c r="N7" s="642" t="s">
        <v>57</v>
      </c>
      <c r="O7" s="641">
        <v>18.148</v>
      </c>
      <c r="P7" s="642">
        <v>12.07936454</v>
      </c>
      <c r="Q7" s="642">
        <v>0.89462778415702671</v>
      </c>
      <c r="R7" s="642"/>
      <c r="U7" s="550" t="s">
        <v>395</v>
      </c>
      <c r="V7" s="643">
        <v>0.86630263383611539</v>
      </c>
      <c r="W7" s="644">
        <v>0.95221957021610626</v>
      </c>
      <c r="X7" s="796"/>
      <c r="Y7" s="742"/>
      <c r="Z7" s="707"/>
    </row>
    <row r="8" spans="1:26" ht="10.5" customHeight="1">
      <c r="A8" s="136"/>
      <c r="B8" s="138"/>
      <c r="C8" s="138"/>
      <c r="D8" s="138"/>
      <c r="E8" s="138"/>
      <c r="F8" s="138"/>
      <c r="G8" s="138"/>
      <c r="H8" s="138"/>
      <c r="I8" s="138"/>
      <c r="J8" s="138"/>
      <c r="K8" s="138"/>
      <c r="L8" s="138"/>
      <c r="M8" s="640" t="s">
        <v>441</v>
      </c>
      <c r="N8" s="642" t="s">
        <v>57</v>
      </c>
      <c r="O8" s="641">
        <v>20.295999999999999</v>
      </c>
      <c r="P8" s="642">
        <v>11.4255292075</v>
      </c>
      <c r="Q8" s="642">
        <v>0.75664633898808387</v>
      </c>
      <c r="R8" s="642"/>
      <c r="U8" s="550" t="s">
        <v>58</v>
      </c>
      <c r="V8" s="643">
        <v>0.83515600131541479</v>
      </c>
      <c r="W8" s="644">
        <v>1</v>
      </c>
      <c r="X8" s="796"/>
      <c r="Y8" s="742"/>
      <c r="Z8" s="707"/>
    </row>
    <row r="9" spans="1:26" ht="10.5" customHeight="1">
      <c r="A9" s="136"/>
      <c r="B9" s="138"/>
      <c r="C9" s="138"/>
      <c r="D9" s="138"/>
      <c r="E9" s="138"/>
      <c r="F9" s="138"/>
      <c r="G9" s="138"/>
      <c r="H9" s="138"/>
      <c r="I9" s="138"/>
      <c r="J9" s="138"/>
      <c r="K9" s="138"/>
      <c r="L9" s="138"/>
      <c r="M9" s="640" t="s">
        <v>402</v>
      </c>
      <c r="N9" s="794" t="s">
        <v>57</v>
      </c>
      <c r="O9" s="641">
        <v>19.987169999999999</v>
      </c>
      <c r="P9" s="642">
        <v>10.146411990000001</v>
      </c>
      <c r="Q9" s="642">
        <v>0.6823202346401992</v>
      </c>
      <c r="R9" s="642"/>
      <c r="U9" s="550" t="s">
        <v>441</v>
      </c>
      <c r="V9" s="643">
        <v>0.81405625755654232</v>
      </c>
      <c r="W9" s="644">
        <v>0.92592408025114159</v>
      </c>
      <c r="X9" s="796"/>
      <c r="Y9" s="742"/>
      <c r="Z9" s="707"/>
    </row>
    <row r="10" spans="1:26" ht="10.5" customHeight="1">
      <c r="A10" s="136"/>
      <c r="B10" s="138"/>
      <c r="C10" s="138"/>
      <c r="D10" s="138"/>
      <c r="E10" s="138"/>
      <c r="F10" s="138"/>
      <c r="G10" s="138"/>
      <c r="H10" s="138"/>
      <c r="I10" s="138"/>
      <c r="J10" s="138"/>
      <c r="K10" s="138"/>
      <c r="L10" s="138"/>
      <c r="M10" s="640" t="s">
        <v>403</v>
      </c>
      <c r="N10" s="794" t="s">
        <v>57</v>
      </c>
      <c r="O10" s="641">
        <v>20.084060000000001</v>
      </c>
      <c r="P10" s="642">
        <v>10.1257498025</v>
      </c>
      <c r="Q10" s="642">
        <v>0.67764579307177308</v>
      </c>
      <c r="R10" s="642"/>
      <c r="U10" s="550" t="s">
        <v>73</v>
      </c>
      <c r="V10" s="643">
        <v>0.77056662149876975</v>
      </c>
      <c r="W10" s="644">
        <v>0.7834523266475909</v>
      </c>
      <c r="X10" s="796"/>
      <c r="Y10" s="742"/>
      <c r="Z10" s="707"/>
    </row>
    <row r="11" spans="1:26" ht="10.5" customHeight="1">
      <c r="A11" s="136"/>
      <c r="B11" s="138"/>
      <c r="C11" s="138"/>
      <c r="D11" s="138"/>
      <c r="E11" s="138"/>
      <c r="F11" s="138"/>
      <c r="G11" s="138"/>
      <c r="H11" s="138"/>
      <c r="I11" s="138"/>
      <c r="J11" s="138"/>
      <c r="K11" s="138"/>
      <c r="L11" s="138"/>
      <c r="M11" s="640" t="s">
        <v>409</v>
      </c>
      <c r="N11" s="794" t="s">
        <v>57</v>
      </c>
      <c r="O11" s="641">
        <v>20.365970000000001</v>
      </c>
      <c r="P11" s="642">
        <v>10.09599502</v>
      </c>
      <c r="Q11" s="642">
        <v>0.66630196251737051</v>
      </c>
      <c r="R11" s="642"/>
      <c r="U11" s="550" t="s">
        <v>70</v>
      </c>
      <c r="V11" s="643">
        <v>0.72485255329258391</v>
      </c>
      <c r="W11" s="644">
        <v>0.80540697006394313</v>
      </c>
      <c r="X11" s="796"/>
      <c r="Y11" s="742"/>
      <c r="Z11" s="707"/>
    </row>
    <row r="12" spans="1:26" ht="10.5" customHeight="1">
      <c r="A12" s="136"/>
      <c r="B12" s="138"/>
      <c r="C12" s="138"/>
      <c r="D12" s="138"/>
      <c r="E12" s="138"/>
      <c r="F12" s="138"/>
      <c r="G12" s="138"/>
      <c r="H12" s="138"/>
      <c r="I12" s="138"/>
      <c r="J12" s="138"/>
      <c r="K12" s="138"/>
      <c r="L12" s="138"/>
      <c r="M12" s="640" t="s">
        <v>440</v>
      </c>
      <c r="N12" s="642" t="s">
        <v>57</v>
      </c>
      <c r="O12" s="641">
        <v>20.27</v>
      </c>
      <c r="P12" s="642">
        <v>9.3994577499999998</v>
      </c>
      <c r="Q12" s="642">
        <v>0.623269845658874</v>
      </c>
      <c r="R12" s="642"/>
      <c r="U12" s="550" t="s">
        <v>72</v>
      </c>
      <c r="V12" s="643">
        <v>0.71257813166884088</v>
      </c>
      <c r="W12" s="644">
        <v>0.79364305157865145</v>
      </c>
      <c r="X12" s="796"/>
      <c r="Y12" s="742"/>
      <c r="Z12" s="707"/>
    </row>
    <row r="13" spans="1:26" ht="10.5" customHeight="1">
      <c r="A13" s="136"/>
      <c r="B13" s="138"/>
      <c r="C13" s="138"/>
      <c r="D13" s="138"/>
      <c r="E13" s="138"/>
      <c r="F13" s="138"/>
      <c r="G13" s="138"/>
      <c r="H13" s="138"/>
      <c r="I13" s="138"/>
      <c r="J13" s="138"/>
      <c r="K13" s="138"/>
      <c r="L13" s="138"/>
      <c r="M13" s="640" t="s">
        <v>442</v>
      </c>
      <c r="N13" s="642" t="s">
        <v>57</v>
      </c>
      <c r="O13" s="641">
        <v>20.58</v>
      </c>
      <c r="P13" s="642">
        <v>9.3903316674999999</v>
      </c>
      <c r="Q13" s="642">
        <v>0.61328539997988452</v>
      </c>
      <c r="R13" s="642"/>
      <c r="U13" s="550" t="s">
        <v>65</v>
      </c>
      <c r="V13" s="643">
        <v>0.71089013945284441</v>
      </c>
      <c r="W13" s="644">
        <v>0.75352185339923383</v>
      </c>
      <c r="X13" s="796"/>
      <c r="Y13" s="742"/>
      <c r="Z13" s="707"/>
    </row>
    <row r="14" spans="1:26" ht="10.5" customHeight="1">
      <c r="A14" s="136"/>
      <c r="B14" s="138"/>
      <c r="C14" s="138"/>
      <c r="D14" s="138"/>
      <c r="E14" s="138"/>
      <c r="F14" s="138"/>
      <c r="G14" s="138"/>
      <c r="H14" s="138"/>
      <c r="I14" s="138"/>
      <c r="J14" s="138"/>
      <c r="K14" s="138"/>
      <c r="L14" s="138"/>
      <c r="M14" s="640" t="s">
        <v>404</v>
      </c>
      <c r="N14" s="642" t="s">
        <v>57</v>
      </c>
      <c r="O14" s="641">
        <v>20.050889999999999</v>
      </c>
      <c r="P14" s="642">
        <v>8.9113478374999993</v>
      </c>
      <c r="Q14" s="642">
        <v>0.59736091820143211</v>
      </c>
      <c r="R14" s="642"/>
      <c r="U14" s="550" t="s">
        <v>440</v>
      </c>
      <c r="V14" s="643">
        <v>0.67308093743875486</v>
      </c>
      <c r="W14" s="644">
        <v>0.7804139150827627</v>
      </c>
      <c r="X14" s="796"/>
      <c r="Y14" s="742"/>
      <c r="Z14" s="707"/>
    </row>
    <row r="15" spans="1:26" ht="11.25" customHeight="1">
      <c r="A15" s="136"/>
      <c r="B15" s="138"/>
      <c r="C15" s="138"/>
      <c r="D15" s="138"/>
      <c r="E15" s="138"/>
      <c r="F15" s="138"/>
      <c r="G15" s="138"/>
      <c r="H15" s="138"/>
      <c r="I15" s="138"/>
      <c r="J15" s="138"/>
      <c r="K15" s="138"/>
      <c r="L15" s="138"/>
      <c r="M15" s="640" t="s">
        <v>56</v>
      </c>
      <c r="N15" s="642" t="s">
        <v>57</v>
      </c>
      <c r="O15" s="641">
        <v>19.966000000000001</v>
      </c>
      <c r="P15" s="642">
        <v>8.8328842124999998</v>
      </c>
      <c r="Q15" s="642">
        <v>0.59461866170473665</v>
      </c>
      <c r="R15" s="642"/>
      <c r="U15" s="550" t="s">
        <v>409</v>
      </c>
      <c r="V15" s="643">
        <v>0.66434347443196506</v>
      </c>
      <c r="W15" s="644">
        <v>0.69059359389269404</v>
      </c>
      <c r="X15" s="796"/>
      <c r="Y15" s="742"/>
      <c r="Z15" s="707"/>
    </row>
    <row r="16" spans="1:26" ht="11.25" customHeight="1">
      <c r="A16" s="136"/>
      <c r="B16" s="138"/>
      <c r="C16" s="138"/>
      <c r="D16" s="138"/>
      <c r="E16" s="138"/>
      <c r="F16" s="138"/>
      <c r="G16" s="138"/>
      <c r="H16" s="138"/>
      <c r="I16" s="138"/>
      <c r="J16" s="138"/>
      <c r="K16" s="138"/>
      <c r="L16" s="138"/>
      <c r="M16" s="640" t="s">
        <v>450</v>
      </c>
      <c r="N16" s="642" t="s">
        <v>57</v>
      </c>
      <c r="O16" s="641">
        <v>20.763359999999999</v>
      </c>
      <c r="P16" s="642">
        <v>7.0693463424999994</v>
      </c>
      <c r="Q16" s="642">
        <v>0.45762389132271503</v>
      </c>
      <c r="R16" s="642"/>
      <c r="U16" s="550" t="s">
        <v>68</v>
      </c>
      <c r="V16" s="643">
        <v>0.60918898210294825</v>
      </c>
      <c r="W16" s="644">
        <v>0.60060379646164064</v>
      </c>
      <c r="X16" s="796"/>
      <c r="Y16" s="742"/>
      <c r="Z16" s="707"/>
    </row>
    <row r="17" spans="1:26" ht="11.25" customHeight="1">
      <c r="A17" s="136"/>
      <c r="B17" s="138"/>
      <c r="C17" s="138"/>
      <c r="D17" s="138"/>
      <c r="E17" s="138"/>
      <c r="F17" s="138"/>
      <c r="G17" s="138"/>
      <c r="H17" s="138"/>
      <c r="I17" s="138"/>
      <c r="J17" s="138"/>
      <c r="K17" s="138"/>
      <c r="L17" s="138"/>
      <c r="M17" s="640" t="s">
        <v>59</v>
      </c>
      <c r="N17" s="642" t="s">
        <v>57</v>
      </c>
      <c r="O17" s="641">
        <v>19.966999999999999</v>
      </c>
      <c r="P17" s="642">
        <v>6.7589539299999997</v>
      </c>
      <c r="Q17" s="642">
        <v>0.45498149433123797</v>
      </c>
      <c r="R17" s="642"/>
      <c r="U17" s="550" t="s">
        <v>442</v>
      </c>
      <c r="V17" s="643">
        <v>0.58783239173278579</v>
      </c>
      <c r="W17" s="644">
        <v>0.57974201445744633</v>
      </c>
      <c r="X17" s="796"/>
      <c r="Y17" s="742"/>
      <c r="Z17" s="707"/>
    </row>
    <row r="18" spans="1:26">
      <c r="A18" s="136"/>
      <c r="B18" s="138"/>
      <c r="C18" s="138"/>
      <c r="D18" s="138"/>
      <c r="E18" s="138"/>
      <c r="F18" s="138"/>
      <c r="G18" s="138"/>
      <c r="H18" s="138"/>
      <c r="I18" s="138"/>
      <c r="J18" s="138"/>
      <c r="K18" s="138"/>
      <c r="L18" s="138"/>
      <c r="M18" s="640" t="s">
        <v>61</v>
      </c>
      <c r="N18" s="642" t="s">
        <v>57</v>
      </c>
      <c r="O18" s="641">
        <v>9.9830000000000005</v>
      </c>
      <c r="P18" s="642">
        <v>6.4229840075000002</v>
      </c>
      <c r="Q18" s="642">
        <v>0.86477441859494464</v>
      </c>
      <c r="R18" s="642"/>
      <c r="U18" s="550" t="s">
        <v>60</v>
      </c>
      <c r="V18" s="643">
        <v>0.58633461646879836</v>
      </c>
      <c r="W18" s="644">
        <v>0.77109950091748725</v>
      </c>
      <c r="X18" s="796"/>
      <c r="Y18" s="742"/>
      <c r="Z18" s="707"/>
    </row>
    <row r="19" spans="1:26">
      <c r="A19" s="136"/>
      <c r="B19" s="138"/>
      <c r="C19" s="138"/>
      <c r="D19" s="138"/>
      <c r="E19" s="138"/>
      <c r="F19" s="138"/>
      <c r="G19" s="138"/>
      <c r="H19" s="138"/>
      <c r="I19" s="138"/>
      <c r="J19" s="138"/>
      <c r="K19" s="138"/>
      <c r="L19" s="138"/>
      <c r="M19" s="640" t="s">
        <v>62</v>
      </c>
      <c r="N19" s="642" t="s">
        <v>57</v>
      </c>
      <c r="O19" s="641">
        <v>20.202000000000002</v>
      </c>
      <c r="P19" s="642">
        <v>6.2311070675</v>
      </c>
      <c r="Q19" s="642">
        <v>0.4145700380125783</v>
      </c>
      <c r="R19" s="642"/>
      <c r="U19" s="550" t="s">
        <v>69</v>
      </c>
      <c r="V19" s="643">
        <v>0.57946113034598123</v>
      </c>
      <c r="W19" s="644">
        <v>0.6150243170044466</v>
      </c>
      <c r="X19" s="796"/>
      <c r="Y19" s="742"/>
      <c r="Z19" s="707"/>
    </row>
    <row r="20" spans="1:26">
      <c r="A20" s="136"/>
      <c r="B20" s="138"/>
      <c r="C20" s="138"/>
      <c r="D20" s="138"/>
      <c r="E20" s="138"/>
      <c r="F20" s="138"/>
      <c r="G20" s="138"/>
      <c r="H20" s="138"/>
      <c r="I20" s="138"/>
      <c r="J20" s="138"/>
      <c r="K20" s="138"/>
      <c r="L20" s="138"/>
      <c r="M20" s="640" t="s">
        <v>60</v>
      </c>
      <c r="N20" s="642" t="s">
        <v>57</v>
      </c>
      <c r="O20" s="641">
        <v>19.1995</v>
      </c>
      <c r="P20" s="642">
        <v>4.6178374399999997</v>
      </c>
      <c r="Q20" s="642">
        <v>0.32327772872669452</v>
      </c>
      <c r="R20" s="642"/>
      <c r="U20" s="550" t="s">
        <v>66</v>
      </c>
      <c r="V20" s="643">
        <v>0.57139286757042784</v>
      </c>
      <c r="W20" s="644">
        <v>0.55038311387970396</v>
      </c>
      <c r="X20" s="796"/>
      <c r="Y20" s="742"/>
      <c r="Z20" s="707"/>
    </row>
    <row r="21" spans="1:26">
      <c r="A21" s="136"/>
      <c r="B21" s="138"/>
      <c r="C21" s="138"/>
      <c r="D21" s="138"/>
      <c r="E21" s="138"/>
      <c r="F21" s="138"/>
      <c r="G21" s="138"/>
      <c r="H21" s="138"/>
      <c r="I21" s="138"/>
      <c r="J21" s="138"/>
      <c r="K21" s="138"/>
      <c r="L21" s="138"/>
      <c r="M21" s="640" t="s">
        <v>65</v>
      </c>
      <c r="N21" s="642" t="s">
        <v>57</v>
      </c>
      <c r="O21" s="641">
        <v>9.0798699999999997</v>
      </c>
      <c r="P21" s="642">
        <v>4.0363346724999998</v>
      </c>
      <c r="Q21" s="642">
        <v>0.59749544998163306</v>
      </c>
      <c r="R21" s="642"/>
      <c r="U21" s="550" t="s">
        <v>402</v>
      </c>
      <c r="V21" s="643">
        <v>0.55705597476683122</v>
      </c>
      <c r="W21" s="644">
        <v>0.64665844931689687</v>
      </c>
      <c r="X21" s="796"/>
      <c r="Y21" s="742"/>
      <c r="Z21" s="707"/>
    </row>
    <row r="22" spans="1:26">
      <c r="A22" s="136"/>
      <c r="B22" s="138"/>
      <c r="C22" s="138"/>
      <c r="D22" s="138"/>
      <c r="E22" s="138"/>
      <c r="F22" s="138"/>
      <c r="G22" s="138"/>
      <c r="H22" s="138"/>
      <c r="I22" s="138"/>
      <c r="J22" s="138"/>
      <c r="K22" s="138"/>
      <c r="L22" s="138"/>
      <c r="M22" s="640" t="s">
        <v>66</v>
      </c>
      <c r="N22" s="642" t="s">
        <v>57</v>
      </c>
      <c r="O22" s="641">
        <v>6.5019999999999998</v>
      </c>
      <c r="P22" s="642">
        <v>3.3261959874999998</v>
      </c>
      <c r="Q22" s="642">
        <v>0.68758743949338985</v>
      </c>
      <c r="R22" s="642"/>
      <c r="U22" s="550" t="s">
        <v>403</v>
      </c>
      <c r="V22" s="643">
        <v>0.5532677410127198</v>
      </c>
      <c r="W22" s="644">
        <v>0.62805558451126997</v>
      </c>
      <c r="X22" s="796"/>
      <c r="Y22" s="742"/>
      <c r="Z22" s="707"/>
    </row>
    <row r="23" spans="1:26">
      <c r="A23" s="136"/>
      <c r="B23" s="138"/>
      <c r="C23" s="138"/>
      <c r="D23" s="138"/>
      <c r="E23" s="138"/>
      <c r="F23" s="138"/>
      <c r="G23" s="138"/>
      <c r="H23" s="138"/>
      <c r="I23" s="138"/>
      <c r="J23" s="138"/>
      <c r="K23" s="138"/>
      <c r="L23" s="138"/>
      <c r="M23" s="640" t="s">
        <v>439</v>
      </c>
      <c r="N23" s="642" t="s">
        <v>57</v>
      </c>
      <c r="O23" s="641">
        <v>8.58</v>
      </c>
      <c r="P23" s="642">
        <v>3.1439067725000003</v>
      </c>
      <c r="Q23" s="642">
        <v>0.49250363005050507</v>
      </c>
      <c r="R23" s="642"/>
      <c r="U23" s="550" t="s">
        <v>439</v>
      </c>
      <c r="V23" s="643">
        <v>0.55289839078349368</v>
      </c>
      <c r="W23" s="644">
        <v>0.62281746222765055</v>
      </c>
      <c r="X23" s="796"/>
      <c r="Y23" s="742"/>
      <c r="Z23" s="707"/>
    </row>
    <row r="24" spans="1:26">
      <c r="A24" s="136"/>
      <c r="B24" s="138"/>
      <c r="C24" s="138"/>
      <c r="D24" s="138"/>
      <c r="E24" s="138"/>
      <c r="F24" s="138"/>
      <c r="G24" s="138"/>
      <c r="H24" s="138"/>
      <c r="I24" s="138"/>
      <c r="J24" s="138"/>
      <c r="K24" s="138"/>
      <c r="L24" s="138"/>
      <c r="M24" s="640" t="s">
        <v>67</v>
      </c>
      <c r="N24" s="642" t="s">
        <v>57</v>
      </c>
      <c r="O24" s="641">
        <v>6.6360000000000001</v>
      </c>
      <c r="P24" s="642">
        <v>2.8671766725000003</v>
      </c>
      <c r="Q24" s="642">
        <v>0.58073117641554373</v>
      </c>
      <c r="R24" s="642"/>
      <c r="U24" s="550" t="s">
        <v>56</v>
      </c>
      <c r="V24" s="643">
        <v>0.54918228997286256</v>
      </c>
      <c r="W24" s="644">
        <v>0.6615113412693131</v>
      </c>
      <c r="X24" s="796"/>
      <c r="Y24" s="742"/>
      <c r="Z24" s="707"/>
    </row>
    <row r="25" spans="1:26">
      <c r="A25" s="136"/>
      <c r="B25" s="138"/>
      <c r="C25" s="138"/>
      <c r="D25" s="138"/>
      <c r="E25" s="138"/>
      <c r="F25" s="138"/>
      <c r="G25" s="138"/>
      <c r="H25" s="138"/>
      <c r="I25" s="138"/>
      <c r="J25" s="138"/>
      <c r="K25" s="138"/>
      <c r="L25" s="138"/>
      <c r="M25" s="640" t="s">
        <v>63</v>
      </c>
      <c r="N25" s="642" t="s">
        <v>57</v>
      </c>
      <c r="O25" s="641">
        <v>9.9643300000000004</v>
      </c>
      <c r="P25" s="642">
        <v>2.3670747700000003</v>
      </c>
      <c r="Q25" s="642">
        <v>0.31929413319461059</v>
      </c>
      <c r="R25" s="642"/>
      <c r="U25" s="550" t="s">
        <v>71</v>
      </c>
      <c r="V25" s="643">
        <v>0.54424690893819316</v>
      </c>
      <c r="W25" s="644">
        <v>0.57826622062470479</v>
      </c>
      <c r="X25" s="796"/>
      <c r="Y25" s="742"/>
      <c r="Z25" s="707"/>
    </row>
    <row r="26" spans="1:26">
      <c r="A26" s="136"/>
      <c r="B26" s="138"/>
      <c r="C26" s="138"/>
      <c r="D26" s="138"/>
      <c r="E26" s="138"/>
      <c r="F26" s="138"/>
      <c r="G26" s="138"/>
      <c r="H26" s="138"/>
      <c r="I26" s="138"/>
      <c r="J26" s="138"/>
      <c r="K26" s="138"/>
      <c r="L26" s="138"/>
      <c r="M26" s="640" t="s">
        <v>64</v>
      </c>
      <c r="N26" s="642" t="s">
        <v>57</v>
      </c>
      <c r="O26" s="641">
        <v>9.85</v>
      </c>
      <c r="P26" s="642">
        <v>2.1698383250000002</v>
      </c>
      <c r="Q26" s="642">
        <v>0.29608622959991271</v>
      </c>
      <c r="R26" s="642"/>
      <c r="U26" s="550" t="s">
        <v>62</v>
      </c>
      <c r="V26" s="643">
        <v>0.52426261653701722</v>
      </c>
      <c r="W26" s="644">
        <v>0.71734962833574256</v>
      </c>
      <c r="X26" s="796"/>
      <c r="Y26" s="742"/>
      <c r="Z26" s="707"/>
    </row>
    <row r="27" spans="1:26">
      <c r="A27" s="136"/>
      <c r="B27" s="138"/>
      <c r="C27" s="138"/>
      <c r="D27" s="138"/>
      <c r="E27" s="138"/>
      <c r="F27" s="138"/>
      <c r="G27" s="138"/>
      <c r="H27" s="138"/>
      <c r="I27" s="138"/>
      <c r="J27" s="138"/>
      <c r="K27" s="138"/>
      <c r="L27" s="138"/>
      <c r="M27" s="640" t="s">
        <v>72</v>
      </c>
      <c r="N27" s="642" t="s">
        <v>57</v>
      </c>
      <c r="O27" s="641">
        <v>3.91621</v>
      </c>
      <c r="P27" s="642">
        <v>2.119232625</v>
      </c>
      <c r="Q27" s="642">
        <v>0.7273437705283029</v>
      </c>
      <c r="R27" s="642"/>
      <c r="U27" s="550" t="s">
        <v>404</v>
      </c>
      <c r="V27" s="643">
        <v>0.50478948430444759</v>
      </c>
      <c r="W27" s="644">
        <v>0.59007613506188861</v>
      </c>
      <c r="X27" s="796"/>
      <c r="Y27" s="742"/>
      <c r="Z27" s="707"/>
    </row>
    <row r="28" spans="1:26">
      <c r="A28" s="136"/>
      <c r="B28" s="138"/>
      <c r="C28" s="138"/>
      <c r="D28" s="138"/>
      <c r="E28" s="138"/>
      <c r="F28" s="138"/>
      <c r="G28" s="138"/>
      <c r="H28" s="138"/>
      <c r="I28" s="138"/>
      <c r="J28" s="138"/>
      <c r="K28" s="138"/>
      <c r="L28" s="138"/>
      <c r="M28" s="640" t="s">
        <v>70</v>
      </c>
      <c r="N28" s="642" t="s">
        <v>57</v>
      </c>
      <c r="O28" s="641">
        <v>5.67</v>
      </c>
      <c r="P28" s="642">
        <v>2.0438209824999998</v>
      </c>
      <c r="Q28" s="642">
        <v>0.48449227743168155</v>
      </c>
      <c r="R28" s="642"/>
      <c r="U28" s="550" t="s">
        <v>63</v>
      </c>
      <c r="V28" s="643">
        <v>0.49935846887881025</v>
      </c>
      <c r="W28" s="644">
        <v>0.6061992868962971</v>
      </c>
      <c r="X28" s="796"/>
      <c r="Y28" s="742"/>
      <c r="Z28" s="707"/>
    </row>
    <row r="29" spans="1:26">
      <c r="A29" s="136"/>
      <c r="B29" s="138"/>
      <c r="C29" s="138"/>
      <c r="D29" s="138"/>
      <c r="E29" s="138"/>
      <c r="F29" s="138"/>
      <c r="G29" s="138"/>
      <c r="H29" s="138"/>
      <c r="I29" s="138"/>
      <c r="J29" s="138"/>
      <c r="K29" s="138"/>
      <c r="L29" s="138"/>
      <c r="M29" s="640" t="s">
        <v>69</v>
      </c>
      <c r="N29" s="642" t="s">
        <v>57</v>
      </c>
      <c r="O29" s="641">
        <v>5.1890000000000001</v>
      </c>
      <c r="P29" s="642">
        <v>2.0403903475000003</v>
      </c>
      <c r="Q29" s="642">
        <v>0.52851419242421427</v>
      </c>
      <c r="R29" s="642"/>
      <c r="U29" s="550" t="s">
        <v>67</v>
      </c>
      <c r="V29" s="643">
        <v>0.49554174988336763</v>
      </c>
      <c r="W29" s="644">
        <v>0.53039945802505839</v>
      </c>
      <c r="X29" s="796"/>
      <c r="Y29" s="742"/>
      <c r="Z29" s="707"/>
    </row>
    <row r="30" spans="1:26">
      <c r="A30" s="136"/>
      <c r="B30" s="138"/>
      <c r="C30" s="138"/>
      <c r="D30" s="138"/>
      <c r="E30" s="138"/>
      <c r="F30" s="138"/>
      <c r="G30" s="138"/>
      <c r="H30" s="138"/>
      <c r="I30" s="138"/>
      <c r="J30" s="138"/>
      <c r="K30" s="138"/>
      <c r="L30" s="138"/>
      <c r="M30" s="550" t="s">
        <v>73</v>
      </c>
      <c r="N30" s="642" t="s">
        <v>57</v>
      </c>
      <c r="O30" s="641">
        <v>3.9729999999999999</v>
      </c>
      <c r="P30" s="642">
        <v>1.9330000000000001</v>
      </c>
      <c r="Q30" s="642">
        <v>0.65394368979861373</v>
      </c>
      <c r="R30" s="642"/>
      <c r="U30" s="550" t="s">
        <v>64</v>
      </c>
      <c r="V30" s="643">
        <v>0.4755551873710685</v>
      </c>
      <c r="W30" s="644">
        <v>0.58401664954337917</v>
      </c>
      <c r="X30" s="796"/>
      <c r="Y30" s="742"/>
      <c r="Z30" s="707"/>
    </row>
    <row r="31" spans="1:26">
      <c r="A31" s="136"/>
      <c r="B31" s="138"/>
      <c r="C31" s="138"/>
      <c r="D31" s="138"/>
      <c r="E31" s="138"/>
      <c r="F31" s="138"/>
      <c r="G31" s="138"/>
      <c r="H31" s="138"/>
      <c r="I31" s="138"/>
      <c r="J31" s="138"/>
      <c r="K31" s="138"/>
      <c r="L31" s="138"/>
      <c r="M31" s="640" t="s">
        <v>71</v>
      </c>
      <c r="N31" s="642" t="s">
        <v>57</v>
      </c>
      <c r="O31" s="642">
        <v>3.3107500000000001</v>
      </c>
      <c r="P31" s="642">
        <v>1.42313775</v>
      </c>
      <c r="Q31" s="642">
        <v>0.57776019223789554</v>
      </c>
      <c r="R31" s="642"/>
      <c r="U31" s="550" t="s">
        <v>405</v>
      </c>
      <c r="V31" s="643">
        <v>0.46240317528095304</v>
      </c>
      <c r="W31" s="644">
        <v>0.44542265574037831</v>
      </c>
      <c r="X31" s="796"/>
      <c r="Y31" s="742"/>
      <c r="Z31" s="707"/>
    </row>
    <row r="32" spans="1:26">
      <c r="A32" s="136"/>
      <c r="B32" s="138"/>
      <c r="C32" s="138"/>
      <c r="D32" s="138"/>
      <c r="E32" s="138"/>
      <c r="F32" s="138"/>
      <c r="G32" s="138"/>
      <c r="H32" s="138"/>
      <c r="I32" s="138"/>
      <c r="J32" s="138"/>
      <c r="K32" s="138"/>
      <c r="L32" s="138"/>
      <c r="M32" s="640" t="s">
        <v>68</v>
      </c>
      <c r="N32" s="642" t="s">
        <v>57</v>
      </c>
      <c r="O32" s="642">
        <v>9.5660000000000007</v>
      </c>
      <c r="P32" s="642">
        <v>1.2012729950000001</v>
      </c>
      <c r="Q32" s="642">
        <v>0.16878676987156574</v>
      </c>
      <c r="R32" s="642"/>
      <c r="U32" s="550" t="s">
        <v>59</v>
      </c>
      <c r="V32" s="643">
        <v>0.45036523650152888</v>
      </c>
      <c r="W32" s="644">
        <v>0.5454725750970838</v>
      </c>
      <c r="X32" s="796"/>
      <c r="Y32" s="742"/>
      <c r="Z32" s="707"/>
    </row>
    <row r="33" spans="1:26">
      <c r="A33" s="136"/>
      <c r="B33" s="138"/>
      <c r="C33" s="138"/>
      <c r="D33" s="138"/>
      <c r="E33" s="138"/>
      <c r="F33" s="138"/>
      <c r="G33" s="138"/>
      <c r="H33" s="138"/>
      <c r="I33" s="138"/>
      <c r="J33" s="138"/>
      <c r="K33" s="138"/>
      <c r="L33" s="138"/>
      <c r="M33" s="640" t="s">
        <v>74</v>
      </c>
      <c r="N33" s="642" t="s">
        <v>57</v>
      </c>
      <c r="O33" s="642">
        <v>1.7689999999999999</v>
      </c>
      <c r="P33" s="642">
        <v>0.324080125</v>
      </c>
      <c r="Q33" s="642">
        <v>0.24623604627485307</v>
      </c>
      <c r="R33" s="642"/>
      <c r="U33" s="550" t="s">
        <v>450</v>
      </c>
      <c r="V33" s="643">
        <v>0.38617601638372101</v>
      </c>
      <c r="W33" s="644">
        <v>0.49554217401541095</v>
      </c>
      <c r="X33" s="796"/>
      <c r="Y33" s="742"/>
      <c r="Z33" s="707"/>
    </row>
    <row r="34" spans="1:26">
      <c r="B34" s="138"/>
      <c r="C34" s="138"/>
      <c r="D34" s="138"/>
      <c r="E34" s="138"/>
      <c r="F34" s="138"/>
      <c r="G34" s="138"/>
      <c r="H34" s="138"/>
      <c r="I34" s="138"/>
      <c r="J34" s="138"/>
      <c r="K34" s="138"/>
      <c r="L34" s="138"/>
      <c r="M34" s="640" t="s">
        <v>405</v>
      </c>
      <c r="N34" s="642" t="s">
        <v>57</v>
      </c>
      <c r="O34" s="642">
        <v>0.678643</v>
      </c>
      <c r="P34" s="642">
        <v>0.24944949999999999</v>
      </c>
      <c r="Q34" s="642">
        <v>0.49404707043542101</v>
      </c>
      <c r="R34" s="642"/>
      <c r="U34" s="550" t="s">
        <v>74</v>
      </c>
      <c r="V34" s="643">
        <v>0.17320489189775204</v>
      </c>
      <c r="W34" s="644">
        <v>0.18515066711556188</v>
      </c>
      <c r="X34" s="796"/>
      <c r="Y34" s="742"/>
      <c r="Z34" s="707"/>
    </row>
    <row r="35" spans="1:26">
      <c r="A35" s="136"/>
      <c r="B35" s="138"/>
      <c r="C35" s="138"/>
      <c r="D35" s="138"/>
      <c r="E35" s="138"/>
      <c r="F35" s="138"/>
      <c r="G35" s="138"/>
      <c r="H35" s="138"/>
      <c r="I35" s="138"/>
      <c r="J35" s="138"/>
      <c r="K35" s="138"/>
      <c r="L35" s="138"/>
      <c r="M35" s="640" t="s">
        <v>411</v>
      </c>
      <c r="N35" s="642" t="s">
        <v>211</v>
      </c>
      <c r="O35" s="641">
        <v>132.30000000000001</v>
      </c>
      <c r="P35" s="642">
        <v>43.255226</v>
      </c>
      <c r="Q35" s="642">
        <v>0.43944629345166974</v>
      </c>
      <c r="R35" s="642"/>
      <c r="T35" s="550" t="s">
        <v>428</v>
      </c>
      <c r="U35" s="550" t="s">
        <v>77</v>
      </c>
      <c r="V35" s="643">
        <v>0.64531453939247996</v>
      </c>
      <c r="W35" s="644">
        <v>0.60505089350563623</v>
      </c>
      <c r="X35" s="796"/>
      <c r="Y35" s="742"/>
      <c r="Z35" s="707"/>
    </row>
    <row r="36" spans="1:26" ht="10.95" customHeight="1">
      <c r="A36" s="136"/>
      <c r="B36" s="138"/>
      <c r="C36" s="138"/>
      <c r="D36" s="138"/>
      <c r="E36" s="138"/>
      <c r="F36" s="138"/>
      <c r="G36" s="138"/>
      <c r="H36" s="138"/>
      <c r="I36" s="138"/>
      <c r="J36" s="138"/>
      <c r="K36" s="138"/>
      <c r="L36" s="138"/>
      <c r="M36" s="640" t="s">
        <v>75</v>
      </c>
      <c r="N36" s="642" t="s">
        <v>211</v>
      </c>
      <c r="O36" s="641">
        <v>97.15</v>
      </c>
      <c r="P36" s="642">
        <v>33.827551360000001</v>
      </c>
      <c r="Q36" s="642">
        <v>0.46800966469100541</v>
      </c>
      <c r="R36" s="642"/>
      <c r="U36" s="550" t="s">
        <v>75</v>
      </c>
      <c r="V36" s="643">
        <v>0.62460199957052243</v>
      </c>
      <c r="W36" s="644">
        <v>0.54109624860757621</v>
      </c>
      <c r="X36" s="796"/>
      <c r="Y36" s="742"/>
      <c r="Z36" s="707"/>
    </row>
    <row r="37" spans="1:26">
      <c r="A37" s="136"/>
      <c r="B37" s="138"/>
      <c r="C37" s="138"/>
      <c r="D37" s="138"/>
      <c r="E37" s="138"/>
      <c r="F37" s="138"/>
      <c r="G37" s="138"/>
      <c r="H37" s="138"/>
      <c r="I37" s="138"/>
      <c r="J37" s="138"/>
      <c r="K37" s="138"/>
      <c r="L37" s="138"/>
      <c r="M37" s="640" t="s">
        <v>76</v>
      </c>
      <c r="N37" s="642" t="s">
        <v>211</v>
      </c>
      <c r="O37" s="641">
        <v>83.15</v>
      </c>
      <c r="P37" s="642">
        <v>27.486544249999998</v>
      </c>
      <c r="Q37" s="642">
        <v>0.44430883831526125</v>
      </c>
      <c r="R37" s="642"/>
      <c r="U37" s="550" t="s">
        <v>411</v>
      </c>
      <c r="V37" s="643">
        <v>0.53475221515546856</v>
      </c>
      <c r="W37" s="644">
        <v>0.53395713680639678</v>
      </c>
      <c r="X37" s="796"/>
      <c r="Y37" s="742"/>
      <c r="Z37" s="707"/>
    </row>
    <row r="38" spans="1:26" ht="11.25" customHeight="1">
      <c r="A38" s="136"/>
      <c r="B38" s="138"/>
      <c r="C38" s="138"/>
      <c r="D38" s="138"/>
      <c r="E38" s="138"/>
      <c r="F38" s="138"/>
      <c r="G38" s="138"/>
      <c r="H38" s="138"/>
      <c r="I38" s="138"/>
      <c r="J38" s="138"/>
      <c r="K38" s="138"/>
      <c r="L38" s="138"/>
      <c r="M38" s="640" t="s">
        <v>78</v>
      </c>
      <c r="N38" s="642" t="s">
        <v>211</v>
      </c>
      <c r="O38" s="641">
        <v>30.86</v>
      </c>
      <c r="P38" s="642">
        <v>11.915823899999999</v>
      </c>
      <c r="Q38" s="642">
        <v>0.51898549380135051</v>
      </c>
      <c r="R38" s="645"/>
      <c r="U38" s="550" t="s">
        <v>78</v>
      </c>
      <c r="V38" s="643">
        <v>0.51508632694936929</v>
      </c>
      <c r="W38" s="644">
        <v>0.49840232326836176</v>
      </c>
      <c r="X38" s="796"/>
      <c r="Y38" s="742"/>
      <c r="Z38" s="707"/>
    </row>
    <row r="39" spans="1:26">
      <c r="A39" s="136"/>
      <c r="B39" s="138"/>
      <c r="C39" s="138"/>
      <c r="D39" s="138"/>
      <c r="E39" s="138"/>
      <c r="F39" s="138"/>
      <c r="G39" s="138"/>
      <c r="H39" s="138"/>
      <c r="I39" s="138"/>
      <c r="J39" s="138"/>
      <c r="K39" s="138"/>
      <c r="L39" s="138"/>
      <c r="M39" s="640" t="s">
        <v>77</v>
      </c>
      <c r="N39" s="642" t="s">
        <v>211</v>
      </c>
      <c r="O39" s="641">
        <v>32</v>
      </c>
      <c r="P39" s="642">
        <v>11.27727179</v>
      </c>
      <c r="Q39" s="642">
        <v>0.47367573042674732</v>
      </c>
      <c r="U39" s="550" t="s">
        <v>76</v>
      </c>
      <c r="V39" s="643">
        <v>0.46890678774125005</v>
      </c>
      <c r="W39" s="644">
        <v>0.43633370449578107</v>
      </c>
      <c r="X39" s="796"/>
      <c r="Y39" s="742"/>
      <c r="Z39" s="707"/>
    </row>
    <row r="40" spans="1:26">
      <c r="A40" s="136"/>
      <c r="B40" s="138"/>
      <c r="C40" s="138"/>
      <c r="D40" s="138"/>
      <c r="E40" s="138"/>
      <c r="F40" s="138"/>
      <c r="G40" s="138"/>
      <c r="H40" s="138"/>
      <c r="I40" s="138"/>
      <c r="J40" s="138"/>
      <c r="K40" s="138"/>
      <c r="L40" s="138"/>
      <c r="M40" s="640" t="s">
        <v>463</v>
      </c>
      <c r="N40" s="642" t="s">
        <v>211</v>
      </c>
      <c r="O40" s="641">
        <v>18.37</v>
      </c>
      <c r="P40" s="642">
        <v>4.5734130974999996</v>
      </c>
      <c r="Q40" s="642">
        <v>0.33462496542838077</v>
      </c>
      <c r="U40" s="550" t="s">
        <v>463</v>
      </c>
      <c r="V40" s="643">
        <v>0.40847353100461581</v>
      </c>
      <c r="W40" s="644">
        <v>0.34805734607994471</v>
      </c>
      <c r="X40" s="796"/>
      <c r="Y40" s="742"/>
      <c r="Z40" s="707"/>
    </row>
    <row r="41" spans="1:26">
      <c r="A41" s="136"/>
      <c r="B41" s="138"/>
      <c r="C41" s="138"/>
      <c r="D41" s="138"/>
      <c r="E41" s="138"/>
      <c r="F41" s="138"/>
      <c r="G41" s="138"/>
      <c r="H41" s="138"/>
      <c r="I41" s="138"/>
      <c r="J41" s="138"/>
      <c r="K41" s="138"/>
      <c r="L41" s="138"/>
      <c r="M41" s="550" t="s">
        <v>462</v>
      </c>
      <c r="N41" s="642" t="s">
        <v>211</v>
      </c>
      <c r="O41" s="641">
        <v>18.37</v>
      </c>
      <c r="P41" s="642">
        <v>4.0421193750000004</v>
      </c>
      <c r="Q41" s="642">
        <v>0.29575155956415616</v>
      </c>
      <c r="U41" s="550" t="s">
        <v>462</v>
      </c>
      <c r="V41" s="643">
        <v>0.31854485249612846</v>
      </c>
      <c r="W41" s="644">
        <v>0.26808538500520745</v>
      </c>
      <c r="X41" s="796"/>
      <c r="Y41" s="742"/>
      <c r="Z41" s="707"/>
    </row>
    <row r="42" spans="1:26">
      <c r="A42" s="136"/>
      <c r="B42" s="138"/>
      <c r="C42" s="138"/>
      <c r="D42" s="138"/>
      <c r="E42" s="138"/>
      <c r="F42" s="138"/>
      <c r="G42" s="138"/>
      <c r="H42" s="138"/>
      <c r="I42" s="138"/>
      <c r="J42" s="138"/>
      <c r="K42" s="138"/>
      <c r="L42" s="138"/>
      <c r="M42" s="550" t="s">
        <v>412</v>
      </c>
      <c r="N42" s="642" t="s">
        <v>79</v>
      </c>
      <c r="O42" s="641">
        <v>144.47999999999999</v>
      </c>
      <c r="P42" s="642">
        <v>40.260056750000004</v>
      </c>
      <c r="Q42" s="642">
        <v>0.37453612612602566</v>
      </c>
      <c r="T42" s="550" t="s">
        <v>420</v>
      </c>
      <c r="U42" s="550" t="s">
        <v>412</v>
      </c>
      <c r="V42" s="643">
        <v>0.35765437901692482</v>
      </c>
      <c r="W42" s="644">
        <v>0.3505180172529449</v>
      </c>
      <c r="X42" s="796"/>
      <c r="Y42" s="742"/>
      <c r="Z42" s="707"/>
    </row>
    <row r="43" spans="1:26" ht="36" customHeight="1">
      <c r="A43" s="84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diciembe 2022.
Nota: Son consideradas las centrales adjudicadas por subasta RER y cuenten con operación comercial</v>
      </c>
      <c r="B43" s="844"/>
      <c r="C43" s="844"/>
      <c r="D43" s="844"/>
      <c r="E43" s="844"/>
      <c r="F43" s="844"/>
      <c r="G43" s="844"/>
      <c r="H43" s="844"/>
      <c r="I43" s="844"/>
      <c r="J43" s="844"/>
      <c r="K43" s="844"/>
      <c r="L43" s="844"/>
      <c r="M43" s="640" t="s">
        <v>413</v>
      </c>
      <c r="N43" s="642" t="s">
        <v>79</v>
      </c>
      <c r="O43" s="641">
        <v>44.54</v>
      </c>
      <c r="P43" s="642">
        <v>9.8797754750000006</v>
      </c>
      <c r="Q43" s="642">
        <v>0.29814252607901076</v>
      </c>
      <c r="U43" s="550" t="s">
        <v>80</v>
      </c>
      <c r="V43" s="643">
        <v>0.34806079616152974</v>
      </c>
      <c r="W43" s="644">
        <v>0.3468297833725742</v>
      </c>
      <c r="X43" s="796"/>
      <c r="Y43" s="742"/>
      <c r="Z43" s="707"/>
    </row>
    <row r="44" spans="1:26" ht="18" customHeight="1">
      <c r="A44" s="136"/>
      <c r="B44" s="138"/>
      <c r="C44" s="138"/>
      <c r="D44" s="138"/>
      <c r="E44" s="138"/>
      <c r="F44" s="138"/>
      <c r="G44" s="138"/>
      <c r="H44" s="138"/>
      <c r="I44" s="138"/>
      <c r="J44" s="138"/>
      <c r="K44" s="138"/>
      <c r="L44" s="138"/>
      <c r="M44" s="640" t="s">
        <v>225</v>
      </c>
      <c r="N44" s="642" t="s">
        <v>79</v>
      </c>
      <c r="O44" s="641">
        <v>20</v>
      </c>
      <c r="P44" s="642">
        <v>5.3193370000000009</v>
      </c>
      <c r="Q44" s="642">
        <v>0.35748232526881724</v>
      </c>
      <c r="U44" s="550" t="s">
        <v>226</v>
      </c>
      <c r="V44" s="643">
        <v>0.33645491241438352</v>
      </c>
      <c r="W44" s="644">
        <v>0.33546716649543379</v>
      </c>
      <c r="X44" s="796"/>
      <c r="Y44" s="742"/>
      <c r="Z44" s="707"/>
    </row>
    <row r="45" spans="1:26" ht="12">
      <c r="A45" s="136"/>
      <c r="B45" s="138"/>
      <c r="C45" s="848" t="str">
        <f>"Factor de planta de las centrales RER  Acumulado al "&amp;'1. Resumen'!Q7&amp;" de "&amp;'1. Resumen'!Q4</f>
        <v>Factor de planta de las centrales RER  Acumulado al 31 de diciembe</v>
      </c>
      <c r="D45" s="848"/>
      <c r="E45" s="848"/>
      <c r="F45" s="848"/>
      <c r="G45" s="848"/>
      <c r="H45" s="848"/>
      <c r="I45" s="848"/>
      <c r="J45" s="848"/>
      <c r="K45" s="138"/>
      <c r="L45" s="138"/>
      <c r="M45" s="640" t="s">
        <v>226</v>
      </c>
      <c r="N45" s="642" t="s">
        <v>79</v>
      </c>
      <c r="O45" s="641">
        <v>20</v>
      </c>
      <c r="P45" s="642">
        <v>5.1944154999999999</v>
      </c>
      <c r="Q45" s="642">
        <v>0.34908706317204302</v>
      </c>
      <c r="U45" s="550" t="s">
        <v>225</v>
      </c>
      <c r="V45" s="643">
        <v>0.31978667061929228</v>
      </c>
      <c r="W45" s="644">
        <v>0.30575682642694069</v>
      </c>
      <c r="X45" s="796"/>
      <c r="Y45" s="742"/>
      <c r="Z45" s="707"/>
    </row>
    <row r="46" spans="1:26" ht="9.75" customHeight="1">
      <c r="A46" s="136"/>
      <c r="B46" s="138"/>
      <c r="C46" s="138"/>
      <c r="D46" s="138"/>
      <c r="E46" s="138"/>
      <c r="F46" s="138"/>
      <c r="G46" s="138"/>
      <c r="H46" s="138"/>
      <c r="I46" s="138"/>
      <c r="J46" s="138"/>
      <c r="K46" s="138"/>
      <c r="L46" s="138"/>
      <c r="M46" s="640" t="s">
        <v>80</v>
      </c>
      <c r="N46" s="642" t="s">
        <v>79</v>
      </c>
      <c r="O46" s="641">
        <v>16</v>
      </c>
      <c r="P46" s="642">
        <v>4.1781094999999997</v>
      </c>
      <c r="Q46" s="642">
        <v>0.35098366095430106</v>
      </c>
      <c r="U46" s="549" t="s">
        <v>413</v>
      </c>
      <c r="V46" s="643">
        <v>0.28726715891313132</v>
      </c>
      <c r="W46" s="644">
        <v>0.27842555002250297</v>
      </c>
      <c r="X46" s="796"/>
      <c r="Y46" s="742"/>
      <c r="Z46" s="707"/>
    </row>
    <row r="47" spans="1:26" ht="9.75" customHeight="1">
      <c r="A47" s="136"/>
      <c r="B47" s="138"/>
      <c r="C47" s="138"/>
      <c r="D47" s="138"/>
      <c r="E47" s="138"/>
      <c r="F47" s="138"/>
      <c r="G47" s="138"/>
      <c r="H47" s="138"/>
      <c r="I47" s="138"/>
      <c r="J47" s="138"/>
      <c r="K47" s="138"/>
      <c r="L47" s="138"/>
      <c r="M47" s="640" t="s">
        <v>227</v>
      </c>
      <c r="N47" s="642" t="s">
        <v>79</v>
      </c>
      <c r="O47" s="641">
        <v>20</v>
      </c>
      <c r="P47" s="642">
        <v>3.9131999999999998</v>
      </c>
      <c r="Q47" s="642">
        <v>0.26298387096774195</v>
      </c>
      <c r="U47" s="550" t="s">
        <v>227</v>
      </c>
      <c r="V47" s="643">
        <v>0.2615221038812785</v>
      </c>
      <c r="W47" s="644">
        <v>0.25239760102739722</v>
      </c>
      <c r="Y47" s="742"/>
      <c r="Z47" s="707"/>
    </row>
    <row r="48" spans="1:26" ht="9.75" customHeight="1">
      <c r="A48" s="136"/>
      <c r="B48" s="138"/>
      <c r="C48" s="138"/>
      <c r="D48" s="138"/>
      <c r="E48" s="138"/>
      <c r="F48" s="138"/>
      <c r="G48" s="138"/>
      <c r="H48" s="138"/>
      <c r="I48" s="138"/>
      <c r="J48" s="138"/>
      <c r="K48" s="138"/>
      <c r="L48" s="138"/>
      <c r="M48" s="640" t="s">
        <v>81</v>
      </c>
      <c r="N48" s="642" t="s">
        <v>79</v>
      </c>
      <c r="O48" s="641">
        <v>20</v>
      </c>
      <c r="P48" s="642">
        <v>3.7971046025000001</v>
      </c>
      <c r="Q48" s="642">
        <v>0.25518176092069894</v>
      </c>
      <c r="U48" s="550" t="s">
        <v>81</v>
      </c>
      <c r="V48" s="643">
        <v>0.25165400970319635</v>
      </c>
      <c r="W48" s="644">
        <v>0.24830017655536529</v>
      </c>
      <c r="Y48" s="742"/>
      <c r="Z48" s="707"/>
    </row>
    <row r="49" spans="1:26" ht="9.75" customHeight="1">
      <c r="A49" s="136"/>
      <c r="B49" s="138"/>
      <c r="C49" s="138"/>
      <c r="D49" s="138"/>
      <c r="E49" s="138"/>
      <c r="F49" s="138"/>
      <c r="G49" s="138"/>
      <c r="H49" s="138"/>
      <c r="I49" s="138"/>
      <c r="J49" s="138"/>
      <c r="K49" s="138"/>
      <c r="L49" s="138"/>
      <c r="M49" s="640" t="s">
        <v>82</v>
      </c>
      <c r="N49" s="642" t="s">
        <v>392</v>
      </c>
      <c r="O49" s="641">
        <v>12.74105</v>
      </c>
      <c r="P49" s="642">
        <v>6.9936656749999999</v>
      </c>
      <c r="Q49" s="642">
        <v>0.73777971775084972</v>
      </c>
      <c r="T49" s="550" t="s">
        <v>421</v>
      </c>
      <c r="U49" s="550" t="s">
        <v>82</v>
      </c>
      <c r="V49" s="669">
        <v>0.8871173580007341</v>
      </c>
      <c r="W49" s="644">
        <v>0.87867288715819658</v>
      </c>
      <c r="Y49" s="742"/>
      <c r="Z49" s="707"/>
    </row>
    <row r="50" spans="1:26" ht="9.75" customHeight="1">
      <c r="A50" s="136"/>
      <c r="B50" s="138"/>
      <c r="C50" s="138"/>
      <c r="D50" s="138"/>
      <c r="E50" s="138"/>
      <c r="F50" s="138"/>
      <c r="G50" s="138"/>
      <c r="H50" s="138"/>
      <c r="I50" s="138"/>
      <c r="J50" s="138"/>
      <c r="K50" s="138"/>
      <c r="L50" s="138"/>
      <c r="M50" s="640" t="s">
        <v>83</v>
      </c>
      <c r="N50" s="642" t="s">
        <v>392</v>
      </c>
      <c r="O50" s="641">
        <v>4.2625000000000002</v>
      </c>
      <c r="P50" s="642">
        <v>3.0838836500000002</v>
      </c>
      <c r="Q50" s="642">
        <v>0.97243516854286882</v>
      </c>
      <c r="U50" s="550" t="s">
        <v>83</v>
      </c>
      <c r="V50" s="669">
        <v>0.78888587748898631</v>
      </c>
      <c r="W50" s="644">
        <v>0.87261125677901408</v>
      </c>
    </row>
    <row r="51" spans="1:26" ht="20.25" customHeight="1">
      <c r="A51" s="136"/>
      <c r="B51" s="138"/>
      <c r="C51" s="138"/>
      <c r="D51" s="138"/>
      <c r="E51" s="138"/>
      <c r="F51" s="138"/>
      <c r="G51" s="138"/>
      <c r="H51" s="138"/>
      <c r="I51" s="138"/>
      <c r="J51" s="138"/>
      <c r="K51" s="138"/>
      <c r="L51" s="138"/>
      <c r="M51" s="640" t="s">
        <v>414</v>
      </c>
      <c r="N51" s="642" t="s">
        <v>392</v>
      </c>
      <c r="O51" s="641">
        <v>2.4</v>
      </c>
      <c r="P51" s="642">
        <v>1.6900687749999999</v>
      </c>
      <c r="Q51" s="642">
        <v>0.94649908994175624</v>
      </c>
      <c r="U51" s="550" t="s">
        <v>84</v>
      </c>
      <c r="V51" s="669">
        <v>0.74349144204706941</v>
      </c>
      <c r="W51" s="644">
        <v>0.6430163616858231</v>
      </c>
    </row>
    <row r="52" spans="1:26" ht="9.75" customHeight="1">
      <c r="A52" s="136"/>
      <c r="B52" s="138"/>
      <c r="C52" s="138"/>
      <c r="D52" s="138"/>
      <c r="E52" s="138"/>
      <c r="F52" s="138"/>
      <c r="G52" s="138"/>
      <c r="H52" s="138"/>
      <c r="I52" s="138"/>
      <c r="J52" s="138"/>
      <c r="K52" s="138"/>
      <c r="L52" s="138"/>
      <c r="M52" s="640" t="s">
        <v>449</v>
      </c>
      <c r="N52" s="642" t="s">
        <v>392</v>
      </c>
      <c r="O52" s="641">
        <v>2.4</v>
      </c>
      <c r="P52" s="642">
        <v>1.52530265</v>
      </c>
      <c r="Q52" s="642">
        <v>0.85422415434587817</v>
      </c>
      <c r="U52" s="550" t="s">
        <v>414</v>
      </c>
      <c r="V52" s="669">
        <v>0.72882281737538068</v>
      </c>
      <c r="W52" s="644">
        <v>0.74515967025780083</v>
      </c>
    </row>
    <row r="53" spans="1:26" ht="9.75" customHeight="1">
      <c r="B53" s="138"/>
      <c r="C53" s="138"/>
      <c r="D53" s="138"/>
      <c r="E53" s="138"/>
      <c r="F53" s="138"/>
      <c r="G53" s="138"/>
      <c r="H53" s="138"/>
      <c r="I53" s="138"/>
      <c r="J53" s="138"/>
      <c r="K53" s="138"/>
      <c r="L53" s="138"/>
      <c r="M53" s="640" t="s">
        <v>84</v>
      </c>
      <c r="N53" s="642" t="s">
        <v>392</v>
      </c>
      <c r="O53" s="641">
        <v>2.9537</v>
      </c>
      <c r="P53" s="642">
        <v>0.94582512499999993</v>
      </c>
      <c r="Q53" s="642">
        <v>0.43039927186277388</v>
      </c>
      <c r="U53" s="550" t="s">
        <v>449</v>
      </c>
      <c r="V53" s="669">
        <v>0.69786362490487075</v>
      </c>
      <c r="W53" s="644">
        <v>0.66519038658200158</v>
      </c>
    </row>
    <row r="54" spans="1:26" ht="30.75" customHeight="1">
      <c r="N54" s="642"/>
      <c r="O54" s="641"/>
      <c r="P54" s="642"/>
      <c r="Q54" s="642"/>
    </row>
    <row r="55" spans="1:26" ht="9.75" customHeight="1">
      <c r="V55" s="669"/>
    </row>
    <row r="56" spans="1:26" ht="9.75" customHeight="1">
      <c r="V56" s="669"/>
    </row>
    <row r="57" spans="1:26" ht="9.75" customHeight="1">
      <c r="V57" s="669"/>
    </row>
    <row r="58" spans="1:26" ht="9.75" customHeight="1"/>
    <row r="59" spans="1:26" ht="9.75" customHeight="1"/>
    <row r="60" spans="1:26" ht="9.75" customHeight="1"/>
    <row r="61" spans="1:26" ht="9.75" customHeight="1"/>
    <row r="62" spans="1:26" ht="9.75" customHeight="1"/>
    <row r="64" spans="1:26" ht="26.25" customHeight="1">
      <c r="A64" s="84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diciembe.
Nota: Son consideradas las centrales adjudicadas por subasta RER y cuenten con operación comercial</v>
      </c>
      <c r="B64" s="844"/>
      <c r="C64" s="844"/>
      <c r="D64" s="844"/>
      <c r="E64" s="844"/>
      <c r="F64" s="844"/>
      <c r="G64" s="844"/>
      <c r="H64" s="844"/>
      <c r="I64" s="844"/>
      <c r="J64" s="844"/>
      <c r="K64" s="844"/>
      <c r="L64" s="844"/>
    </row>
  </sheetData>
  <mergeCells count="4">
    <mergeCell ref="A43:L43"/>
    <mergeCell ref="A2:L2"/>
    <mergeCell ref="C45:J45"/>
    <mergeCell ref="A64:L64"/>
  </mergeCells>
  <pageMargins left="0.4365" right="0.33950000000000002" top="1.0236220472440944" bottom="0.62992125984251968"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K58" sqref="K58"/>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8" max="8" width="8" customWidth="1"/>
    <col min="10" max="10" width="8.85546875" customWidth="1"/>
    <col min="11" max="11" width="9.28515625" customWidth="1"/>
    <col min="12" max="12" width="22.85546875" style="668" customWidth="1"/>
    <col min="13" max="13" width="19.140625" style="277" customWidth="1"/>
    <col min="14" max="14" width="10.42578125" style="277" bestFit="1" customWidth="1"/>
    <col min="15" max="15" width="9.42578125" style="277" bestFit="1" customWidth="1"/>
    <col min="16" max="18" width="9.28515625" style="668"/>
  </cols>
  <sheetData>
    <row r="1" spans="1:15" ht="11.25" customHeight="1">
      <c r="A1" s="845" t="s">
        <v>229</v>
      </c>
      <c r="B1" s="845"/>
      <c r="C1" s="845"/>
      <c r="D1" s="845"/>
      <c r="E1" s="845"/>
      <c r="F1" s="845"/>
      <c r="G1" s="845"/>
      <c r="H1" s="845"/>
      <c r="I1" s="845"/>
      <c r="J1" s="845"/>
      <c r="K1" s="17"/>
    </row>
    <row r="2" spans="1:15" ht="6" customHeight="1">
      <c r="A2" s="17"/>
      <c r="B2" s="17"/>
      <c r="C2" s="17"/>
      <c r="D2" s="17"/>
      <c r="E2" s="17"/>
      <c r="F2" s="17"/>
      <c r="G2" s="17"/>
      <c r="H2" s="17"/>
      <c r="I2" s="17"/>
      <c r="J2" s="17"/>
      <c r="K2" s="17"/>
      <c r="L2" s="670"/>
      <c r="M2" s="716"/>
    </row>
    <row r="3" spans="1:15" ht="11.25" customHeight="1">
      <c r="A3" s="851" t="s">
        <v>239</v>
      </c>
      <c r="B3" s="852" t="str">
        <f>+'1. Resumen'!Q4</f>
        <v>diciembe</v>
      </c>
      <c r="C3" s="853"/>
      <c r="D3" s="853"/>
      <c r="E3" s="138"/>
      <c r="F3" s="138"/>
      <c r="G3" s="854" t="s">
        <v>554</v>
      </c>
      <c r="H3" s="854"/>
      <c r="I3" s="854"/>
      <c r="J3" s="854"/>
      <c r="K3" s="138"/>
      <c r="M3" s="717"/>
      <c r="N3" s="718">
        <v>2022</v>
      </c>
      <c r="O3" s="718">
        <v>2021</v>
      </c>
    </row>
    <row r="4" spans="1:15" ht="11.25" customHeight="1">
      <c r="A4" s="851"/>
      <c r="B4" s="367">
        <f>+'1. Resumen'!Q5</f>
        <v>2022</v>
      </c>
      <c r="C4" s="368">
        <f>+B4-1</f>
        <v>2021</v>
      </c>
      <c r="D4" s="368" t="s">
        <v>34</v>
      </c>
      <c r="E4" s="138"/>
      <c r="F4" s="138"/>
      <c r="G4" s="138"/>
      <c r="H4" s="138"/>
      <c r="I4" s="138"/>
      <c r="J4" s="138"/>
      <c r="K4" s="138"/>
      <c r="L4" s="723"/>
      <c r="M4" s="719" t="s">
        <v>401</v>
      </c>
      <c r="N4" s="720"/>
      <c r="O4" s="720">
        <v>0.44842274999999998</v>
      </c>
    </row>
    <row r="5" spans="1:15" ht="10.5" customHeight="1">
      <c r="A5" s="587" t="s">
        <v>399</v>
      </c>
      <c r="B5" s="744">
        <v>960.36907793750004</v>
      </c>
      <c r="C5" s="745">
        <v>751.2190250000001</v>
      </c>
      <c r="D5" s="588">
        <f>IF(C5=0,"",B5/C5-1)</f>
        <v>0.27841421207017469</v>
      </c>
      <c r="E5" s="138"/>
      <c r="F5" s="138"/>
      <c r="G5" s="138"/>
      <c r="H5" s="138"/>
      <c r="I5" s="138"/>
      <c r="J5" s="138"/>
      <c r="K5" s="138"/>
      <c r="L5" s="724"/>
      <c r="M5" s="719" t="s">
        <v>101</v>
      </c>
      <c r="N5" s="720">
        <v>0</v>
      </c>
      <c r="O5" s="720">
        <v>18.861131887500001</v>
      </c>
    </row>
    <row r="6" spans="1:15" ht="10.5" customHeight="1">
      <c r="A6" s="589" t="s">
        <v>86</v>
      </c>
      <c r="B6" s="746">
        <v>863.27194453750008</v>
      </c>
      <c r="C6" s="746">
        <v>598.16508173500006</v>
      </c>
      <c r="D6" s="590">
        <f t="shared" ref="D6:D64" si="0">IF(C6=0,"",B6/C6-1)</f>
        <v>0.44320016479990398</v>
      </c>
      <c r="E6" s="322"/>
      <c r="F6" s="138"/>
      <c r="G6" s="138"/>
      <c r="H6" s="138"/>
      <c r="I6" s="138"/>
      <c r="J6" s="138"/>
      <c r="K6" s="138"/>
      <c r="M6" s="720" t="s">
        <v>237</v>
      </c>
      <c r="N6" s="720">
        <v>1.6192782499999999E-2</v>
      </c>
      <c r="O6" s="720">
        <v>1.7090524999999999E-2</v>
      </c>
    </row>
    <row r="7" spans="1:15" ht="10.5" customHeight="1">
      <c r="A7" s="587" t="s">
        <v>87</v>
      </c>
      <c r="B7" s="745">
        <v>674.31983799999978</v>
      </c>
      <c r="C7" s="745">
        <v>544.11249599999996</v>
      </c>
      <c r="D7" s="588">
        <f t="shared" si="0"/>
        <v>0.23930224532097455</v>
      </c>
      <c r="E7" s="138"/>
      <c r="F7" s="138"/>
      <c r="G7" s="138"/>
      <c r="H7" s="138"/>
      <c r="I7" s="138"/>
      <c r="J7" s="138"/>
      <c r="K7" s="138"/>
      <c r="M7" s="719" t="s">
        <v>116</v>
      </c>
      <c r="N7" s="720">
        <v>0.10845421</v>
      </c>
      <c r="O7" s="720">
        <v>0.52959690000000004</v>
      </c>
    </row>
    <row r="8" spans="1:15" ht="10.5" customHeight="1">
      <c r="A8" s="589" t="s">
        <v>88</v>
      </c>
      <c r="B8" s="746">
        <v>476.11719755999997</v>
      </c>
      <c r="C8" s="746">
        <v>566.86458719999996</v>
      </c>
      <c r="D8" s="590">
        <f t="shared" si="0"/>
        <v>-0.16008653863569478</v>
      </c>
      <c r="E8" s="138"/>
      <c r="F8" s="138"/>
      <c r="G8" s="138"/>
      <c r="H8" s="138"/>
      <c r="I8" s="138"/>
      <c r="J8" s="138"/>
      <c r="K8" s="138"/>
      <c r="M8" s="720" t="s">
        <v>531</v>
      </c>
      <c r="N8" s="720">
        <v>0.21440828250000002</v>
      </c>
      <c r="O8" s="720">
        <v>0.2375421425</v>
      </c>
    </row>
    <row r="9" spans="1:15" ht="10.5" customHeight="1">
      <c r="A9" s="587" t="s">
        <v>233</v>
      </c>
      <c r="B9" s="745">
        <v>404.85677054999996</v>
      </c>
      <c r="C9" s="745">
        <v>236.51407881749998</v>
      </c>
      <c r="D9" s="588">
        <f t="shared" si="0"/>
        <v>0.71176605035168872</v>
      </c>
      <c r="E9" s="138"/>
      <c r="F9" s="138"/>
      <c r="G9" s="138"/>
      <c r="H9" s="138"/>
      <c r="I9" s="138"/>
      <c r="J9" s="138"/>
      <c r="K9" s="138"/>
      <c r="L9" s="723"/>
      <c r="M9" s="720" t="s">
        <v>115</v>
      </c>
      <c r="N9" s="720">
        <v>0.24141299749999998</v>
      </c>
      <c r="O9" s="720">
        <v>2.56850975E-2</v>
      </c>
    </row>
    <row r="10" spans="1:15" ht="10.5" customHeight="1">
      <c r="A10" s="589" t="s">
        <v>235</v>
      </c>
      <c r="B10" s="746">
        <v>168.41609270499998</v>
      </c>
      <c r="C10" s="746">
        <v>229.47994849999998</v>
      </c>
      <c r="D10" s="590">
        <f t="shared" si="0"/>
        <v>-0.26609669469661745</v>
      </c>
      <c r="E10" s="138"/>
      <c r="F10" s="138"/>
      <c r="G10" s="138"/>
      <c r="H10" s="138"/>
      <c r="I10" s="138"/>
      <c r="J10" s="138"/>
      <c r="K10" s="138"/>
      <c r="L10" s="724"/>
      <c r="M10" s="720" t="s">
        <v>456</v>
      </c>
      <c r="N10" s="720">
        <v>0.324080125</v>
      </c>
      <c r="O10" s="720">
        <v>0.28534678000000002</v>
      </c>
    </row>
    <row r="11" spans="1:15" ht="10.5" customHeight="1">
      <c r="A11" s="587" t="s">
        <v>89</v>
      </c>
      <c r="B11" s="745">
        <v>163.59132925000006</v>
      </c>
      <c r="C11" s="745">
        <v>243.442861975</v>
      </c>
      <c r="D11" s="588">
        <f t="shared" si="0"/>
        <v>-0.32800934098942769</v>
      </c>
      <c r="E11" s="138"/>
      <c r="F11" s="138"/>
      <c r="G11" s="138"/>
      <c r="H11" s="138"/>
      <c r="I11" s="138"/>
      <c r="J11" s="138"/>
      <c r="K11" s="138"/>
      <c r="L11" s="724"/>
      <c r="M11" s="719" t="s">
        <v>230</v>
      </c>
      <c r="N11" s="720">
        <v>0.83611974999999994</v>
      </c>
      <c r="O11" s="720">
        <v>0</v>
      </c>
    </row>
    <row r="12" spans="1:15" ht="10.5" customHeight="1">
      <c r="A12" s="589" t="s">
        <v>99</v>
      </c>
      <c r="B12" s="746">
        <v>124.8312688475</v>
      </c>
      <c r="C12" s="746">
        <v>30.0757875125</v>
      </c>
      <c r="D12" s="591">
        <f t="shared" si="0"/>
        <v>3.150556948695626</v>
      </c>
      <c r="E12" s="138"/>
      <c r="F12" s="138"/>
      <c r="G12" s="138"/>
      <c r="H12" s="138"/>
      <c r="I12" s="138"/>
      <c r="J12" s="138"/>
      <c r="K12" s="138"/>
      <c r="L12" s="724"/>
      <c r="M12" s="719" t="s">
        <v>530</v>
      </c>
      <c r="N12" s="720">
        <v>1.2256670624999999</v>
      </c>
      <c r="O12" s="720">
        <v>1.5782827975</v>
      </c>
    </row>
    <row r="13" spans="1:15" ht="10.5" customHeight="1">
      <c r="A13" s="587" t="s">
        <v>91</v>
      </c>
      <c r="B13" s="745">
        <v>102.89567675000001</v>
      </c>
      <c r="C13" s="745">
        <v>119.98859774999998</v>
      </c>
      <c r="D13" s="588">
        <f t="shared" si="0"/>
        <v>-0.14245454418605352</v>
      </c>
      <c r="E13" s="138"/>
      <c r="F13" s="138"/>
      <c r="G13" s="138"/>
      <c r="H13" s="138"/>
      <c r="I13" s="138"/>
      <c r="J13" s="138"/>
      <c r="K13" s="138"/>
      <c r="L13" s="724"/>
      <c r="M13" s="720" t="s">
        <v>114</v>
      </c>
      <c r="N13" s="720">
        <v>1.42313775</v>
      </c>
      <c r="O13" s="720">
        <v>2.1960478749999996</v>
      </c>
    </row>
    <row r="14" spans="1:15" ht="10.5" customHeight="1">
      <c r="A14" s="589" t="s">
        <v>231</v>
      </c>
      <c r="B14" s="746">
        <v>101.32459743999999</v>
      </c>
      <c r="C14" s="746">
        <v>262.49282283750006</v>
      </c>
      <c r="D14" s="590">
        <f t="shared" si="0"/>
        <v>-0.61399097946869796</v>
      </c>
      <c r="E14" s="138"/>
      <c r="F14" s="138"/>
      <c r="G14" s="138"/>
      <c r="H14" s="138"/>
      <c r="I14" s="138"/>
      <c r="J14" s="138"/>
      <c r="K14" s="138"/>
      <c r="L14" s="724"/>
      <c r="M14" s="720" t="s">
        <v>113</v>
      </c>
      <c r="N14" s="720">
        <v>1.9330000000000001</v>
      </c>
      <c r="O14" s="720">
        <v>2.5636999999999999</v>
      </c>
    </row>
    <row r="15" spans="1:15" ht="10.5" customHeight="1">
      <c r="A15" s="587" t="s">
        <v>97</v>
      </c>
      <c r="B15" s="745">
        <v>83.515282750000011</v>
      </c>
      <c r="C15" s="745">
        <v>86.695876249999998</v>
      </c>
      <c r="D15" s="588">
        <f t="shared" si="0"/>
        <v>-3.668679108598305E-2</v>
      </c>
      <c r="E15" s="138"/>
      <c r="F15" s="138"/>
      <c r="G15" s="138"/>
      <c r="H15" s="138"/>
      <c r="I15" s="138"/>
      <c r="J15" s="138"/>
      <c r="K15" s="138" t="s">
        <v>8</v>
      </c>
      <c r="L15" s="724"/>
      <c r="M15" s="720" t="s">
        <v>111</v>
      </c>
      <c r="N15" s="720">
        <v>2.0403903475000003</v>
      </c>
      <c r="O15" s="720">
        <v>1.6373590149999999</v>
      </c>
    </row>
    <row r="16" spans="1:15" ht="10.5" customHeight="1">
      <c r="A16" s="589" t="s">
        <v>92</v>
      </c>
      <c r="B16" s="746">
        <v>77.428610750000004</v>
      </c>
      <c r="C16" s="746">
        <v>113.357798</v>
      </c>
      <c r="D16" s="590">
        <f t="shared" si="0"/>
        <v>-0.31695382129776373</v>
      </c>
      <c r="E16" s="138"/>
      <c r="F16" s="138"/>
      <c r="G16" s="138"/>
      <c r="H16" s="138"/>
      <c r="I16" s="138"/>
      <c r="J16" s="138"/>
      <c r="K16" s="138"/>
      <c r="L16" s="724"/>
      <c r="M16" s="720" t="s">
        <v>112</v>
      </c>
      <c r="N16" s="720">
        <v>2.119232625</v>
      </c>
      <c r="O16" s="720">
        <v>2.5747787</v>
      </c>
    </row>
    <row r="17" spans="1:15" ht="10.5" customHeight="1">
      <c r="A17" s="587" t="s">
        <v>90</v>
      </c>
      <c r="B17" s="745">
        <v>77.372508257500016</v>
      </c>
      <c r="C17" s="745">
        <v>82.240458047499985</v>
      </c>
      <c r="D17" s="588">
        <f t="shared" si="0"/>
        <v>-5.9191666797239417E-2</v>
      </c>
      <c r="E17" s="138"/>
      <c r="F17" s="138"/>
      <c r="G17" s="138"/>
      <c r="H17" s="138"/>
      <c r="I17" s="138"/>
      <c r="J17" s="138"/>
      <c r="K17" s="138"/>
      <c r="L17" s="725"/>
      <c r="M17" s="719" t="s">
        <v>453</v>
      </c>
      <c r="N17" s="720">
        <v>3.7971046025000001</v>
      </c>
      <c r="O17" s="720">
        <v>3.8163535849999999</v>
      </c>
    </row>
    <row r="18" spans="1:15" ht="10.5" customHeight="1">
      <c r="A18" s="589" t="s">
        <v>95</v>
      </c>
      <c r="B18" s="746">
        <v>66.75255924999999</v>
      </c>
      <c r="C18" s="746">
        <v>60.695053250000001</v>
      </c>
      <c r="D18" s="590">
        <f t="shared" si="0"/>
        <v>9.9802301433848495E-2</v>
      </c>
      <c r="E18" s="138"/>
      <c r="F18" s="138"/>
      <c r="G18" s="138"/>
      <c r="H18" s="138"/>
      <c r="I18" s="138"/>
      <c r="J18" s="138"/>
      <c r="K18" s="138"/>
      <c r="L18" s="724"/>
      <c r="M18" s="720" t="s">
        <v>416</v>
      </c>
      <c r="N18" s="720">
        <v>3.8442692425000002</v>
      </c>
      <c r="O18" s="720">
        <v>4.3576411225000005</v>
      </c>
    </row>
    <row r="19" spans="1:15" ht="10.5" customHeight="1">
      <c r="A19" s="587" t="s">
        <v>94</v>
      </c>
      <c r="B19" s="745">
        <v>64.815070157500003</v>
      </c>
      <c r="C19" s="745">
        <v>45.082415705000003</v>
      </c>
      <c r="D19" s="588">
        <f t="shared" si="0"/>
        <v>0.43770179889254446</v>
      </c>
      <c r="E19" s="138"/>
      <c r="F19" s="138"/>
      <c r="G19" s="138"/>
      <c r="H19" s="138"/>
      <c r="I19" s="138"/>
      <c r="J19" s="138"/>
      <c r="K19" s="138"/>
      <c r="L19" s="724"/>
      <c r="M19" s="719" t="s">
        <v>452</v>
      </c>
      <c r="N19" s="720">
        <v>3.9131999999999998</v>
      </c>
      <c r="O19" s="720">
        <v>4.0446451000000003</v>
      </c>
    </row>
    <row r="20" spans="1:15" ht="10.5" customHeight="1">
      <c r="A20" s="589" t="s">
        <v>93</v>
      </c>
      <c r="B20" s="746">
        <v>62.476911874999999</v>
      </c>
      <c r="C20" s="746">
        <v>125.86830449999999</v>
      </c>
      <c r="D20" s="590">
        <f t="shared" si="0"/>
        <v>-0.50363268876002065</v>
      </c>
      <c r="E20" s="138"/>
      <c r="F20" s="138"/>
      <c r="G20" s="138"/>
      <c r="H20" s="138"/>
      <c r="I20" s="138"/>
      <c r="J20" s="138"/>
      <c r="K20" s="138"/>
      <c r="L20" s="724"/>
      <c r="M20" s="720" t="s">
        <v>454</v>
      </c>
      <c r="N20" s="720">
        <v>4.0421193750000004</v>
      </c>
      <c r="O20" s="720">
        <v>3.43875865</v>
      </c>
    </row>
    <row r="21" spans="1:15" ht="10.5" customHeight="1">
      <c r="A21" s="587" t="s">
        <v>415</v>
      </c>
      <c r="B21" s="745">
        <v>54.042190927500002</v>
      </c>
      <c r="C21" s="745">
        <v>65.904089449999987</v>
      </c>
      <c r="D21" s="588">
        <f t="shared" si="0"/>
        <v>-0.17998729094799726</v>
      </c>
      <c r="E21" s="138"/>
      <c r="F21" s="138"/>
      <c r="G21" s="138"/>
      <c r="H21" s="138"/>
      <c r="I21" s="138"/>
      <c r="J21" s="138"/>
      <c r="K21" s="138"/>
      <c r="L21" s="725"/>
      <c r="M21" s="719" t="s">
        <v>109</v>
      </c>
      <c r="N21" s="720">
        <v>4.1781094999999997</v>
      </c>
      <c r="O21" s="720">
        <v>4.3039525049999998</v>
      </c>
    </row>
    <row r="22" spans="1:15" ht="10.5" customHeight="1">
      <c r="A22" s="589" t="s">
        <v>238</v>
      </c>
      <c r="B22" s="746">
        <v>45.594597899999997</v>
      </c>
      <c r="C22" s="746">
        <v>0.38599749999999999</v>
      </c>
      <c r="D22" s="590">
        <f t="shared" si="0"/>
        <v>117.12148498371103</v>
      </c>
      <c r="E22" s="138"/>
      <c r="F22" s="138"/>
      <c r="G22" s="138"/>
      <c r="H22" s="138"/>
      <c r="I22" s="138"/>
      <c r="J22" s="138"/>
      <c r="K22" s="138"/>
      <c r="L22" s="724"/>
      <c r="M22" s="719" t="s">
        <v>455</v>
      </c>
      <c r="N22" s="720">
        <v>4.5734130974999996</v>
      </c>
      <c r="O22" s="720">
        <v>3.9115265300000002</v>
      </c>
    </row>
    <row r="23" spans="1:15" ht="10.5" customHeight="1">
      <c r="A23" s="587" t="s">
        <v>104</v>
      </c>
      <c r="B23" s="745">
        <v>42.048998820000001</v>
      </c>
      <c r="C23" s="745">
        <v>1.6097044149999999</v>
      </c>
      <c r="D23" s="588">
        <f t="shared" si="0"/>
        <v>25.122186426381891</v>
      </c>
      <c r="E23" s="138"/>
      <c r="F23" s="138"/>
      <c r="G23" s="138"/>
      <c r="H23" s="138"/>
      <c r="I23" s="138"/>
      <c r="J23" s="138"/>
      <c r="K23" s="138"/>
      <c r="L23" s="724"/>
      <c r="M23" s="719" t="s">
        <v>103</v>
      </c>
      <c r="N23" s="720">
        <v>4.6178374399999997</v>
      </c>
      <c r="O23" s="720">
        <v>13.66837333</v>
      </c>
    </row>
    <row r="24" spans="1:15" ht="10.5" customHeight="1">
      <c r="A24" s="589" t="s">
        <v>96</v>
      </c>
      <c r="B24" s="746">
        <v>39.402368150000001</v>
      </c>
      <c r="C24" s="746">
        <v>47.655647342500004</v>
      </c>
      <c r="D24" s="590">
        <f t="shared" si="0"/>
        <v>-0.17318575347815302</v>
      </c>
      <c r="E24" s="138"/>
      <c r="F24" s="138"/>
      <c r="G24" s="138"/>
      <c r="H24" s="138"/>
      <c r="I24" s="138"/>
      <c r="J24" s="138"/>
      <c r="K24" s="138"/>
      <c r="L24" s="724"/>
      <c r="M24" s="720" t="s">
        <v>106</v>
      </c>
      <c r="N24" s="720">
        <v>5.1944154999999999</v>
      </c>
      <c r="O24" s="720">
        <v>5.2292854174999999</v>
      </c>
    </row>
    <row r="25" spans="1:15" ht="10.5" customHeight="1">
      <c r="A25" s="587" t="s">
        <v>98</v>
      </c>
      <c r="B25" s="745">
        <v>33.827551360000001</v>
      </c>
      <c r="C25" s="745">
        <v>33.152793812500001</v>
      </c>
      <c r="D25" s="588">
        <f t="shared" si="0"/>
        <v>2.0352961844367634E-2</v>
      </c>
      <c r="E25" s="138"/>
      <c r="F25" s="138"/>
      <c r="G25" s="138"/>
      <c r="H25" s="138"/>
      <c r="I25" s="138"/>
      <c r="J25" s="138"/>
      <c r="K25" s="138"/>
      <c r="L25" s="724"/>
      <c r="M25" s="719" t="s">
        <v>108</v>
      </c>
      <c r="N25" s="720">
        <v>5.3193370000000009</v>
      </c>
      <c r="O25" s="720">
        <v>4.6951015150000002</v>
      </c>
    </row>
    <row r="26" spans="1:15" ht="10.5" customHeight="1">
      <c r="A26" s="589" t="s">
        <v>107</v>
      </c>
      <c r="B26" s="746">
        <v>33.219844302499993</v>
      </c>
      <c r="C26" s="746">
        <v>49.143729655000001</v>
      </c>
      <c r="D26" s="590">
        <f t="shared" si="0"/>
        <v>-0.32402679780898302</v>
      </c>
      <c r="E26" s="138"/>
      <c r="F26" s="138"/>
      <c r="G26" s="138"/>
      <c r="H26" s="138"/>
      <c r="I26" s="138"/>
      <c r="J26" s="138"/>
      <c r="K26" s="138"/>
      <c r="L26" s="724"/>
      <c r="M26" s="719" t="s">
        <v>437</v>
      </c>
      <c r="N26" s="720">
        <v>5.6142866149999993</v>
      </c>
      <c r="O26" s="720">
        <v>6.3379690125000003</v>
      </c>
    </row>
    <row r="27" spans="1:15" ht="10.5" customHeight="1">
      <c r="A27" s="592" t="s">
        <v>232</v>
      </c>
      <c r="B27" s="745">
        <v>31.874104254999999</v>
      </c>
      <c r="C27" s="745">
        <v>32.627229999999997</v>
      </c>
      <c r="D27" s="588">
        <f t="shared" si="0"/>
        <v>-2.3082736260479297E-2</v>
      </c>
      <c r="E27" s="138"/>
      <c r="F27" s="138"/>
      <c r="G27" s="138"/>
      <c r="H27" s="138"/>
      <c r="I27" s="138"/>
      <c r="J27" s="138"/>
      <c r="K27" s="138"/>
      <c r="L27" s="724"/>
      <c r="M27" s="719" t="s">
        <v>117</v>
      </c>
      <c r="N27" s="720">
        <v>6.2311070675</v>
      </c>
      <c r="O27" s="720">
        <v>14.45381546</v>
      </c>
    </row>
    <row r="28" spans="1:15" ht="10.5" customHeight="1">
      <c r="A28" s="593" t="s">
        <v>457</v>
      </c>
      <c r="B28" s="746">
        <v>26.322123897499999</v>
      </c>
      <c r="C28" s="746">
        <v>46.499323855000007</v>
      </c>
      <c r="D28" s="590">
        <f t="shared" si="0"/>
        <v>-0.43392458824603708</v>
      </c>
      <c r="E28" s="138"/>
      <c r="F28" s="138"/>
      <c r="G28" s="138"/>
      <c r="H28" s="138"/>
      <c r="I28" s="138"/>
      <c r="J28" s="138"/>
      <c r="K28" s="138"/>
      <c r="L28" s="724"/>
      <c r="M28" s="720" t="s">
        <v>105</v>
      </c>
      <c r="N28" s="720">
        <v>6.9936656749999999</v>
      </c>
      <c r="O28" s="720">
        <v>7.9140445250000004</v>
      </c>
    </row>
    <row r="29" spans="1:15" ht="10.5" customHeight="1">
      <c r="A29" s="594" t="s">
        <v>464</v>
      </c>
      <c r="B29" s="745">
        <v>21.498325427499996</v>
      </c>
      <c r="C29" s="745">
        <v>40.21735125</v>
      </c>
      <c r="D29" s="588">
        <f t="shared" si="0"/>
        <v>-0.46544651103794421</v>
      </c>
      <c r="E29" s="138"/>
      <c r="F29" s="138"/>
      <c r="G29" s="138"/>
      <c r="H29" s="138"/>
      <c r="I29" s="138"/>
      <c r="J29" s="138"/>
      <c r="K29" s="138"/>
      <c r="L29" s="724"/>
      <c r="M29" s="720" t="s">
        <v>446</v>
      </c>
      <c r="N29" s="720">
        <v>7.0693463424999994</v>
      </c>
      <c r="O29" s="720">
        <v>12.693727214999999</v>
      </c>
    </row>
    <row r="30" spans="1:15" ht="10.5" customHeight="1">
      <c r="A30" s="593" t="s">
        <v>100</v>
      </c>
      <c r="B30" s="746">
        <v>15.4814436825</v>
      </c>
      <c r="C30" s="746">
        <v>20.852845134999999</v>
      </c>
      <c r="D30" s="590">
        <f t="shared" si="0"/>
        <v>-0.2575860232848749</v>
      </c>
      <c r="E30" s="138"/>
      <c r="F30" s="138"/>
      <c r="G30" s="138"/>
      <c r="H30" s="138"/>
      <c r="I30" s="138"/>
      <c r="J30" s="138"/>
      <c r="K30" s="138"/>
      <c r="L30" s="724"/>
      <c r="M30" s="720" t="s">
        <v>400</v>
      </c>
      <c r="N30" s="720">
        <v>7.2450802000000003</v>
      </c>
      <c r="O30" s="720">
        <v>5.3222992750000007</v>
      </c>
    </row>
    <row r="31" spans="1:15" ht="10.5" customHeight="1">
      <c r="A31" s="594" t="s">
        <v>110</v>
      </c>
      <c r="B31" s="745">
        <v>12.6268022025</v>
      </c>
      <c r="C31" s="745">
        <v>16.274510257499998</v>
      </c>
      <c r="D31" s="588">
        <f t="shared" si="0"/>
        <v>-0.22413627183152718</v>
      </c>
      <c r="E31" s="138"/>
      <c r="F31" s="138"/>
      <c r="G31" s="138"/>
      <c r="H31" s="138"/>
      <c r="I31" s="138"/>
      <c r="J31" s="138"/>
      <c r="K31" s="138"/>
      <c r="L31" s="724"/>
      <c r="M31" s="719" t="s">
        <v>429</v>
      </c>
      <c r="N31" s="720">
        <v>9.3994577499999998</v>
      </c>
      <c r="O31" s="720">
        <v>12.304577705</v>
      </c>
    </row>
    <row r="32" spans="1:15" ht="10.5" customHeight="1">
      <c r="A32" s="595" t="s">
        <v>391</v>
      </c>
      <c r="B32" s="746">
        <v>12.58767776</v>
      </c>
      <c r="C32" s="746">
        <v>14.564628515000001</v>
      </c>
      <c r="D32" s="590">
        <f t="shared" si="0"/>
        <v>-0.13573643522482937</v>
      </c>
      <c r="E32" s="138"/>
      <c r="F32" s="138"/>
      <c r="G32" s="138"/>
      <c r="H32" s="138"/>
      <c r="I32" s="138"/>
      <c r="J32" s="138"/>
      <c r="K32" s="138"/>
      <c r="L32" s="724"/>
      <c r="M32" s="719" t="s">
        <v>118</v>
      </c>
      <c r="N32" s="720">
        <v>9.521302265000001</v>
      </c>
      <c r="O32" s="720">
        <v>4.6430189374999999</v>
      </c>
    </row>
    <row r="33" spans="1:15" ht="10.5" customHeight="1">
      <c r="A33" s="596" t="s">
        <v>438</v>
      </c>
      <c r="B33" s="745">
        <v>12.534238440000001</v>
      </c>
      <c r="C33" s="745">
        <v>19.116591110000002</v>
      </c>
      <c r="D33" s="588">
        <f t="shared" si="0"/>
        <v>-0.3443266967486025</v>
      </c>
      <c r="E33" s="138"/>
      <c r="F33" s="138"/>
      <c r="G33" s="138"/>
      <c r="H33" s="138"/>
      <c r="I33" s="138"/>
      <c r="J33" s="138"/>
      <c r="K33" s="138"/>
      <c r="L33" s="726"/>
      <c r="M33" s="719" t="s">
        <v>407</v>
      </c>
      <c r="N33" s="720">
        <v>10.09599502</v>
      </c>
      <c r="O33" s="720">
        <v>9.0792737849999998</v>
      </c>
    </row>
    <row r="34" spans="1:15" ht="10.5" customHeight="1">
      <c r="A34" s="595" t="s">
        <v>234</v>
      </c>
      <c r="B34" s="746">
        <v>12.07936454</v>
      </c>
      <c r="C34" s="746">
        <v>13.4149835225</v>
      </c>
      <c r="D34" s="590">
        <f t="shared" si="0"/>
        <v>-9.9561731123997355E-2</v>
      </c>
      <c r="E34" s="138"/>
      <c r="F34" s="138"/>
      <c r="G34" s="138"/>
      <c r="H34" s="138"/>
      <c r="I34" s="138"/>
      <c r="J34" s="138"/>
      <c r="K34" s="138"/>
      <c r="L34" s="726"/>
      <c r="M34" s="719" t="s">
        <v>236</v>
      </c>
      <c r="N34" s="720">
        <v>11.27727179</v>
      </c>
      <c r="O34" s="720">
        <v>10.640418127499998</v>
      </c>
    </row>
    <row r="35" spans="1:15" ht="10.5" customHeight="1">
      <c r="A35" s="596" t="s">
        <v>458</v>
      </c>
      <c r="B35" s="745">
        <v>12.03486681</v>
      </c>
      <c r="C35" s="745">
        <v>14.627545285</v>
      </c>
      <c r="D35" s="588">
        <f t="shared" si="0"/>
        <v>-0.17724631334135699</v>
      </c>
      <c r="E35" s="138"/>
      <c r="F35" s="138"/>
      <c r="G35" s="138"/>
      <c r="H35" s="138"/>
      <c r="I35" s="138"/>
      <c r="J35" s="138"/>
      <c r="K35" s="138"/>
      <c r="L35" s="725"/>
      <c r="M35" s="720" t="s">
        <v>102</v>
      </c>
      <c r="N35" s="720">
        <v>11.851234682499999</v>
      </c>
      <c r="O35" s="720">
        <v>13.10998283</v>
      </c>
    </row>
    <row r="36" spans="1:15" ht="10.5" customHeight="1">
      <c r="A36" s="595" t="s">
        <v>102</v>
      </c>
      <c r="B36" s="746">
        <v>11.851234682499999</v>
      </c>
      <c r="C36" s="746">
        <v>13.10998283</v>
      </c>
      <c r="D36" s="590">
        <f t="shared" si="0"/>
        <v>-9.60144771982131E-2</v>
      </c>
      <c r="E36" s="138"/>
      <c r="F36" s="138"/>
      <c r="G36" s="138"/>
      <c r="H36" s="138"/>
      <c r="I36" s="138"/>
      <c r="J36" s="138"/>
      <c r="K36" s="138"/>
      <c r="L36" s="725"/>
      <c r="M36" s="719" t="s">
        <v>458</v>
      </c>
      <c r="N36" s="720">
        <v>12.03486681</v>
      </c>
      <c r="O36" s="720">
        <v>14.627545285</v>
      </c>
    </row>
    <row r="37" spans="1:15" ht="10.5" customHeight="1">
      <c r="A37" s="596" t="s">
        <v>236</v>
      </c>
      <c r="B37" s="745">
        <v>11.27727179</v>
      </c>
      <c r="C37" s="745">
        <v>10.640418127499998</v>
      </c>
      <c r="D37" s="588">
        <f t="shared" si="0"/>
        <v>5.985231547001546E-2</v>
      </c>
      <c r="E37" s="138"/>
      <c r="F37" s="138"/>
      <c r="G37" s="138"/>
      <c r="H37" s="138"/>
      <c r="I37" s="138"/>
      <c r="J37" s="138"/>
      <c r="K37" s="138"/>
      <c r="L37" s="725"/>
      <c r="M37" s="720" t="s">
        <v>234</v>
      </c>
      <c r="N37" s="720">
        <v>12.07936454</v>
      </c>
      <c r="O37" s="720">
        <v>13.4149835225</v>
      </c>
    </row>
    <row r="38" spans="1:15" ht="10.5" customHeight="1">
      <c r="A38" s="595" t="s">
        <v>407</v>
      </c>
      <c r="B38" s="746">
        <v>10.09599502</v>
      </c>
      <c r="C38" s="746">
        <v>9.0792737849999998</v>
      </c>
      <c r="D38" s="590">
        <f t="shared" si="0"/>
        <v>0.11198266062641937</v>
      </c>
      <c r="E38" s="138"/>
      <c r="F38" s="138"/>
      <c r="G38" s="138"/>
      <c r="H38" s="138"/>
      <c r="I38" s="138"/>
      <c r="J38" s="138"/>
      <c r="K38" s="138"/>
      <c r="L38" s="726"/>
      <c r="M38" s="719" t="s">
        <v>438</v>
      </c>
      <c r="N38" s="720">
        <v>12.534238440000001</v>
      </c>
      <c r="O38" s="720">
        <v>19.116591110000002</v>
      </c>
    </row>
    <row r="39" spans="1:15" ht="10.5" customHeight="1">
      <c r="A39" s="596" t="s">
        <v>118</v>
      </c>
      <c r="B39" s="745">
        <v>9.521302265000001</v>
      </c>
      <c r="C39" s="745">
        <v>4.6430189374999999</v>
      </c>
      <c r="D39" s="588">
        <f t="shared" si="0"/>
        <v>1.0506705643821213</v>
      </c>
      <c r="E39" s="138"/>
      <c r="F39" s="138"/>
      <c r="G39" s="138"/>
      <c r="H39" s="138"/>
      <c r="I39" s="138"/>
      <c r="J39" s="138"/>
      <c r="K39" s="138"/>
      <c r="L39" s="726"/>
      <c r="M39" s="720" t="s">
        <v>391</v>
      </c>
      <c r="N39" s="720">
        <v>12.58767776</v>
      </c>
      <c r="O39" s="720">
        <v>14.564628515000001</v>
      </c>
    </row>
    <row r="40" spans="1:15" ht="10.5" customHeight="1">
      <c r="A40" s="593" t="s">
        <v>429</v>
      </c>
      <c r="B40" s="746">
        <v>9.3994577499999998</v>
      </c>
      <c r="C40" s="746">
        <v>12.304577705</v>
      </c>
      <c r="D40" s="590">
        <f t="shared" si="0"/>
        <v>-0.23610074434488693</v>
      </c>
      <c r="E40" s="138"/>
      <c r="F40" s="138"/>
      <c r="G40" s="138"/>
      <c r="H40" s="138"/>
      <c r="I40" s="138"/>
      <c r="J40" s="138"/>
      <c r="K40" s="138"/>
      <c r="L40" s="726"/>
      <c r="M40" s="719" t="s">
        <v>110</v>
      </c>
      <c r="N40" s="720">
        <v>12.6268022025</v>
      </c>
      <c r="O40" s="720">
        <v>16.274510257499998</v>
      </c>
    </row>
    <row r="41" spans="1:15" ht="10.5" customHeight="1">
      <c r="A41" s="594" t="s">
        <v>400</v>
      </c>
      <c r="B41" s="745">
        <v>7.2450802000000003</v>
      </c>
      <c r="C41" s="745">
        <v>5.3222992750000007</v>
      </c>
      <c r="D41" s="588">
        <f t="shared" si="0"/>
        <v>0.3612688474756991</v>
      </c>
      <c r="E41" s="138"/>
      <c r="F41" s="138"/>
      <c r="G41" s="138"/>
      <c r="H41" s="138"/>
      <c r="I41" s="138"/>
      <c r="J41" s="138"/>
      <c r="K41" s="138"/>
      <c r="M41" s="719" t="s">
        <v>100</v>
      </c>
      <c r="N41" s="720">
        <v>15.4814436825</v>
      </c>
      <c r="O41" s="720">
        <v>20.852845134999999</v>
      </c>
    </row>
    <row r="42" spans="1:15" ht="10.5" customHeight="1">
      <c r="A42" s="593" t="s">
        <v>446</v>
      </c>
      <c r="B42" s="746">
        <v>7.0693463424999994</v>
      </c>
      <c r="C42" s="746">
        <v>12.693727214999999</v>
      </c>
      <c r="D42" s="590">
        <f t="shared" si="0"/>
        <v>-0.44308348345895976</v>
      </c>
      <c r="E42" s="138"/>
      <c r="F42" s="138"/>
      <c r="G42" s="138"/>
      <c r="H42" s="138"/>
      <c r="I42" s="138"/>
      <c r="J42" s="138"/>
      <c r="K42" s="138"/>
      <c r="M42" s="721" t="s">
        <v>464</v>
      </c>
      <c r="N42" s="720">
        <v>21.498325427499996</v>
      </c>
      <c r="O42" s="720">
        <v>40.21735125</v>
      </c>
    </row>
    <row r="43" spans="1:15" ht="10.5" customHeight="1">
      <c r="A43" s="594" t="s">
        <v>105</v>
      </c>
      <c r="B43" s="745">
        <v>6.9936656749999999</v>
      </c>
      <c r="C43" s="745">
        <v>7.9140445250000004</v>
      </c>
      <c r="D43" s="588">
        <f t="shared" si="0"/>
        <v>-0.11629690066723508</v>
      </c>
      <c r="E43" s="138"/>
      <c r="F43" s="138"/>
      <c r="G43" s="138"/>
      <c r="H43" s="138"/>
      <c r="I43" s="138"/>
      <c r="J43" s="138"/>
      <c r="K43" s="138"/>
      <c r="M43" s="719" t="s">
        <v>457</v>
      </c>
      <c r="N43" s="720">
        <v>26.322123897499999</v>
      </c>
      <c r="O43" s="720">
        <v>46.499323855000007</v>
      </c>
    </row>
    <row r="44" spans="1:15" ht="10.5" customHeight="1">
      <c r="A44" s="593" t="s">
        <v>117</v>
      </c>
      <c r="B44" s="746">
        <v>6.2311070675</v>
      </c>
      <c r="C44" s="746">
        <v>14.45381546</v>
      </c>
      <c r="D44" s="590">
        <f t="shared" si="0"/>
        <v>-0.5688953491384896</v>
      </c>
      <c r="E44" s="138"/>
      <c r="F44" s="138"/>
      <c r="G44" s="138"/>
      <c r="H44" s="138"/>
      <c r="I44" s="138"/>
      <c r="J44" s="138"/>
      <c r="K44" s="138"/>
      <c r="M44" s="719" t="s">
        <v>232</v>
      </c>
      <c r="N44" s="720">
        <v>31.874104254999999</v>
      </c>
      <c r="O44" s="720">
        <v>32.627229999999997</v>
      </c>
    </row>
    <row r="45" spans="1:15" ht="10.5" customHeight="1">
      <c r="A45" s="594" t="s">
        <v>437</v>
      </c>
      <c r="B45" s="745">
        <v>5.6142866149999993</v>
      </c>
      <c r="C45" s="745">
        <v>6.3379690125000003</v>
      </c>
      <c r="D45" s="588">
        <f t="shared" si="0"/>
        <v>-0.11418206622227489</v>
      </c>
      <c r="E45" s="138"/>
      <c r="F45" s="138"/>
      <c r="G45" s="138"/>
      <c r="H45" s="138"/>
      <c r="I45" s="138"/>
      <c r="J45" s="138"/>
      <c r="K45" s="138"/>
      <c r="M45" s="719" t="s">
        <v>107</v>
      </c>
      <c r="N45" s="720">
        <v>33.219844302499993</v>
      </c>
      <c r="O45" s="720">
        <v>49.143729655000001</v>
      </c>
    </row>
    <row r="46" spans="1:15" ht="10.5" customHeight="1">
      <c r="A46" s="593" t="s">
        <v>108</v>
      </c>
      <c r="B46" s="746">
        <v>5.3193370000000009</v>
      </c>
      <c r="C46" s="746">
        <v>4.6951015150000002</v>
      </c>
      <c r="D46" s="590">
        <f t="shared" si="0"/>
        <v>0.13295463005553376</v>
      </c>
      <c r="E46" s="138"/>
      <c r="F46" s="138"/>
      <c r="G46" s="138"/>
      <c r="H46" s="138"/>
      <c r="I46" s="138"/>
      <c r="J46" s="138"/>
      <c r="K46" s="138"/>
      <c r="M46" s="720" t="s">
        <v>98</v>
      </c>
      <c r="N46" s="720">
        <v>33.827551360000001</v>
      </c>
      <c r="O46" s="720">
        <v>33.152793812500001</v>
      </c>
    </row>
    <row r="47" spans="1:15" ht="10.5" customHeight="1">
      <c r="A47" s="596" t="s">
        <v>106</v>
      </c>
      <c r="B47" s="745">
        <v>5.1944154999999999</v>
      </c>
      <c r="C47" s="745">
        <v>5.2292854174999999</v>
      </c>
      <c r="D47" s="588">
        <f t="shared" si="0"/>
        <v>-6.668199326681723E-3</v>
      </c>
      <c r="E47" s="138"/>
      <c r="F47" s="138"/>
      <c r="G47" s="138"/>
      <c r="H47" s="138"/>
      <c r="I47" s="138"/>
      <c r="J47" s="138"/>
      <c r="K47" s="138"/>
      <c r="M47" s="722" t="s">
        <v>96</v>
      </c>
      <c r="N47" s="720">
        <v>39.402368150000001</v>
      </c>
      <c r="O47" s="720">
        <v>47.655647342500004</v>
      </c>
    </row>
    <row r="48" spans="1:15" ht="10.5" customHeight="1">
      <c r="A48" s="593" t="s">
        <v>103</v>
      </c>
      <c r="B48" s="746">
        <v>4.6178374399999997</v>
      </c>
      <c r="C48" s="746">
        <v>13.66837333</v>
      </c>
      <c r="D48" s="590">
        <f t="shared" si="0"/>
        <v>-0.66215164537066395</v>
      </c>
      <c r="E48" s="138"/>
      <c r="F48" s="138"/>
      <c r="G48" s="138"/>
      <c r="H48" s="138"/>
      <c r="I48" s="138"/>
      <c r="J48" s="138"/>
      <c r="K48" s="138"/>
      <c r="M48" s="719" t="s">
        <v>104</v>
      </c>
      <c r="N48" s="720">
        <v>42.048998820000001</v>
      </c>
      <c r="O48" s="720">
        <v>1.6097044149999999</v>
      </c>
    </row>
    <row r="49" spans="1:15" ht="10.5" customHeight="1">
      <c r="A49" s="594" t="s">
        <v>455</v>
      </c>
      <c r="B49" s="745">
        <v>4.5734130974999996</v>
      </c>
      <c r="C49" s="745">
        <v>3.9115265300000002</v>
      </c>
      <c r="D49" s="588">
        <f t="shared" si="0"/>
        <v>0.16921438789269816</v>
      </c>
      <c r="E49" s="138"/>
      <c r="F49" s="138"/>
      <c r="G49" s="138"/>
      <c r="H49" s="138"/>
      <c r="I49" s="138"/>
      <c r="J49" s="138"/>
      <c r="K49" s="138"/>
      <c r="M49" s="719" t="s">
        <v>238</v>
      </c>
      <c r="N49" s="720">
        <v>45.594597899999997</v>
      </c>
      <c r="O49" s="720">
        <v>0.38599749999999999</v>
      </c>
    </row>
    <row r="50" spans="1:15" ht="10.5" customHeight="1">
      <c r="A50" s="595" t="s">
        <v>109</v>
      </c>
      <c r="B50" s="746">
        <v>4.1781094999999997</v>
      </c>
      <c r="C50" s="746">
        <v>4.3039525049999998</v>
      </c>
      <c r="D50" s="590">
        <f t="shared" si="0"/>
        <v>-2.923893905748387E-2</v>
      </c>
      <c r="E50" s="138"/>
      <c r="F50" s="138"/>
      <c r="G50" s="138"/>
      <c r="H50" s="138"/>
      <c r="I50" s="138"/>
      <c r="J50" s="138"/>
      <c r="K50" s="138"/>
      <c r="M50" s="719" t="s">
        <v>415</v>
      </c>
      <c r="N50" s="720">
        <v>54.042190927500002</v>
      </c>
      <c r="O50" s="720">
        <v>65.904089449999987</v>
      </c>
    </row>
    <row r="51" spans="1:15" ht="10.5" customHeight="1">
      <c r="A51" s="594" t="s">
        <v>454</v>
      </c>
      <c r="B51" s="745">
        <v>4.0421193750000004</v>
      </c>
      <c r="C51" s="745">
        <v>3.43875865</v>
      </c>
      <c r="D51" s="588">
        <f t="shared" si="0"/>
        <v>0.17545887525430159</v>
      </c>
      <c r="E51" s="138"/>
      <c r="F51" s="138"/>
      <c r="G51" s="138"/>
      <c r="H51" s="138"/>
      <c r="I51" s="138"/>
      <c r="J51" s="138"/>
      <c r="K51" s="138"/>
      <c r="M51" s="719" t="s">
        <v>93</v>
      </c>
      <c r="N51" s="720">
        <v>62.476911874999999</v>
      </c>
      <c r="O51" s="720">
        <v>125.86830449999999</v>
      </c>
    </row>
    <row r="52" spans="1:15" ht="10.5" customHeight="1">
      <c r="A52" s="593" t="s">
        <v>452</v>
      </c>
      <c r="B52" s="746">
        <v>3.9131999999999998</v>
      </c>
      <c r="C52" s="746">
        <v>4.0446451000000003</v>
      </c>
      <c r="D52" s="590">
        <f t="shared" si="0"/>
        <v>-3.2498549749148675E-2</v>
      </c>
      <c r="E52" s="138"/>
      <c r="F52" s="138"/>
      <c r="G52" s="138"/>
      <c r="H52" s="138"/>
      <c r="I52" s="138"/>
      <c r="J52" s="138"/>
      <c r="K52" s="138"/>
      <c r="M52" s="719" t="s">
        <v>94</v>
      </c>
      <c r="N52" s="720">
        <v>64.815070157500003</v>
      </c>
      <c r="O52" s="720">
        <v>45.082415705000003</v>
      </c>
    </row>
    <row r="53" spans="1:15" ht="10.5" customHeight="1">
      <c r="A53" s="594" t="s">
        <v>416</v>
      </c>
      <c r="B53" s="745">
        <v>3.8442692425000002</v>
      </c>
      <c r="C53" s="745">
        <v>4.3576411225000005</v>
      </c>
      <c r="D53" s="588">
        <f t="shared" si="0"/>
        <v>-0.11780958219557924</v>
      </c>
      <c r="E53" s="138"/>
      <c r="F53" s="138"/>
      <c r="G53" s="138"/>
      <c r="H53" s="138"/>
      <c r="I53" s="138"/>
      <c r="J53" s="138"/>
      <c r="K53" s="138"/>
      <c r="M53" s="719" t="s">
        <v>95</v>
      </c>
      <c r="N53" s="720">
        <v>66.75255924999999</v>
      </c>
      <c r="O53" s="720">
        <v>60.695053250000001</v>
      </c>
    </row>
    <row r="54" spans="1:15" ht="10.5" customHeight="1">
      <c r="A54" s="593" t="s">
        <v>453</v>
      </c>
      <c r="B54" s="746">
        <v>3.7971046025000001</v>
      </c>
      <c r="C54" s="746">
        <v>3.8163535849999999</v>
      </c>
      <c r="D54" s="590">
        <f t="shared" si="0"/>
        <v>-5.0438152732118491E-3</v>
      </c>
      <c r="E54" s="138"/>
      <c r="F54" s="138"/>
      <c r="G54" s="138"/>
      <c r="H54" s="138"/>
      <c r="I54" s="138"/>
      <c r="J54" s="138"/>
      <c r="K54" s="138"/>
      <c r="M54" s="720" t="s">
        <v>90</v>
      </c>
      <c r="N54" s="720">
        <v>77.372508257500016</v>
      </c>
      <c r="O54" s="720">
        <v>82.240458047499985</v>
      </c>
    </row>
    <row r="55" spans="1:15" ht="10.5" customHeight="1">
      <c r="A55" s="596" t="s">
        <v>112</v>
      </c>
      <c r="B55" s="745">
        <v>2.119232625</v>
      </c>
      <c r="C55" s="745">
        <v>2.5747787</v>
      </c>
      <c r="D55" s="588">
        <f t="shared" si="0"/>
        <v>-0.17692630244300223</v>
      </c>
      <c r="E55" s="138"/>
      <c r="F55" s="138"/>
      <c r="G55" s="138"/>
      <c r="H55" s="138"/>
      <c r="I55" s="138"/>
      <c r="J55" s="138"/>
      <c r="K55" s="138"/>
      <c r="M55" s="719" t="s">
        <v>92</v>
      </c>
      <c r="N55" s="720">
        <v>77.428610750000004</v>
      </c>
      <c r="O55" s="720">
        <v>113.357798</v>
      </c>
    </row>
    <row r="56" spans="1:15" ht="10.5" customHeight="1">
      <c r="A56" s="593" t="s">
        <v>111</v>
      </c>
      <c r="B56" s="746">
        <v>2.0403903475000003</v>
      </c>
      <c r="C56" s="746">
        <v>1.6373590149999999</v>
      </c>
      <c r="D56" s="590">
        <f t="shared" si="0"/>
        <v>0.24614719729014367</v>
      </c>
      <c r="E56" s="138"/>
      <c r="F56" s="138"/>
      <c r="G56" s="138"/>
      <c r="H56" s="138"/>
      <c r="I56" s="138"/>
      <c r="J56" s="138"/>
      <c r="K56" s="138"/>
      <c r="M56" s="719" t="s">
        <v>97</v>
      </c>
      <c r="N56" s="720">
        <v>83.515282750000011</v>
      </c>
      <c r="O56" s="720">
        <v>86.695876249999998</v>
      </c>
    </row>
    <row r="57" spans="1:15" ht="10.5" customHeight="1">
      <c r="A57" s="594" t="s">
        <v>113</v>
      </c>
      <c r="B57" s="745">
        <v>1.9330000000000001</v>
      </c>
      <c r="C57" s="745">
        <v>2.5636999999999999</v>
      </c>
      <c r="D57" s="588">
        <f t="shared" si="0"/>
        <v>-0.24601162382494046</v>
      </c>
      <c r="E57" s="138"/>
      <c r="F57" s="138"/>
      <c r="G57" s="138"/>
      <c r="H57" s="138"/>
      <c r="I57" s="138"/>
      <c r="J57" s="138"/>
      <c r="K57" s="138"/>
      <c r="M57" s="720" t="s">
        <v>231</v>
      </c>
      <c r="N57" s="720">
        <v>101.32459743999999</v>
      </c>
      <c r="O57" s="720">
        <v>262.49282283750006</v>
      </c>
    </row>
    <row r="58" spans="1:15" ht="10.5" customHeight="1">
      <c r="A58" s="593" t="s">
        <v>114</v>
      </c>
      <c r="B58" s="746">
        <v>1.42313775</v>
      </c>
      <c r="C58" s="746">
        <v>2.1960478749999996</v>
      </c>
      <c r="D58" s="590">
        <f t="shared" si="0"/>
        <v>-0.35195504332982708</v>
      </c>
      <c r="E58" s="138"/>
      <c r="F58" s="138"/>
      <c r="G58" s="138"/>
      <c r="H58" s="138"/>
      <c r="I58" s="138"/>
      <c r="J58" s="138"/>
      <c r="K58" s="138"/>
      <c r="M58" s="719" t="s">
        <v>91</v>
      </c>
      <c r="N58" s="720">
        <v>102.89567675000001</v>
      </c>
      <c r="O58" s="720">
        <v>119.98859774999998</v>
      </c>
    </row>
    <row r="59" spans="1:15" ht="10.5" customHeight="1">
      <c r="A59" s="594" t="s">
        <v>530</v>
      </c>
      <c r="B59" s="747">
        <v>1.2256670624999999</v>
      </c>
      <c r="C59" s="747">
        <v>1.5782827975</v>
      </c>
      <c r="D59" s="597">
        <f t="shared" si="0"/>
        <v>-0.2234173340535317</v>
      </c>
      <c r="E59" s="138"/>
      <c r="F59" s="138"/>
      <c r="G59" s="138"/>
      <c r="H59" s="138"/>
      <c r="I59" s="138"/>
      <c r="J59" s="138"/>
      <c r="K59" s="138"/>
      <c r="M59" s="719" t="s">
        <v>99</v>
      </c>
      <c r="N59" s="720">
        <v>124.8312688475</v>
      </c>
      <c r="O59" s="720">
        <v>30.0757875125</v>
      </c>
    </row>
    <row r="60" spans="1:15" ht="10.5" customHeight="1">
      <c r="A60" s="598" t="s">
        <v>230</v>
      </c>
      <c r="B60" s="746">
        <v>0.83611974999999994</v>
      </c>
      <c r="C60" s="746">
        <v>0</v>
      </c>
      <c r="D60" s="590" t="str">
        <f t="shared" si="0"/>
        <v/>
      </c>
      <c r="E60" s="138"/>
      <c r="F60" s="138"/>
      <c r="G60" s="138"/>
      <c r="H60" s="138"/>
      <c r="I60" s="138"/>
      <c r="J60" s="138"/>
      <c r="K60" s="138"/>
      <c r="M60" s="719" t="s">
        <v>89</v>
      </c>
      <c r="N60" s="720">
        <v>163.59132925000006</v>
      </c>
      <c r="O60" s="720">
        <v>243.442861975</v>
      </c>
    </row>
    <row r="61" spans="1:15" ht="10.5" customHeight="1">
      <c r="A61" s="594" t="s">
        <v>456</v>
      </c>
      <c r="B61" s="747">
        <v>0.324080125</v>
      </c>
      <c r="C61" s="747">
        <v>0.28534678000000002</v>
      </c>
      <c r="D61" s="597">
        <f t="shared" si="0"/>
        <v>0.13574130747156143</v>
      </c>
      <c r="E61" s="138"/>
      <c r="F61" s="138"/>
      <c r="G61" s="138"/>
      <c r="H61" s="138"/>
      <c r="I61" s="138"/>
      <c r="J61" s="138"/>
      <c r="K61" s="138"/>
      <c r="M61" s="719" t="s">
        <v>235</v>
      </c>
      <c r="N61" s="720">
        <v>168.41609270499998</v>
      </c>
      <c r="O61" s="720">
        <v>229.47994849999998</v>
      </c>
    </row>
    <row r="62" spans="1:15" ht="10.5" customHeight="1">
      <c r="A62" s="598" t="s">
        <v>115</v>
      </c>
      <c r="B62" s="746">
        <v>0.24141299749999998</v>
      </c>
      <c r="C62" s="746">
        <v>2.56850975E-2</v>
      </c>
      <c r="D62" s="590">
        <f t="shared" si="0"/>
        <v>8.3989519603731306</v>
      </c>
      <c r="E62" s="138"/>
      <c r="F62" s="138"/>
      <c r="G62" s="138"/>
      <c r="H62" s="138"/>
      <c r="I62" s="138"/>
      <c r="J62" s="138"/>
      <c r="K62" s="138"/>
      <c r="M62" s="719" t="s">
        <v>233</v>
      </c>
      <c r="N62" s="720">
        <v>404.85677054999996</v>
      </c>
      <c r="O62" s="720">
        <v>236.51407881749998</v>
      </c>
    </row>
    <row r="63" spans="1:15" ht="10.5" customHeight="1">
      <c r="A63" s="594" t="s">
        <v>531</v>
      </c>
      <c r="B63" s="747">
        <v>0.21440828250000002</v>
      </c>
      <c r="C63" s="747">
        <v>0.2375421425</v>
      </c>
      <c r="D63" s="597">
        <f t="shared" si="0"/>
        <v>-9.7388445504990706E-2</v>
      </c>
      <c r="E63" s="138"/>
      <c r="F63" s="138"/>
      <c r="G63" s="138"/>
      <c r="H63" s="138"/>
      <c r="I63" s="138"/>
      <c r="J63" s="138"/>
      <c r="K63" s="138"/>
      <c r="M63" s="719" t="s">
        <v>88</v>
      </c>
      <c r="N63" s="720">
        <v>476.11719755999997</v>
      </c>
      <c r="O63" s="720">
        <v>566.86458719999996</v>
      </c>
    </row>
    <row r="64" spans="1:15" ht="10.5" customHeight="1">
      <c r="A64" s="598" t="s">
        <v>116</v>
      </c>
      <c r="B64" s="746">
        <v>0.10845421</v>
      </c>
      <c r="C64" s="746">
        <v>0.52959690000000004</v>
      </c>
      <c r="D64" s="590">
        <f t="shared" si="0"/>
        <v>-0.79521366156033013</v>
      </c>
      <c r="E64" s="138"/>
      <c r="F64" s="138"/>
      <c r="G64" s="138"/>
      <c r="H64" s="138"/>
      <c r="I64" s="138"/>
      <c r="J64" s="138"/>
      <c r="K64" s="138"/>
      <c r="M64" s="719" t="s">
        <v>87</v>
      </c>
      <c r="N64" s="720">
        <v>674.31983799999978</v>
      </c>
      <c r="O64" s="720">
        <v>544.11249599999996</v>
      </c>
    </row>
    <row r="65" spans="1:15" ht="10.5" customHeight="1">
      <c r="A65" s="594" t="s">
        <v>237</v>
      </c>
      <c r="B65" s="747">
        <v>1.6192782499999999E-2</v>
      </c>
      <c r="C65" s="747">
        <v>1.7090524999999999E-2</v>
      </c>
      <c r="D65" s="597">
        <f>IF(C65=0,"",B65/C65-1)</f>
        <v>-5.2528667200100632E-2</v>
      </c>
      <c r="E65" s="138"/>
      <c r="F65" s="138"/>
      <c r="G65" s="138"/>
      <c r="H65" s="138"/>
      <c r="I65" s="138"/>
      <c r="J65" s="138"/>
      <c r="K65" s="138"/>
      <c r="M65" s="719" t="s">
        <v>86</v>
      </c>
      <c r="N65" s="720">
        <v>863.27194453750008</v>
      </c>
      <c r="O65" s="720">
        <v>598.16508173500006</v>
      </c>
    </row>
    <row r="66" spans="1:15" ht="10.5" customHeight="1">
      <c r="A66" s="598" t="s">
        <v>101</v>
      </c>
      <c r="B66" s="746">
        <v>0</v>
      </c>
      <c r="C66" s="746">
        <v>18.861131887500001</v>
      </c>
      <c r="D66" s="590">
        <f>IF(C66=0,"",B66/C66-1)</f>
        <v>-1</v>
      </c>
      <c r="E66" s="138"/>
      <c r="F66" s="138"/>
      <c r="G66" s="138"/>
      <c r="H66" s="138"/>
      <c r="I66" s="138"/>
      <c r="J66" s="138"/>
      <c r="K66" s="138"/>
      <c r="M66" s="719" t="s">
        <v>399</v>
      </c>
      <c r="N66" s="720">
        <v>960.36907793750004</v>
      </c>
      <c r="O66" s="720">
        <v>751.2190250000001</v>
      </c>
    </row>
    <row r="67" spans="1:15" ht="10.5" customHeight="1">
      <c r="A67" s="594" t="s">
        <v>401</v>
      </c>
      <c r="B67" s="747"/>
      <c r="C67" s="747">
        <v>0.44842274999999998</v>
      </c>
      <c r="D67" s="597">
        <f>IF(C67=0,"",B67/C67-1)</f>
        <v>-1</v>
      </c>
      <c r="E67" s="138"/>
      <c r="F67" s="138"/>
      <c r="G67" s="138"/>
      <c r="H67" s="138"/>
      <c r="I67" s="138"/>
      <c r="J67" s="138"/>
      <c r="K67" s="138"/>
      <c r="M67" s="719"/>
      <c r="N67" s="720"/>
      <c r="O67" s="720"/>
    </row>
    <row r="68" spans="1:15" ht="10.5" customHeight="1">
      <c r="A68" s="599" t="s">
        <v>41</v>
      </c>
      <c r="B68" s="748">
        <f>+SUM(B5:B67)</f>
        <v>5012.7898841899969</v>
      </c>
      <c r="C68" s="748">
        <f>+SUM(C5:C67)</f>
        <v>4687.2619132824975</v>
      </c>
      <c r="D68" s="600">
        <f>IF(C68=0,"",B68/C68-1)</f>
        <v>6.9449494594069128E-2</v>
      </c>
      <c r="E68" s="138"/>
      <c r="F68" s="138"/>
      <c r="G68" s="138"/>
      <c r="H68" s="138"/>
      <c r="I68" s="138"/>
      <c r="J68" s="138"/>
      <c r="K68" s="138"/>
    </row>
    <row r="69" spans="1:15" ht="10.5" customHeight="1">
      <c r="E69" s="138"/>
      <c r="F69" s="138"/>
      <c r="G69" s="138"/>
      <c r="H69" s="138"/>
      <c r="I69" s="138"/>
      <c r="J69" s="138"/>
      <c r="K69" s="138"/>
      <c r="M69" s="719"/>
      <c r="N69" s="720"/>
      <c r="O69" s="720"/>
    </row>
    <row r="70" spans="1:15" ht="40.5" customHeight="1">
      <c r="A70" s="856" t="str">
        <f>"Cuadro N° 6: Participación de las empresas generadoras del COES en la producción de energía eléctrica (GWh) en "&amp;'1. Resumen'!Q4</f>
        <v>Cuadro N° 6: Participación de las empresas generadoras del COES en la producción de energía eléctrica (GWh) en diciembe</v>
      </c>
      <c r="B70" s="856"/>
      <c r="C70" s="856"/>
      <c r="D70" s="410"/>
      <c r="E70" s="855" t="str">
        <f>"Gráfico N° 10: Comparación de producción energética (GWh) de las empresas generadoras del COES en "&amp;'1. Resumen'!Q4</f>
        <v>Gráfico N° 10: Comparación de producción energética (GWh) de las empresas generadoras del COES en diciembe</v>
      </c>
      <c r="F70" s="855"/>
      <c r="G70" s="855"/>
      <c r="H70" s="855"/>
      <c r="I70" s="855"/>
      <c r="J70" s="855"/>
      <c r="K70" s="855"/>
    </row>
    <row r="71" spans="1:15">
      <c r="A71" s="849"/>
      <c r="B71" s="849"/>
      <c r="C71" s="849"/>
      <c r="D71" s="849"/>
      <c r="E71" s="849"/>
      <c r="F71" s="849"/>
      <c r="G71" s="849"/>
      <c r="H71" s="849"/>
      <c r="I71" s="849"/>
      <c r="J71" s="849"/>
      <c r="K71" s="849"/>
    </row>
    <row r="72" spans="1:15">
      <c r="A72" s="850"/>
      <c r="B72" s="850"/>
      <c r="C72" s="850"/>
      <c r="D72" s="850"/>
      <c r="E72" s="850"/>
      <c r="F72" s="850"/>
      <c r="G72" s="850"/>
      <c r="H72" s="850"/>
      <c r="I72" s="850"/>
      <c r="J72" s="850"/>
      <c r="K72" s="850"/>
    </row>
    <row r="73" spans="1:15">
      <c r="A73" s="849"/>
      <c r="B73" s="849"/>
      <c r="C73" s="849"/>
      <c r="D73" s="849"/>
      <c r="E73" s="849"/>
      <c r="F73" s="849"/>
      <c r="G73" s="849"/>
      <c r="H73" s="849"/>
      <c r="I73" s="849"/>
      <c r="J73" s="849"/>
      <c r="K73" s="849"/>
    </row>
    <row r="74" spans="1:15">
      <c r="A74" s="850"/>
      <c r="B74" s="850"/>
      <c r="C74" s="850"/>
      <c r="D74" s="850"/>
      <c r="E74" s="850"/>
      <c r="F74" s="850"/>
      <c r="G74" s="850"/>
      <c r="H74" s="850"/>
      <c r="I74" s="850"/>
      <c r="J74" s="850"/>
      <c r="K74" s="850"/>
    </row>
  </sheetData>
  <mergeCells count="10">
    <mergeCell ref="A71:K71"/>
    <mergeCell ref="A72:K72"/>
    <mergeCell ref="A73:K73"/>
    <mergeCell ref="A74:K74"/>
    <mergeCell ref="A1:J1"/>
    <mergeCell ref="A3:A4"/>
    <mergeCell ref="B3:D3"/>
    <mergeCell ref="G3:J3"/>
    <mergeCell ref="E70:K70"/>
    <mergeCell ref="A70:C70"/>
  </mergeCells>
  <pageMargins left="0.30716666666666664" right="0.29908333333333331" top="0.88916666666666666" bottom="0.55774999999999997" header="0.31496062992125984" footer="0.31496062992125984"/>
  <pageSetup paperSize="9" scale="97" orientation="portrait" r:id="rId1"/>
  <headerFooter>
    <oddHeader>&amp;R&amp;7Informe de la Operación Mensual - diciembre 2022
INFSGI-MES-12-2022
10/01/2023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2023-01-10T22:40:11Z</cp:lastPrinted>
  <dcterms:created xsi:type="dcterms:W3CDTF">2018-02-13T14:18:17Z</dcterms:created>
  <dcterms:modified xsi:type="dcterms:W3CDTF">2023-01-10T22:40:55Z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