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2\06. Junio\"/>
    </mc:Choice>
  </mc:AlternateContent>
  <xr:revisionPtr revIDLastSave="0" documentId="13_ncr:1_{1A5835C0-277F-4E46-A133-EF0D8C209F88}" xr6:coauthVersionLast="47" xr6:coauthVersionMax="47" xr10:uidLastSave="{00000000-0000-0000-0000-000000000000}"/>
  <bookViews>
    <workbookView xWindow="-11550" yWindow="2550" windowWidth="21600" windowHeight="11385"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generación'!$A$1:$J$58</definedName>
    <definedName name="_xlnm.Print_Area" localSheetId="21">'20. ANEXOI-3'!$A$1:$G$48</definedName>
    <definedName name="_xlnm.Print_Area" localSheetId="22">'21. ANEXOII-1'!$A$1:$F$84</definedName>
    <definedName name="_xlnm.Print_Area" localSheetId="24">'23. ANEXOII-3'!$A$1:$F$65</definedName>
    <definedName name="_xlnm.Print_Area" localSheetId="26">'25.ANEXO III -1'!$A$1:$F$12</definedName>
    <definedName name="_xlnm.Print_Area" localSheetId="27">'26.ANEXO III-2'!$A$1:$F$9</definedName>
    <definedName name="_xlnm.Print_Area" localSheetId="6">'5. RER'!$A$1:$K$64</definedName>
    <definedName name="_xlnm.Print_Area" localSheetId="7">'6. FP RER'!$A$1:$K$64</definedName>
    <definedName name="_xlnm.Print_Area" localSheetId="8">'7. Generacion empresa'!$A$1:$J$70</definedName>
    <definedName name="_xlnm.Print_Area" localSheetId="9">'8. Max Potencia'!$A$1:$K$68</definedName>
    <definedName name="_xlnm.Print_Area" localSheetId="10">'9. Pot. Empresa'!$A$1:$J$72</definedName>
    <definedName name="_xlnm.Print_Area" localSheetId="1">Índice!$A$1:$L$45</definedName>
    <definedName name="_xlnm.Print_Area" localSheetId="0">'Portada '!$A$1:$L$75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9" i="6" l="1"/>
  <c r="D20" i="6"/>
  <c r="H8" i="6"/>
  <c r="I8" i="6"/>
  <c r="I14" i="6" l="1"/>
  <c r="H14" i="6"/>
  <c r="I8" i="22" l="1"/>
  <c r="I9" i="22"/>
  <c r="I10" i="22"/>
  <c r="G41" i="38" l="1"/>
  <c r="F41" i="38"/>
  <c r="H11" i="21" l="1"/>
  <c r="B69" i="11" l="1"/>
  <c r="G19" i="8"/>
  <c r="J11" i="22" l="1"/>
  <c r="J14" i="12" l="1"/>
  <c r="D13" i="21" l="1"/>
  <c r="E13" i="21"/>
  <c r="F13"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D66" i="13"/>
  <c r="D67" i="13"/>
  <c r="D68" i="13"/>
  <c r="D69" i="13"/>
  <c r="D70" i="13"/>
  <c r="E23" i="6" l="1"/>
  <c r="D23" i="6"/>
  <c r="A43" i="10" l="1"/>
  <c r="F14" i="7"/>
  <c r="C69" i="11" l="1"/>
  <c r="B11" i="9" l="1"/>
  <c r="C11" i="9"/>
  <c r="D11" i="9"/>
  <c r="E11" i="9"/>
  <c r="A64" i="10" l="1"/>
  <c r="C71" i="13"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8" i="11" l="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64" i="12" l="1"/>
  <c r="F70" i="45" l="1"/>
  <c r="F69" i="45"/>
  <c r="F68" i="45"/>
  <c r="F66" i="45"/>
  <c r="F65" i="45"/>
  <c r="B71" i="13" l="1"/>
  <c r="G12" i="7" l="1"/>
  <c r="E12" i="7"/>
  <c r="D18" i="6" l="1"/>
  <c r="F81" i="36" l="1"/>
  <c r="F80" i="36"/>
  <c r="F79" i="36"/>
  <c r="F78" i="36"/>
  <c r="F76" i="36"/>
  <c r="F75"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1" i="22" l="1"/>
  <c r="C11" i="22" l="1"/>
  <c r="D11" i="22"/>
  <c r="E11" i="22"/>
  <c r="F11" i="22"/>
  <c r="G11" i="22"/>
  <c r="H11" i="22"/>
  <c r="B11" i="22"/>
  <c r="B16" i="7" l="1"/>
  <c r="C16" i="7"/>
  <c r="E16" i="7"/>
  <c r="E5" i="36" l="1"/>
  <c r="E4" i="36"/>
  <c r="D12" i="7" l="1"/>
  <c r="F55" i="46" l="1"/>
  <c r="D5" i="11"/>
  <c r="D2" i="46" l="1"/>
  <c r="C2" i="46"/>
  <c r="D2" i="45"/>
  <c r="C2" i="45"/>
  <c r="C56" i="46" l="1"/>
  <c r="C58" i="46" s="1"/>
  <c r="D56" i="46"/>
  <c r="D58"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4" i="8"/>
  <c r="N14" i="18" l="1"/>
  <c r="J11" i="9" l="1"/>
  <c r="H11" i="9"/>
  <c r="G11" i="9"/>
  <c r="D6" i="16" l="1"/>
  <c r="C28" i="14" l="1"/>
  <c r="A36" i="22" l="1"/>
  <c r="F6" i="36" l="1"/>
  <c r="A70" i="11" l="1"/>
  <c r="F22" i="8" l="1"/>
  <c r="C19" i="8"/>
  <c r="D19" i="8"/>
  <c r="E19" i="8"/>
  <c r="E12" i="9" s="1"/>
  <c r="J12" i="7"/>
  <c r="H12" i="7"/>
  <c r="C12" i="7"/>
  <c r="B12" i="7"/>
  <c r="F19"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7" i="21" l="1"/>
  <c r="A64" i="9" l="1"/>
  <c r="A34" i="9"/>
  <c r="A66" i="8"/>
  <c r="B49" i="4" l="1"/>
  <c r="F2" i="38" l="1"/>
  <c r="D71" i="13" l="1"/>
  <c r="N29" i="18"/>
  <c r="N28" i="18"/>
  <c r="N27" i="18"/>
  <c r="N26" i="18"/>
  <c r="N25" i="18"/>
  <c r="N24" i="18"/>
  <c r="N23" i="18"/>
  <c r="N20" i="18"/>
  <c r="N19" i="18"/>
  <c r="N18" i="18"/>
  <c r="N17" i="18"/>
  <c r="N16" i="18"/>
  <c r="N15" i="18"/>
  <c r="N12" i="18"/>
  <c r="N11" i="18"/>
  <c r="N10" i="18"/>
  <c r="N9" i="18"/>
  <c r="H47" i="4" l="1"/>
  <c r="A57" i="22" l="1"/>
  <c r="B58" i="18"/>
  <c r="B40" i="18"/>
  <c r="B21" i="18"/>
  <c r="F72" i="13"/>
  <c r="B18" i="12" l="1"/>
  <c r="B20" i="12" s="1"/>
  <c r="C18" i="12"/>
  <c r="D18" i="12"/>
  <c r="D20" i="12" s="1"/>
  <c r="E18" i="12"/>
  <c r="E20" i="12" s="1"/>
  <c r="G18" i="12"/>
  <c r="G20" i="12" s="1"/>
  <c r="H18" i="12"/>
  <c r="H20" i="12" s="1"/>
  <c r="J20" i="12"/>
  <c r="F20" i="6" l="1"/>
  <c r="F22" i="6"/>
  <c r="F11" i="14" l="1"/>
  <c r="F21" i="6" l="1"/>
  <c r="F19" i="6"/>
  <c r="A58" i="7" l="1"/>
  <c r="E18" i="6"/>
  <c r="E70" i="11" l="1"/>
  <c r="C45" i="10"/>
  <c r="D3" i="36" l="1"/>
  <c r="C3" i="36"/>
  <c r="F2" i="37"/>
  <c r="F3" i="23"/>
  <c r="C2" i="23"/>
  <c r="C1" i="37" s="1"/>
  <c r="C1" i="38" s="1"/>
  <c r="E15" i="22"/>
  <c r="A15" i="22"/>
  <c r="A12" i="22"/>
  <c r="A14" i="21"/>
  <c r="F6" i="21"/>
  <c r="E6" i="21"/>
  <c r="D6" i="21"/>
  <c r="B47" i="18"/>
  <c r="B28" i="18"/>
  <c r="B10" i="18"/>
  <c r="C31" i="16"/>
  <c r="E6" i="16"/>
  <c r="A72" i="13"/>
  <c r="B3" i="13"/>
  <c r="B4" i="11"/>
  <c r="C4" i="11" s="1"/>
  <c r="B3" i="11"/>
  <c r="G6" i="7"/>
  <c r="G4" i="8" s="1"/>
  <c r="G4" i="9" s="1"/>
  <c r="D7" i="7"/>
  <c r="E7" i="7" s="1"/>
  <c r="A58" i="6"/>
  <c r="B24"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39" i="9"/>
  <c r="F2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<sst xmlns="http://schemas.openxmlformats.org/spreadsheetml/2006/main" count="1584" uniqueCount="693">
  <si>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</si>
  <si>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</si>
  <si>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</si>
  <si>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</si>
  <si>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</si>
  <si>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</si>
  <si>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</si>
  <si>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</si>
  <si>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</si>
  <si>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</si>
  <si>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</si>
  <si>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</si>
  <si>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</si>
  <si>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</si>
  <si>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</si>
  <si>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</si>
  <si>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</si>
  <si>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</si>
  <si>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</si>
  <si>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</si>
  <si>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</si>
  <si>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</si>
  <si>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</si>
  <si>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</si>
  <si>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</si>
  <si>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</si>
  <si>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</si>
  <si>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</si>
  <si>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</si>
  <si>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</si>
  <si>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</si>
  <si>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</si>
  <si>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</si>
  <si>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</si>
  <si>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</si>
  <si>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</si>
  <si>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</si>
  <si>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</si>
  <si>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</si>
  <si>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</si>
  <si>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</si>
  <si>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</si>
  <si>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</si>
  <si>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</si>
  <si>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</si>
  <si>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</si>
  <si>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</si>
  <si>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</si>
  <si>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</si>
  <si>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</si>
  <si>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</si>
  <si>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</si>
  <si>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</si>
  <si>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</si>
  <si>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</si>
  <si>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</si>
  <si>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</si>
  <si>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</si>
  <si>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</si>
  <si>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</si>
  <si>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</si>
  <si>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</si>
  <si>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</si>
  <si>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</si>
  <si>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</si>
  <si>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</si>
  <si>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</si>
  <si>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</si>
  <si>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</si>
  <si>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</si>
  <si>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</si>
  <si>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</si>
  <si>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</si>
  <si>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</si>
  <si>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</si>
  <si>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</si>
  <si>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</si>
  <si>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</si>
  <si>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</si>
  <si>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</si>
  <si>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</si>
  <si>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</si>
  <si>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</si>
  <si>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</si>
  <si>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</si>
  <si>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</si>
  <si>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</si>
  <si>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</si>
  <si>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</si>
  <si>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</si>
  <si>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</si>
  <si>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</si>
  <si>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</si>
  <si>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</si>
  <si>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</si>
  <si>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</si>
  <si>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</si>
  <si>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</si>
  <si>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</si>
  <si>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</si>
  <si>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</si>
  <si>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</si>
  <si>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</si>
  <si>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</si>
  <si>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</si>
  <si>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</si>
  <si>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</si>
  <si>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</si>
  <si>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</si>
  <si>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</si>
  <si>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</si>
  <si>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</si>
  <si>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</si>
  <si>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</si>
  <si>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</si>
  <si>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</si>
  <si>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</si>
  <si>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</si>
  <si>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</si>
  <si>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</si>
  <si>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</si>
  <si>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</si>
  <si>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</si>
  <si>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</si>
  <si>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</si>
  <si>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</si>
  <si>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</si>
  <si>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</si>
  <si>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</si>
  <si>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</si>
  <si>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</si>
  <si>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</si>
  <si>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</si>
  <si>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</si>
  <si>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</si>
  <si>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</si>
  <si>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</si>
  <si>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</si>
  <si>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</si>
  <si>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</si>
  <si>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</si>
  <si>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</si>
  <si>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</si>
  <si>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</si>
  <si>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</si>
  <si>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</si>
  <si>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</si>
  <si>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</si>
  <si>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</si>
  <si>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</si>
  <si>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</si>
  <si>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</si>
  <si>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</si>
  <si>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</si>
  <si>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</si>
  <si>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</si>
  <si>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</si>
  <si>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</si>
  <si>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</si>
  <si>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</si>
  <si>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</si>
  <si>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</si>
  <si>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</si>
  <si>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</si>
  <si>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</si>
  <si>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</si>
  <si>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</si>
  <si>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</si>
  <si>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</si>
  <si>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</si>
  <si>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</si>
  <si>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</si>
  <si>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</si>
  <si>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</si>
  <si>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</si>
  <si>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</si>
  <si>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</si>
  <si>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</si>
  <si>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</si>
  <si>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</si>
  <si>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</si>
  <si>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</si>
  <si>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</si>
  <si>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</si>
  <si>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</si>
  <si>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</si>
  <si>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</si>
  <si>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</si>
  <si>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</si>
  <si>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</si>
  <si>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</si>
  <si>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</si>
  <si>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</si>
  <si>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</si>
  <si>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</si>
  <si>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</si>
  <si>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</si>
  <si>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</si>
  <si>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</si>
  <si>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</si>
  <si>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</si>
  <si>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</si>
  <si>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</si>
  <si>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</si>
  <si>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</si>
  <si>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</si>
  <si>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</si>
  <si>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</si>
  <si>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</si>
  <si>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</si>
  <si>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</si>
  <si>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</si>
  <si>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</si>
  <si>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</si>
  <si>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</si>
  <si>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</si>
  <si>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</si>
  <si>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</si>
  <si>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</si>
  <si>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</si>
  <si>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</si>
  <si>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</si>
  <si>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</si>
  <si>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</si>
  <si>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</si>
  <si>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</si>
  <si>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</si>
  <si>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</si>
  <si>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</si>
  <si>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</si>
  <si>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</si>
  <si>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</si>
  <si>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</si>
  <si>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</si>
  <si>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</si>
  <si>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</si>
  <si>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</si>
  <si>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</si>
  <si>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</si>
  <si>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</si>
  <si>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</si>
  <si>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</si>
  <si>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</si>
  <si>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</si>
  <si>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</si>
  <si>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</si>
  <si>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</si>
  <si>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</si>
  <si>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</si>
  <si>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</si>
  <si>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</si>
  <si>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</si>
  <si>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</si>
  <si>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</si>
  <si>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</si>
  <si>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</si>
  <si>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</si>
  <si>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</si>
  <si>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</si>
  <si>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</si>
  <si>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</si>
  <si>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</si>
  <si>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</si>
  <si>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</si>
  <si>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</si>
  <si>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</si>
  <si>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</si>
  <si>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</si>
  <si>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</si>
  <si>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</si>
  <si>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</si>
  <si>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</si>
  <si>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</si>
  <si>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</si>
  <si>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</si>
  <si>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</si>
  <si>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</si>
  <si>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</si>
  <si>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</si>
  <si>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</si>
  <si>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</si>
  <si>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</si>
  <si>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</si>
  <si>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</si>
  <si>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</si>
  <si>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</si>
  <si>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</si>
  <si>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</si>
  <si>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</si>
  <si>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</si>
  <si>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</si>
  <si>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</si>
  <si>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</si>
  <si>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</si>
  <si>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</si>
  <si>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</si>
  <si>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</si>
  <si>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</si>
  <si>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</si>
  <si>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</si>
  <si>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</si>
  <si>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</si>
  <si>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</si>
  <si>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</si>
  <si>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</si>
  <si>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</si>
  <si>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</si>
  <si>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</si>
  <si>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</si>
  <si>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</si>
  <si>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</si>
  <si>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</si>
  <si>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</si>
  <si>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</si>
  <si>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</si>
  <si>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</si>
  <si>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</si>
  <si>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</si>
  <si>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</si>
  <si>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</si>
  <si>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</si>
  <si>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</si>
  <si>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</si>
  <si>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</si>
  <si>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</si>
  <si>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</si>
  <si>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</si>
  <si>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</si>
  <si>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</si>
  <si>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</si>
  <si>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</si>
  <si>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</si>
  <si>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</si>
  <si>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</si>
  <si>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</si>
  <si>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</si>
  <si>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</si>
  <si>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</si>
  <si>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</si>
  <si>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</si>
  <si>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</si>
  <si>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</si>
  <si>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</si>
  <si>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</si>
  <si>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</si>
  <si>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</si>
  <si>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</si>
  <si>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</si>
  <si>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</si>
  <si>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</si>
  <si>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</si>
  <si>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</si>
  <si>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</si>
  <si>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</si>
  <si>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</si>
  <si>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</si>
  <si>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</si>
  <si>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</si>
  <si>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</si>
  <si>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</si>
  <si>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</si>
  <si>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</si>
  <si>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</si>
  <si>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</si>
  <si>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</si>
  <si>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</si>
  <si>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</si>
  <si>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</si>
  <si>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</si>
  <si>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</si>
  <si>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</si>
  <si>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</si>
  <si>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</si>
  <si>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</si>
  <si>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</si>
  <si>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</si>
  <si>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</si>
  <si>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</si>
  <si>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</si>
  <si>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</si>
  <si>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</si>
  <si>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</si>
  <si>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</si>
  <si>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</si>
  <si>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</si>
  <si>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</si>
  <si>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</si>
  <si>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</si>
  <si>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</si>
  <si>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</si>
  <si>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</si>
  <si>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</si>
  <si>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</si>
  <si>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</si>
  <si>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</si>
  <si>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</si>
  <si>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</si>
  <si>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</si>
  <si>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</si>
  <si>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</si>
  <si>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</si>
  <si>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</si>
  <si>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</si>
  <si>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</si>
  <si>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</si>
  <si>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</si>
  <si>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</si>
  <si>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</si>
  <si>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</si>
  <si>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</si>
  <si>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</si>
  <si>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</si>
  <si>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</si>
  <si>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</si>
  <si>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</si>
  <si>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</si>
  <si>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</si>
  <si>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</si>
  <si>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</si>
  <si>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</si>
  <si>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</si>
  <si>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</si>
  <si>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</si>
  <si>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</si>
  <si>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</si>
  <si>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</si>
  <si>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</si>
  <si>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</si>
  <si>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</si>
  <si>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</si>
  <si>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</si>
  <si>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</si>
  <si>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</si>
  <si>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</si>
  <si>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</si>
  <si>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</si>
  <si>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</si>
  <si>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</si>
  <si>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</si>
  <si>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</si>
  <si>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</si>
  <si>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</si>
  <si>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</si>
  <si>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</si>
  <si>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</si>
  <si>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</si>
  <si>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</si>
  <si>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</si>
  <si>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</si>
  <si>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</si>
  <si>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</si>
  <si>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</si>
  <si>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</si>
  <si>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</si>
  <si>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</si>
  <si>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00:15</t>
  </si>
  <si>
    <t>11:45</t>
  </si>
  <si>
    <t>C.T. CALLAO</t>
  </si>
  <si>
    <t>C.H. MANTA I</t>
  </si>
  <si>
    <t>HIDRANDINA</t>
  </si>
  <si>
    <t>MAJES</t>
  </si>
  <si>
    <t>REPARTICION</t>
  </si>
  <si>
    <t>GR PAINO</t>
  </si>
  <si>
    <t>GR TARUCA</t>
  </si>
  <si>
    <t>ATRIA</t>
  </si>
  <si>
    <t>EMGE JUNÍN</t>
  </si>
  <si>
    <t>CELEPSA RENOVABLES</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</si>
  <si>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</si>
  <si>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</si>
  <si>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</si>
  <si>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</si>
  <si>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</si>
  <si>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</si>
  <si>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</si>
  <si>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</si>
  <si>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</si>
  <si>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</si>
  <si>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</si>
  <si>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</si>
  <si>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</si>
  <si>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</si>
  <si>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</si>
  <si>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</si>
  <si>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</si>
  <si>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</si>
  <si>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</si>
  <si>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</si>
  <si>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</si>
  <si>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</si>
  <si>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</si>
  <si>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</si>
  <si>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</si>
  <si>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</si>
  <si>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</si>
  <si>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</si>
  <si>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</si>
  <si>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</si>
  <si>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</si>
  <si>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</si>
  <si>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</si>
  <si>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</si>
  <si>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</si>
  <si>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</si>
  <si>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</si>
  <si>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</si>
  <si>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</si>
  <si>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</si>
  <si>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</si>
  <si>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</si>
  <si>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</si>
  <si>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</si>
  <si>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</si>
  <si>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</si>
  <si>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</si>
  <si>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</si>
  <si>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</si>
  <si>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</si>
  <si>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</si>
  <si>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</si>
  <si>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</si>
  <si>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</si>
  <si>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</si>
  <si>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</si>
  <si>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</si>
  <si>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</si>
  <si>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</si>
  <si>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</si>
  <si>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</si>
  <si>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</si>
  <si>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</si>
  <si>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</si>
  <si>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</si>
  <si>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</si>
  <si>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</si>
  <si>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</si>
  <si>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</si>
  <si>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</si>
  <si>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</si>
  <si>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</si>
  <si>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</si>
  <si>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</si>
  <si>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</si>
  <si>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</si>
  <si>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</si>
  <si>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</si>
  <si>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T-30  T3-261  T4-261</t>
  </si>
  <si>
    <t>INDEPENDENCIA</t>
  </si>
  <si>
    <t>20:30</t>
  </si>
  <si>
    <t>Var (%)
2022/2021</t>
  </si>
  <si>
    <t>C.H. ZAÑA</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</si>
  <si>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</si>
  <si>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</si>
  <si>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</si>
  <si>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</si>
  <si>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</si>
  <si>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</si>
  <si>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Var. (2022/2021)</t>
  </si>
  <si>
    <t>2. MODIFICACIÓN DE LA OFERTA DE GENERACIÓN ELÉCTRICA DEL SEIN EN EL 2022</t>
  </si>
  <si>
    <t>2022 / 2021</t>
  </si>
  <si>
    <t>C.H. SANTA ROSA I</t>
  </si>
  <si>
    <t>C.H. SANTA ROSA II</t>
  </si>
  <si>
    <t>C.S. YARUCAYA</t>
  </si>
  <si>
    <t>C.H. LA VIRGEN</t>
  </si>
  <si>
    <t>(1)  Operación por pruebas de la M.C.H. Tupuri propiedad de SAN GABÁN.</t>
  </si>
  <si>
    <t>C.T. TUMBES</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</si>
  <si>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</si>
  <si>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</si>
  <si>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</si>
  <si>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</si>
  <si>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</si>
  <si>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TRANSFORMADOR 3D</t>
  </si>
  <si>
    <t>15:00</t>
  </si>
  <si>
    <t>19:00</t>
  </si>
  <si>
    <t>19:15</t>
  </si>
  <si>
    <t>18:45</t>
  </si>
  <si>
    <t>L. CHIMBOTE SUR - NEPEÑA - LINEA L-1112</t>
  </si>
  <si>
    <t>ELECTRONOROESTE S.A.</t>
  </si>
  <si>
    <t>1.1. Producción de energía eléctrica en junio 2022 en comparación al mismo mes del año anterior</t>
  </si>
  <si>
    <t>El total de la producción de energía eléctrica de la empresas generadoras integrantes del COES en el mes de junio 2022 fue de 4 544,47  GWh, lo que representa un incremento de 106,27 GWh (2,39%) en comparación con el año 2021.</t>
  </si>
  <si>
    <t>La producción de electricidad con centrales hidroeléctricas durante el mes de junio 2022 fue de 2 201,56 GWh (1,85% mayor al registrado durante junio del año 2021).</t>
  </si>
  <si>
    <t>La producción de electricidad con centrales termoeléctricas durante el mes de junio 2022 fue de 2 132,09 GWh, 2,10% mayor al registrado durante junio del año 2021. La participación del gas natural de Camisea fue de 44,07%, mientras que las del gas que proviene de los yacimientos de Aguaytía y Malacas fue del 2,09%, la producción con diesel, residual, carbón, biogás y bagazo tuvieron una intervención del 0,13%, 0,00%, 0,00%, 0,14%, 0,49% respectivamente.</t>
  </si>
  <si>
    <t>La producción de energía eléctrica con centrales eólicas fue de 155,79 GWh y con centrales solares fue de 55,02 GWh, los cuales tuvieron una participación de 3,43% y 1,21% respectivamente.</t>
  </si>
  <si>
    <t>junio</t>
  </si>
  <si>
    <t>NORTE</t>
  </si>
  <si>
    <t>L-2232</t>
  </si>
  <si>
    <t>TRUJILLO NORTE - CHIMBOTE 1</t>
  </si>
  <si>
    <t>L-2018</t>
  </si>
  <si>
    <t>SAN JUAN - LOS INDUSTRIALES</t>
  </si>
  <si>
    <t>L-2011</t>
  </si>
  <si>
    <t>SAN JUAN - SANTA ROSA N.</t>
  </si>
  <si>
    <t>L-2003  L-2004</t>
  </si>
  <si>
    <t>SANTA ROSA N. - CHAVARRÍA</t>
  </si>
  <si>
    <t>L-2103</t>
  </si>
  <si>
    <t>CHILCA - PLANICIE</t>
  </si>
  <si>
    <t>01/06/2022</t>
  </si>
  <si>
    <t>02/06/2022</t>
  </si>
  <si>
    <t>03/06/2022</t>
  </si>
  <si>
    <t>04/06/2022</t>
  </si>
  <si>
    <t>18:30</t>
  </si>
  <si>
    <t>05/06/2022</t>
  </si>
  <si>
    <t>06/06/2022</t>
  </si>
  <si>
    <t>07/06/2022</t>
  </si>
  <si>
    <t>08/06/2022</t>
  </si>
  <si>
    <t>09/06/2022</t>
  </si>
  <si>
    <t>10/06/2022</t>
  </si>
  <si>
    <t>11/06/2022</t>
  </si>
  <si>
    <t>12/06/2022</t>
  </si>
  <si>
    <t>23:15</t>
  </si>
  <si>
    <t>20:15</t>
  </si>
  <si>
    <t>13/06/2022</t>
  </si>
  <si>
    <t>11:00</t>
  </si>
  <si>
    <t>14/06/2022</t>
  </si>
  <si>
    <t>15/06/2022</t>
  </si>
  <si>
    <t>16/06/2022</t>
  </si>
  <si>
    <t>17/06/2022</t>
  </si>
  <si>
    <t>18/06/2022</t>
  </si>
  <si>
    <t>21:15</t>
  </si>
  <si>
    <t>19/06/2022</t>
  </si>
  <si>
    <t>20/06/2022</t>
  </si>
  <si>
    <t>21/06/2022</t>
  </si>
  <si>
    <t>11:15</t>
  </si>
  <si>
    <t>22/06/2022</t>
  </si>
  <si>
    <t>23/06/2022</t>
  </si>
  <si>
    <t>24/06/2022</t>
  </si>
  <si>
    <t>25/06/2022</t>
  </si>
  <si>
    <t>26/06/2022</t>
  </si>
  <si>
    <t>27/06/2022</t>
  </si>
  <si>
    <t>28/06/2022</t>
  </si>
  <si>
    <t>17:45</t>
  </si>
  <si>
    <t>29/06/2022</t>
  </si>
  <si>
    <t>30/06/2022</t>
  </si>
  <si>
    <t>S.E. TRUJILLO NOROESTE - TRAFO3D TP-A047</t>
  </si>
  <si>
    <t>Se produjo la desconexión del transformador TP-A047 de 138/22.9/10 kV de la S.E. Trujillo Noroeste por avería en el pararrayo (fase "S") de 10 kV del transformador debido a falla en el alimentador TOE202, según lo informado por Hidrandina, titular del equipo. Como consecuencia se interrumpió el suministro de la S.E. Trujillo Noroste con un total de 14.13 MW. A las 02:53 h, se conectó el transformador y se inició el restablecimiento del suministro interrumpido; sin embargo, el alimentador TOR202 a las 14:25:59 h, luego de su mantenimiento correctivo.</t>
  </si>
  <si>
    <t>ELECTRO PUNO</t>
  </si>
  <si>
    <t>L. AZÁNGARO - ANTAUTA - LINEA L-6021</t>
  </si>
  <si>
    <t>Desconectó la líneaL-6021 (Azángaro - Antauta) de 60 kV por falla debido a fuertes vientos, según lo informado por Electro Puno, titular de la línea. Como consecuencia, se interrumpió el suministro de la S.E. Antauta en 1.5 MW. A las 14:47 h, se puso en servicio la línea y se procedió a recuperar el suministro interrumpido.</t>
  </si>
  <si>
    <t>KALLPA GENERACION S.A.</t>
  </si>
  <si>
    <t>C.T. KALLPA - CT CENTRAL</t>
  </si>
  <si>
    <t>Desconectó la C.T. Kallpa con 416 MW por falla mecánica en la fase "S" del seccionador SB-8225 de 220 kV asociado al circuito de enlace entre la S.E. Chilca REP y S.E. Chilca CTM, la fase "S" del seccionador SB-8225 quedó abierta durante las maniobras para sacar fuera de servicio el reactor R-26 debido a mantenimiento correctivo, según lo informado por Transmantaro, titular de los equipos. Asimismo, desconectaron las CC.TT. Las Flores (183 MW) y Platanal (63 MW), como consecuencia, la frecuencia del SEIN descendió a 59.2 Hz activándose el Esquema Automático de Rechazo de Carga por Mínima Frecuencia (ERACMF), interrumpiendo aproximadamente 325.82 MW.</t>
  </si>
  <si>
    <t>C.T. CHILCA 1 - GT TG2</t>
  </si>
  <si>
    <t>Desconectaron los generadores TG2 y TG3 de la C.T. Chilca 1 con 137.9 MW y 182.3 MW respectivamente y la C.T. Chilca 2 con 101.8 MW por falla externa registrada en la barra "B" de 220 kV en la S.E. Chilca REP, según lo informado por Engie, titular de las centrales. La C.T. Chilca 1 se encontraba operando en ciclo combinado en modo 3x1 (TG1+TG2+TG3+TV). Además, salieron de servicio los calderos N° 1 y 2 por lo que el generador TV quedó con vapor del caldero N°3 y el generador TG1 en ciclo abierto. Como consecuencia la frecuencia disminuyó a 59.17 Hz y se activó el ERACMF interrumpiendo un total de aproximadamente 83.58 MW. A las 06:25 h, se inicio la recuperación de carga interrumpida. A las 07:09 h, sincronizó el generador TG3 de la C.T. Chilca1. A las 07:24 h se coordinó normalizar el 100% de suministros interrumpidos. A las 08:09 h, sincronizó el generador TG2 de la C.T. Chilca1. La C.T. Chilca 2 quedo indisponible. A las 20:02 h, sincronizó el generador TG41 de la C.T. Chilca2 en ciclo abierto por operación.</t>
  </si>
  <si>
    <t>Desconectó la línea L-1112 (Chimbote Sur - Nepeña) de 138 kV por falla externa en el transformador elevador de 13.8/22.9 kV de la S.E. San Jacinto, según lo informado por Hidrandina, titular de la línea. Como consecuencia se interrumpió el suministro de las SS.EE. Nepeña, Casma y San Jacinto con un total de 10.71 MW. A las 05:51 h, se puso en servicio la línea y se procedió a recuperar la carga interrumpida.</t>
  </si>
  <si>
    <t>L. ARICOTA 1 - SARITA - LINEA L-6667</t>
  </si>
  <si>
    <t>Desconectó la línea L-6667 (Aricota 1 - Sarita) de 66 kV por falla en el circuito de corriente asociado al equipo de medición en la S.E. Sarita, momento en que realizaban inspección de las señales de corriente y tensión en el medidor, según lo informado por Egesur, titular de la línea. Como consecuencia desconectó la S.E. Sarita y la línea en 33 kV (Sarita - Caserio - Aricota - Candarave - Tarata - El Ayro), interrumpiendo 0.34 MW. A las 12:32 h se conectó la línea y se procedió a normalizar la carga interrumpida.</t>
  </si>
  <si>
    <t>L. CHIMBOTE 1 - CHIMBOTE NORTE - LINEA L-1108</t>
  </si>
  <si>
    <t>Desconectó la línea L-1108 (Chimbote 1 - Chimbote Norte) de 138 kV en el extremo de la S.E. Chimbote 1 mediante la apertura del interruptor IN-4032 durante pruebas al relé de protección de la línea L-1108, según lo informado por Red de Energía del Perú, titular de los equipos. Como consecuencia se interrumpió la carga de la S.E. Chimbote Norte 138 kV con 15 MW. A las 13:16 h se pone en servicio la L-1108 y se inicia el restablecimiento de carga.</t>
  </si>
  <si>
    <t>ISA PERU</t>
  </si>
  <si>
    <t>L. AGUAYTÍA - TINGO MARÍA - LINEA L-2251</t>
  </si>
  <si>
    <t>Desconectó la línea L-2251 (Aguaytía - Tingo María) 220 KV por falla monofásica en la fase "S" a 37.4 km de la S.E. Aguaytía, debido a descargas atmosféricas en la zona, según lo informado por ISA REP, titular de la línea. Como consecuencia se interrumpió los suministros de Pucallpa y Aguaytía con un total de 30.68 MW.</t>
  </si>
  <si>
    <t>Desconectó la línea L-1108 (Chimbote 1 - Chimbote Norte) de 138 kV en la S.E. Chimbote 1, debido a disparo del relé principal durante actividades de mantenimiento en la celda, según lo informado por Red de Energía del Perú, titular del relé. Como consecuencia, se interrumpió la carga de S.E. Chimbote Norte con un total de 13 MW. A las 15:44 h, se conectó la línea y se recuperó la carga interrumpida.</t>
  </si>
  <si>
    <t>L. CAJAMARCA - SAN MARCOS - LINEA L-6047</t>
  </si>
  <si>
    <t>Desconectó la línea L-6047/L-6048/L-6634 (Cajamarca - San Marcos - Cajabamba) de 60 kV por falla bifásica a tierra entre las fases "R-S", debido a descargas atmosféricas en la zona a 35.3 km desde la S.E. Cajamarca, según lo informado por Hidrandina, titular de la línea. Como consecuencia, se interrumpió los suministros de las SS.EE. San Marcos, Aguas Calientes, Cajabamba y Huamachuco con una carga total de16.56 MW en total, también desconectó la C.H. Potrero con 19.92 MW. A las 17:04 h, se conectó la línea L-6047 / L-6048. A las 17:05 h, se conectó la línea L-6634. A las 17:06 h, se conectó la línea L-6050 y se se recupera toda la carga interrumpida.</t>
  </si>
  <si>
    <t>Desconectó la línea L-2251 (Aguaytía - Tingo María) 220 kV por falla monofásica en la fase "S" a 36.7 km de la S.E. Tingo María, debido al acercamiento del cable de guarda con el conductor de la línea, ubicada entre las torres T-078 y T-079, según lo informado por ISA PERÚ, titular de la línea. Como consecuencia se interrumpió el suministro de Aguaytía y Pucallpa en total 39.67 MW. A las 08:36 h, se coordinó arrancar la C.T.R.F. Pucallpa. A las 08:41 h, se conectó la línea L-6473 y se inició la recuperación del suministro interrumpido en aislado. A las 09:08 h, se energizó la línea L-2251 desde la SE Tingo María.</t>
  </si>
  <si>
    <t>L. PORVENIR - TRUJILLO SUR - LINEA L-1128</t>
  </si>
  <si>
    <t>Desconecta la línea L-1128 (Porvenir - Trujillo Sur) de 138 kV por falla monofásica en la fase "S" debido a avería en el pararrayo de 138 kV del TP-A026 en la S.E. Trujillo Sur, según lo informado por Hidrandina, titular del equipo. Como consecuencia se interrumpe el suministro en las SS.EE. Trujillo Sur, Huaca del Sol, Virú, Chao, Trujillo Nor Oeste con un total de 52.74 MW. A las 06:38 h se se conecta la línea L-1128 y se inicia el proceso de restablecimiento de la carga interrumpida. A las 12:14 h se energizó el transformador TP-A026 y se normaliza el servicio interrumpido.</t>
  </si>
  <si>
    <t>MINERA COIMOLACHE S.A.</t>
  </si>
  <si>
    <t xml:space="preserve">S.E. CERRO CORONA - TRAFO3D TR-04 </t>
  </si>
  <si>
    <t>Desconectó el transformador TR4 220/60/22.9 kV de la S.E. Cerro Corona, por actuación del relé de protecciónde sobreexcitación (24), debido a una sobretensión registrada en la barra 220 kV de la S.E. Cerro Corona, según lo informado por MINERA COIMOLACHE S.A, titular del transformador. Como consecuencia se interrumpió 4.6 MW de carga de Minera Coimolache. A las 19:02 h, se conectó el transformador TR4 y se inició la recuperación de la carga interrumpida.</t>
  </si>
  <si>
    <t>L. PIURA OESTE - CATACAOS - LINEA L-6560</t>
  </si>
  <si>
    <t>Desconectó la línea L-6560 (Piura Oeste – Catacaos) de 60 kV por falla en la fase "R" a 6.5 km desde la S.E. Piura Oeste, cuya causa se encuentra en investigación por Electronoroeste, titular de la línea. Como consecuencia se interrumpió el suministro de las SS.EE. La Unión, Sechura y Constante con un total de 7.39 MW. A las 03:54 h, se conectó la línea L-6560 y se procedió a normalizar el suministro interrumpido.</t>
  </si>
  <si>
    <t>Desconectó de la línea L-1112 (Chimbote Sur-Nepeña) de 138 kV en la S.E. Nepeña por falla monofásica en la fase "S" en la línea L-1114 (Nepeña - San Jacinto) debido a caída de conductor por deterioro de la grapa de suspensión, según lo informado por Hidrandina, titular de la línea. Como consecuencia desconectó la C.T. San Jacinto con 8.01 MW y, se interrumpió el suministro de las subestaciones Nepeña, Casma y San Jacinto con un total de 7.71 MW. A las 05:10 h, se conectó la línea L-1113 (Nepeña-Casma) de 138 kV y se recuperó la carga interrumpida. La línea L-1114 (Nepeña - San Jacinto) quedo fuera de servicio por inspección. A las 11:24 h, se conectó la línea L-1114 (Nepeña - San Jacinto) de 138 kV y se recuperó la carga de la S.E. San Jacinto.</t>
  </si>
  <si>
    <t>Desconectó la línea L-6021 (Azángaro – Antauta) de 60 kV por falla debido a fuertes vientos en la zona. Como consecuencia se interrumpió el suministro de Antauta (1.25 MW). A las 13:25 h, se conectó la línea y se procedió a normalizar el suministro interrumpido.</t>
  </si>
  <si>
    <t>L. GUADALUPE - CHEPÉN - LINEA L-6645</t>
  </si>
  <si>
    <t>Desconectó la línea L-6645 (Guadalupe - Chepen) de 60 kV por falla monofásica en la fase "R" a 6.21 km desde la S.E. Guadalupe, cuya causa se encuentra en investigación por Hidrandina, titular de la línea. Como consecuencia se interrumpió el suministro de la S.E. Chepén con un total de 6.56 MW, asimismo el usuario Cementos Pacasmayo redujo 2.18 MW de su carga. A las 04:38 h, se conectó la línea L-6645 y se procedió a normalizar los suministros interrumpidos. A las 4:41 h Cementos Pacasmayo recuperó su carga reducida.</t>
  </si>
  <si>
    <t>CENTRAL TERMOELÉCTRICA</t>
  </si>
  <si>
    <t>GENERADOR TERMOELÉCTRICO</t>
  </si>
  <si>
    <t>VOLUMEN ÚTIL
30-06-2022</t>
  </si>
  <si>
    <t>VOLUMEN ÚTIL
30-06-2021</t>
  </si>
  <si>
    <t>Empresa</t>
  </si>
  <si>
    <t>Recurso Energético</t>
  </si>
  <si>
    <t>Tipo de Tecnologia</t>
  </si>
  <si>
    <t>Central</t>
  </si>
  <si>
    <t>Unidad</t>
  </si>
  <si>
    <t>Tensión  
(kV)</t>
  </si>
  <si>
    <t>Potencia Instalada (MW)</t>
  </si>
  <si>
    <t xml:space="preserve">Potencia Efectiva  (MW) </t>
  </si>
  <si>
    <t>Operación Comercial</t>
  </si>
  <si>
    <t>HYDROPATAPO</t>
  </si>
  <si>
    <t>Turbina Kaplan</t>
  </si>
  <si>
    <t>C.H. Patapo</t>
  </si>
  <si>
    <t>G1</t>
  </si>
  <si>
    <t>06.06.2022</t>
  </si>
  <si>
    <t>Vapor</t>
  </si>
  <si>
    <t>TV / Ciclo Combinado</t>
  </si>
  <si>
    <t>C.T. Las Flores</t>
  </si>
  <si>
    <t>TV</t>
  </si>
  <si>
    <t>09.06.2022</t>
  </si>
  <si>
    <t>(2) Retiro de Operación Comercial de C.H. Patapo, propiedad de HYDROPATAPO, desde el 06 de junio de 2022</t>
  </si>
  <si>
    <t>(3) Ingreso a Operación Comercial de la unidad TV (Ciclo combiando de C.T. Las Flores), propiedad de KALLPA, desde el 09 de junio de 2022</t>
  </si>
  <si>
    <t>C.H. PATAPO (2)</t>
  </si>
  <si>
    <t>C.T. LAS FLORES (3)</t>
  </si>
  <si>
    <t>C.H. PATAPO  (2)</t>
  </si>
  <si>
    <t>C.T. LAS FLORES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</si>
</sst>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1">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0.499984740745262"/>
      </left>
      <right style="thin">
        <color theme="0" tint="-0.499984740745262"/>
      </right>
      <top style="thin">
        <color theme="0" tint="-0.499984740745262"/>
      </top>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1">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50">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0" fontId="49"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1"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1"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1"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1"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1"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1"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1" applyNumberFormat="1" applyFont="1" applyFill="1" applyBorder="1"/>
    <xf numFmtId="0" fontId="51" fillId="0" borderId="0" xfId="0" applyFont="1"/>
    <xf numFmtId="0" fontId="52" fillId="0" borderId="0" xfId="0" applyFont="1" applyAlignment="1">
      <alignment vertical="center"/>
    </xf>
    <xf numFmtId="49" fontId="51" fillId="0" borderId="0" xfId="0" applyNumberFormat="1" applyFont="1" applyAlignment="1">
      <alignment horizontal="center"/>
    </xf>
    <xf numFmtId="1" fontId="51" fillId="0" borderId="0" xfId="0" applyNumberFormat="1" applyFont="1" applyAlignment="1">
      <alignment horizontal="center"/>
    </xf>
    <xf numFmtId="49" fontId="51" fillId="0" borderId="0" xfId="0" applyNumberFormat="1" applyFont="1" applyAlignment="1">
      <alignment horizontal="left"/>
    </xf>
    <xf numFmtId="1" fontId="51" fillId="0" borderId="0" xfId="0" applyNumberFormat="1" applyFont="1" applyAlignment="1">
      <alignment horizontal="left"/>
    </xf>
    <xf numFmtId="165" fontId="51" fillId="0" borderId="0" xfId="0" applyNumberFormat="1" applyFont="1" applyAlignment="1">
      <alignment horizontal="center"/>
    </xf>
    <xf numFmtId="10" fontId="51"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0" fontId="30" fillId="0" borderId="0" xfId="0" applyFont="1" applyBorder="1"/>
    <xf numFmtId="43" fontId="30" fillId="0" borderId="0" xfId="10"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4" applyFont="1" applyFill="1" applyBorder="1" applyAlignment="1">
      <alignment horizontal="center" vertical="center"/>
    </xf>
    <xf numFmtId="0" fontId="35" fillId="8" borderId="117" xfId="4" applyFont="1" applyFill="1" applyBorder="1" applyAlignment="1">
      <alignment horizontal="center" vertical="center"/>
    </xf>
    <xf numFmtId="4" fontId="35" fillId="8" borderId="120" xfId="0" applyNumberFormat="1" applyFont="1" applyFill="1" applyBorder="1" applyAlignment="1">
      <alignment vertical="center"/>
    </xf>
    <xf numFmtId="4" fontId="48"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5" applyFont="1" applyFill="1" applyBorder="1" applyAlignment="1">
      <alignment horizontal="center" vertical="center" wrapText="1"/>
    </xf>
    <xf numFmtId="0" fontId="35" fillId="10" borderId="125" xfId="5" applyFont="1" applyFill="1" applyBorder="1" applyAlignment="1">
      <alignment horizontal="center" vertical="center"/>
    </xf>
    <xf numFmtId="0" fontId="35" fillId="10" borderId="127" xfId="5" applyFont="1" applyFill="1" applyBorder="1" applyAlignment="1">
      <alignment horizontal="center" vertical="center"/>
    </xf>
    <xf numFmtId="20" fontId="35" fillId="10" borderId="129" xfId="5" applyNumberFormat="1" applyFont="1" applyFill="1" applyBorder="1" applyAlignment="1">
      <alignment horizontal="center" vertical="center"/>
    </xf>
    <xf numFmtId="0" fontId="35" fillId="10" borderId="130" xfId="5" applyFont="1" applyFill="1" applyBorder="1" applyAlignment="1">
      <alignment horizontal="center" vertical="center"/>
    </xf>
    <xf numFmtId="10" fontId="35" fillId="8" borderId="120" xfId="1" applyNumberFormat="1" applyFont="1" applyFill="1" applyBorder="1" applyAlignment="1">
      <alignment vertical="center"/>
    </xf>
    <xf numFmtId="10" fontId="48" fillId="8" borderId="120" xfId="1" applyNumberFormat="1" applyFont="1" applyFill="1" applyBorder="1" applyAlignment="1">
      <alignment vertical="center"/>
    </xf>
    <xf numFmtId="0" fontId="48"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3" fillId="2" borderId="0" xfId="0" applyFont="1" applyFill="1" applyAlignment="1">
      <alignment horizontal="left" vertical="center" wrapText="1"/>
    </xf>
    <xf numFmtId="0" fontId="47" fillId="0" borderId="30" xfId="0" applyFont="1" applyBorder="1"/>
    <xf numFmtId="0" fontId="47" fillId="4" borderId="133" xfId="0" applyFont="1" applyFill="1" applyBorder="1"/>
    <xf numFmtId="43" fontId="30" fillId="0" borderId="31" xfId="10" applyFont="1" applyBorder="1"/>
    <xf numFmtId="43" fontId="47" fillId="4" borderId="134" xfId="10" applyFont="1" applyFill="1" applyBorder="1"/>
    <xf numFmtId="43" fontId="30" fillId="0" borderId="136" xfId="10" applyFont="1" applyBorder="1"/>
    <xf numFmtId="0" fontId="47"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0" fontId="30" fillId="0" borderId="0" xfId="0" applyFont="1" applyAlignment="1">
      <alignment vertical="center"/>
    </xf>
    <xf numFmtId="0" fontId="54" fillId="4" borderId="140" xfId="0" applyFont="1" applyFill="1" applyBorder="1" applyAlignment="1">
      <alignment vertical="center"/>
    </xf>
    <xf numFmtId="0" fontId="54" fillId="0" borderId="140" xfId="0" applyFont="1" applyFill="1" applyBorder="1" applyAlignment="1">
      <alignment vertical="center" wrapText="1"/>
    </xf>
    <xf numFmtId="0" fontId="46" fillId="0" borderId="141" xfId="0" applyFont="1" applyFill="1" applyBorder="1" applyAlignment="1">
      <alignment horizontal="center" vertical="center"/>
    </xf>
    <xf numFmtId="0" fontId="45" fillId="0" borderId="141" xfId="0" applyFont="1" applyFill="1" applyBorder="1" applyAlignment="1">
      <alignment horizontal="center" vertical="center"/>
    </xf>
    <xf numFmtId="4" fontId="46" fillId="0" borderId="142" xfId="0" applyNumberFormat="1" applyFont="1" applyFill="1" applyBorder="1" applyAlignment="1">
      <alignment horizontal="center" vertical="center"/>
    </xf>
    <xf numFmtId="176" fontId="21" fillId="0" borderId="39" xfId="1" applyNumberFormat="1" applyFont="1" applyBorder="1" applyAlignment="1">
      <alignment horizontal="right" vertical="center"/>
    </xf>
    <xf numFmtId="0" fontId="0" fillId="0" borderId="0" xfId="0"/>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1" applyFont="1" applyFill="1" applyBorder="1" applyAlignment="1">
      <alignment horizontal="center" vertical="center"/>
    </xf>
    <xf numFmtId="43" fontId="32" fillId="4" borderId="54" xfId="10"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5" fillId="0" borderId="0" xfId="0" applyFont="1"/>
    <xf numFmtId="0" fontId="56" fillId="0" borderId="0" xfId="0" applyFont="1" applyAlignment="1">
      <alignment vertical="center"/>
    </xf>
    <xf numFmtId="0" fontId="56" fillId="0" borderId="0" xfId="0" applyFont="1"/>
    <xf numFmtId="0" fontId="44"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NumberFormat="1"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1"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54" fillId="0" borderId="143" xfId="0" applyFont="1" applyFill="1" applyBorder="1" applyAlignment="1">
      <alignment vertical="center" wrapText="1"/>
    </xf>
    <xf numFmtId="0" fontId="46" fillId="0" borderId="144" xfId="0" applyFont="1" applyFill="1" applyBorder="1" applyAlignment="1">
      <alignment horizontal="center" vertical="center"/>
    </xf>
    <xf numFmtId="4" fontId="46" fillId="0" borderId="145" xfId="0" applyNumberFormat="1" applyFont="1" applyFill="1" applyBorder="1" applyAlignment="1">
      <alignment horizontal="center" vertical="center"/>
    </xf>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30" fillId="0" borderId="86" xfId="1" applyNumberFormat="1" applyFont="1" applyBorder="1"/>
    <xf numFmtId="10" fontId="47" fillId="4" borderId="87" xfId="1" applyNumberFormat="1" applyFont="1" applyFill="1" applyBorder="1"/>
    <xf numFmtId="10" fontId="30" fillId="0" borderId="0" xfId="1" applyNumberFormat="1" applyFont="1" applyBorder="1"/>
    <xf numFmtId="10" fontId="29" fillId="0" borderId="0" xfId="1" applyNumberFormat="1" applyFont="1"/>
    <xf numFmtId="171" fontId="58" fillId="6" borderId="0" xfId="2" applyFont="1" applyFill="1"/>
    <xf numFmtId="1" fontId="59" fillId="0" borderId="0" xfId="2" applyNumberFormat="1" applyFont="1" applyAlignment="1">
      <alignment horizontal="center"/>
    </xf>
    <xf numFmtId="172" fontId="59" fillId="0" borderId="0" xfId="2" applyNumberFormat="1" applyFont="1" applyAlignment="1">
      <alignment horizontal="center"/>
    </xf>
    <xf numFmtId="2" fontId="60" fillId="0" borderId="0" xfId="2" applyNumberFormat="1" applyFont="1"/>
    <xf numFmtId="43" fontId="41" fillId="0" borderId="0" xfId="10" applyFont="1" applyAlignment="1">
      <alignment vertical="center"/>
    </xf>
    <xf numFmtId="2" fontId="60" fillId="2" borderId="0" xfId="2" applyNumberFormat="1" applyFont="1" applyFill="1"/>
    <xf numFmtId="2" fontId="61" fillId="0" borderId="0" xfId="0" applyNumberFormat="1" applyFont="1"/>
    <xf numFmtId="166" fontId="41" fillId="0" borderId="0" xfId="0" applyNumberFormat="1" applyFont="1" applyAlignment="1">
      <alignment vertical="center"/>
    </xf>
    <xf numFmtId="2" fontId="56" fillId="0" borderId="0" xfId="0" applyNumberFormat="1" applyFont="1" applyAlignment="1">
      <alignment horizontal="center" vertical="center" wrapText="1"/>
    </xf>
    <xf numFmtId="2" fontId="56" fillId="0" borderId="0" xfId="0" quotePrefix="1" applyNumberFormat="1" applyFont="1" applyAlignment="1">
      <alignment horizontal="center" vertical="center" wrapText="1"/>
    </xf>
    <xf numFmtId="17" fontId="56" fillId="0" borderId="0" xfId="0" quotePrefix="1" applyNumberFormat="1" applyFont="1" applyAlignment="1">
      <alignment horizontal="center" vertical="center" wrapText="1"/>
    </xf>
    <xf numFmtId="0" fontId="56" fillId="0" borderId="0" xfId="0" quotePrefix="1" applyFont="1" applyAlignment="1">
      <alignment horizontal="center" vertical="center" wrapText="1"/>
    </xf>
    <xf numFmtId="0" fontId="56" fillId="0" borderId="0" xfId="0" applyFont="1" applyAlignment="1">
      <alignment horizontal="center"/>
    </xf>
    <xf numFmtId="2" fontId="56" fillId="0" borderId="0" xfId="0" applyNumberFormat="1" applyFont="1" applyAlignment="1">
      <alignment horizontal="left"/>
    </xf>
    <xf numFmtId="2" fontId="53" fillId="0" borderId="0" xfId="0" applyNumberFormat="1" applyFont="1" applyAlignment="1">
      <alignment horizontal="center"/>
    </xf>
    <xf numFmtId="2" fontId="56" fillId="0" borderId="0" xfId="0" applyNumberFormat="1" applyFont="1" applyAlignment="1">
      <alignment horizontal="center"/>
    </xf>
    <xf numFmtId="175" fontId="56" fillId="0" borderId="0" xfId="0" applyNumberFormat="1" applyFont="1"/>
    <xf numFmtId="175" fontId="56" fillId="0" borderId="0" xfId="0" applyNumberFormat="1" applyFont="1" applyAlignment="1">
      <alignment horizontal="center"/>
    </xf>
    <xf numFmtId="43" fontId="56" fillId="0" borderId="0" xfId="10" applyFont="1" applyAlignment="1">
      <alignment horizontal="left"/>
    </xf>
    <xf numFmtId="0" fontId="56" fillId="0" borderId="0" xfId="0" applyFont="1" applyAlignment="1">
      <alignment vertical="top" wrapText="1"/>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Fill="1" applyBorder="1" applyAlignment="1">
      <alignment vertical="center"/>
    </xf>
    <xf numFmtId="0" fontId="53" fillId="0" borderId="0" xfId="0" applyFont="1" applyAlignment="1">
      <alignment vertical="center"/>
    </xf>
    <xf numFmtId="49" fontId="56" fillId="0" borderId="0" xfId="0" applyNumberFormat="1" applyFont="1" applyAlignment="1">
      <alignment horizontal="right"/>
    </xf>
    <xf numFmtId="1" fontId="56" fillId="0" borderId="0" xfId="0" applyNumberFormat="1" applyFont="1" applyAlignment="1">
      <alignment horizontal="right"/>
    </xf>
    <xf numFmtId="0" fontId="56" fillId="0" borderId="0" xfId="0" applyFont="1" applyAlignment="1">
      <alignment horizontal="right"/>
    </xf>
    <xf numFmtId="1" fontId="56" fillId="0" borderId="0" xfId="0" applyNumberFormat="1" applyFont="1"/>
    <xf numFmtId="1" fontId="62" fillId="0" borderId="0" xfId="0" applyNumberFormat="1" applyFont="1" applyAlignment="1">
      <alignment horizontal="right"/>
    </xf>
    <xf numFmtId="0" fontId="47" fillId="0" borderId="30" xfId="0" applyFont="1" applyBorder="1" applyAlignment="1">
      <alignment vertical="center" wrapText="1"/>
    </xf>
    <xf numFmtId="0" fontId="30" fillId="0" borderId="0" xfId="0" applyFont="1" applyBorder="1" applyAlignment="1">
      <alignment vertical="center"/>
    </xf>
    <xf numFmtId="43" fontId="30" fillId="0" borderId="0" xfId="10" applyFont="1" applyBorder="1" applyAlignment="1">
      <alignment vertical="center"/>
    </xf>
    <xf numFmtId="10" fontId="30" fillId="0" borderId="0" xfId="1"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1" fillId="0" borderId="0" xfId="0" applyFont="1" applyAlignment="1">
      <alignment vertical="center"/>
    </xf>
    <xf numFmtId="0" fontId="51" fillId="0" borderId="0" xfId="0" applyFont="1" applyAlignment="1">
      <alignment vertical="center" wrapText="1"/>
    </xf>
    <xf numFmtId="0" fontId="41" fillId="2" borderId="0" xfId="0" applyFont="1" applyFill="1" applyAlignment="1">
      <alignment horizontal="right"/>
    </xf>
    <xf numFmtId="0" fontId="63" fillId="0" borderId="0" xfId="0" applyFont="1"/>
    <xf numFmtId="43" fontId="56" fillId="0" borderId="0" xfId="10" applyFont="1"/>
    <xf numFmtId="0" fontId="64" fillId="0" borderId="0" xfId="0" applyFont="1" applyAlignment="1">
      <alignment vertical="center"/>
    </xf>
    <xf numFmtId="0" fontId="63" fillId="0" borderId="0" xfId="0" applyFont="1" applyAlignment="1">
      <alignment vertical="center"/>
    </xf>
    <xf numFmtId="0" fontId="47" fillId="0" borderId="30" xfId="0" applyFont="1" applyBorder="1" applyAlignment="1">
      <alignment vertical="center"/>
    </xf>
    <xf numFmtId="0" fontId="47" fillId="4" borderId="133"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47" fillId="4" borderId="87" xfId="1" applyNumberFormat="1" applyFont="1" applyFill="1" applyBorder="1" applyAlignment="1">
      <alignment vertical="center"/>
    </xf>
    <xf numFmtId="10" fontId="29" fillId="0" borderId="0" xfId="1" applyNumberFormat="1" applyFont="1" applyAlignment="1">
      <alignment vertical="center"/>
    </xf>
    <xf numFmtId="0" fontId="65" fillId="0" borderId="0" xfId="0" applyFont="1" applyAlignment="1">
      <alignment vertical="center"/>
    </xf>
    <xf numFmtId="0" fontId="66" fillId="0" borderId="0" xfId="0" applyFont="1" applyAlignment="1">
      <alignment vertical="center"/>
    </xf>
    <xf numFmtId="0" fontId="66" fillId="0" borderId="0" xfId="0" applyFont="1" applyAlignment="1">
      <alignment horizontal="right" vertical="center"/>
    </xf>
    <xf numFmtId="14" fontId="65" fillId="0" borderId="0" xfId="0" applyNumberFormat="1" applyFont="1" applyAlignment="1">
      <alignment vertical="center"/>
    </xf>
    <xf numFmtId="0" fontId="65" fillId="0" borderId="0" xfId="0" applyFont="1" applyAlignment="1">
      <alignment horizontal="center" vertical="center"/>
    </xf>
    <xf numFmtId="0" fontId="66" fillId="0" borderId="0" xfId="0" applyFont="1" applyAlignment="1">
      <alignment horizontal="justify" vertical="center"/>
    </xf>
    <xf numFmtId="0" fontId="67" fillId="0" borderId="0" xfId="0" applyFont="1" applyAlignment="1">
      <alignment vertical="center"/>
    </xf>
    <xf numFmtId="17" fontId="67" fillId="0" borderId="0" xfId="0" applyNumberFormat="1" applyFont="1" applyAlignment="1">
      <alignment horizontal="center" vertical="center"/>
    </xf>
    <xf numFmtId="2" fontId="67" fillId="0" borderId="0" xfId="0" applyNumberFormat="1" applyFont="1" applyAlignment="1">
      <alignment horizontal="center" vertical="center"/>
    </xf>
    <xf numFmtId="0" fontId="67" fillId="0" borderId="0" xfId="0" quotePrefix="1" applyFont="1" applyAlignment="1">
      <alignment vertical="center" wrapText="1"/>
    </xf>
    <xf numFmtId="2" fontId="67" fillId="0" borderId="0" xfId="0" quotePrefix="1" applyNumberFormat="1" applyFont="1" applyAlignment="1">
      <alignment horizontal="center" vertical="center" wrapText="1"/>
    </xf>
    <xf numFmtId="2" fontId="67" fillId="0" borderId="0" xfId="0" applyNumberFormat="1" applyFont="1" applyAlignment="1">
      <alignment vertical="center"/>
    </xf>
    <xf numFmtId="2" fontId="66" fillId="0" borderId="0" xfId="0" applyNumberFormat="1" applyFont="1" applyAlignment="1">
      <alignment vertical="center"/>
    </xf>
    <xf numFmtId="0" fontId="68" fillId="0" borderId="0" xfId="0" applyFont="1" applyAlignment="1">
      <alignment vertical="center"/>
    </xf>
    <xf numFmtId="0" fontId="69" fillId="2" borderId="0" xfId="0" applyFont="1" applyFill="1" applyAlignment="1">
      <alignment vertical="center" wrapText="1"/>
    </xf>
    <xf numFmtId="1" fontId="63" fillId="0" borderId="0" xfId="0" applyNumberFormat="1" applyFont="1" applyAlignment="1">
      <alignment horizontal="right" vertical="center" wrapText="1"/>
    </xf>
    <xf numFmtId="0" fontId="63" fillId="0" borderId="0" xfId="0" applyFont="1" applyAlignment="1">
      <alignment vertical="center" wrapText="1"/>
    </xf>
    <xf numFmtId="49" fontId="63" fillId="0" borderId="0" xfId="0" applyNumberFormat="1" applyFont="1" applyAlignment="1">
      <alignment horizontal="center" vertical="center"/>
    </xf>
    <xf numFmtId="0" fontId="63" fillId="2" borderId="0" xfId="0" applyFont="1" applyFill="1"/>
    <xf numFmtId="1" fontId="0" fillId="0" borderId="0" xfId="0" applyNumberFormat="1" applyFont="1"/>
    <xf numFmtId="165" fontId="0" fillId="0" borderId="0" xfId="0" applyNumberFormat="1" applyFont="1" applyAlignment="1">
      <alignment horizontal="right"/>
    </xf>
    <xf numFmtId="167" fontId="0" fillId="0" borderId="0" xfId="1" applyNumberFormat="1" applyFont="1" applyAlignment="1">
      <alignment horizontal="right"/>
    </xf>
    <xf numFmtId="166" fontId="0" fillId="0" borderId="0" xfId="0" applyNumberFormat="1" applyFont="1" applyAlignment="1">
      <alignment horizontal="right"/>
    </xf>
    <xf numFmtId="0" fontId="3" fillId="0" borderId="0" xfId="0" applyFont="1" applyAlignment="1">
      <alignment vertical="center"/>
    </xf>
    <xf numFmtId="1" fontId="71" fillId="0" borderId="0" xfId="0" applyNumberFormat="1" applyFont="1" applyAlignment="1">
      <alignment horizontal="center" vertical="center"/>
    </xf>
    <xf numFmtId="165" fontId="71" fillId="0" borderId="0" xfId="0" applyNumberFormat="1" applyFont="1" applyAlignment="1">
      <alignment horizontal="right" vertical="center"/>
    </xf>
    <xf numFmtId="166" fontId="71" fillId="0" borderId="0" xfId="0" applyNumberFormat="1" applyFont="1" applyAlignment="1">
      <alignment horizontal="right" vertical="center"/>
    </xf>
    <xf numFmtId="167" fontId="71" fillId="0" borderId="0" xfId="1" applyNumberFormat="1" applyFont="1" applyAlignment="1">
      <alignment horizontal="right" vertical="center"/>
    </xf>
    <xf numFmtId="0" fontId="71" fillId="0" borderId="0" xfId="0" applyFont="1" applyAlignment="1">
      <alignment vertical="center"/>
    </xf>
    <xf numFmtId="175" fontId="72" fillId="0" borderId="0" xfId="0" applyNumberFormat="1" applyFont="1"/>
    <xf numFmtId="172" fontId="58" fillId="6" borderId="0" xfId="2" applyNumberFormat="1" applyFont="1" applyFill="1"/>
    <xf numFmtId="2" fontId="60" fillId="0" borderId="0" xfId="2" applyNumberFormat="1" applyFont="1" applyAlignment="1">
      <alignment horizontal="center"/>
    </xf>
    <xf numFmtId="43" fontId="41" fillId="0" borderId="0" xfId="10" applyFont="1"/>
    <xf numFmtId="172" fontId="59" fillId="7" borderId="0" xfId="2" applyNumberFormat="1" applyFont="1" applyFill="1" applyAlignment="1">
      <alignment horizontal="center"/>
    </xf>
    <xf numFmtId="0" fontId="73" fillId="0" borderId="0" xfId="0" applyFont="1"/>
    <xf numFmtId="175" fontId="41" fillId="0" borderId="0" xfId="0" applyNumberFormat="1" applyFont="1" applyAlignment="1">
      <alignment vertical="center"/>
    </xf>
    <xf numFmtId="2" fontId="74" fillId="0" borderId="0" xfId="3" applyNumberFormat="1" applyFont="1"/>
    <xf numFmtId="0" fontId="30" fillId="0" borderId="0" xfId="0" applyFont="1" applyAlignment="1">
      <alignment horizontal="left" vertical="center"/>
    </xf>
    <xf numFmtId="0" fontId="75" fillId="0" borderId="0" xfId="0" applyFont="1" applyAlignment="1">
      <alignment vertical="center"/>
    </xf>
    <xf numFmtId="49" fontId="76" fillId="0" borderId="0" xfId="0" applyNumberFormat="1" applyFont="1" applyAlignment="1">
      <alignment horizontal="center"/>
    </xf>
    <xf numFmtId="0" fontId="76" fillId="0" borderId="0" xfId="0" applyFont="1"/>
    <xf numFmtId="49" fontId="76" fillId="0" borderId="0" xfId="0" applyNumberFormat="1" applyFont="1" applyAlignment="1">
      <alignment horizontal="right"/>
    </xf>
    <xf numFmtId="0" fontId="76" fillId="0" borderId="0" xfId="0" applyFont="1" applyAlignment="1">
      <alignment horizontal="right"/>
    </xf>
    <xf numFmtId="165" fontId="76" fillId="0" borderId="0" xfId="0" applyNumberFormat="1" applyFont="1" applyAlignment="1">
      <alignment horizontal="right"/>
    </xf>
    <xf numFmtId="1" fontId="76" fillId="0" borderId="0" xfId="0" applyNumberFormat="1" applyFont="1" applyAlignment="1">
      <alignment horizontal="right"/>
    </xf>
    <xf numFmtId="0" fontId="70" fillId="0" borderId="0" xfId="0" applyFont="1" applyAlignment="1">
      <alignment horizontal="center"/>
    </xf>
    <xf numFmtId="175" fontId="70" fillId="0" borderId="0" xfId="0" applyNumberFormat="1" applyFont="1" applyAlignment="1">
      <alignment horizontal="center"/>
    </xf>
    <xf numFmtId="1" fontId="63" fillId="0" borderId="0" xfId="0" applyNumberFormat="1" applyFont="1"/>
    <xf numFmtId="165" fontId="63" fillId="0" borderId="0" xfId="0" applyNumberFormat="1" applyFont="1" applyAlignment="1">
      <alignment horizontal="right"/>
    </xf>
    <xf numFmtId="167" fontId="63" fillId="0" borderId="0" xfId="1" applyNumberFormat="1" applyFont="1" applyAlignment="1">
      <alignment horizontal="right"/>
    </xf>
    <xf numFmtId="166" fontId="63" fillId="0" borderId="0" xfId="0" applyNumberFormat="1" applyFont="1" applyAlignment="1">
      <alignment horizontal="right"/>
    </xf>
    <xf numFmtId="0" fontId="63" fillId="0" borderId="0" xfId="0" applyFont="1" applyAlignment="1">
      <alignment horizontal="right"/>
    </xf>
    <xf numFmtId="0" fontId="63" fillId="0" borderId="0" xfId="0" applyFont="1" applyAlignment="1">
      <alignment horizontal="center"/>
    </xf>
    <xf numFmtId="49" fontId="71" fillId="0" borderId="0" xfId="0" applyNumberFormat="1" applyFont="1" applyAlignment="1">
      <alignment horizontal="right"/>
    </xf>
    <xf numFmtId="49" fontId="71" fillId="0" borderId="0" xfId="0" applyNumberFormat="1" applyFont="1" applyAlignment="1">
      <alignment horizontal="center"/>
    </xf>
    <xf numFmtId="1" fontId="71" fillId="0" borderId="0" xfId="0" applyNumberFormat="1" applyFont="1" applyAlignment="1">
      <alignment horizontal="center"/>
    </xf>
    <xf numFmtId="49" fontId="63" fillId="0" borderId="0" xfId="0" applyNumberFormat="1" applyFont="1" applyAlignment="1">
      <alignment horizontal="center"/>
    </xf>
    <xf numFmtId="1" fontId="63" fillId="0" borderId="0" xfId="0" applyNumberFormat="1" applyFont="1" applyAlignment="1">
      <alignment horizontal="center"/>
    </xf>
    <xf numFmtId="165" fontId="63" fillId="0" borderId="0" xfId="0" applyNumberFormat="1" applyFont="1" applyAlignment="1">
      <alignment horizontal="center"/>
    </xf>
    <xf numFmtId="165" fontId="71" fillId="0" borderId="0" xfId="0" applyNumberFormat="1" applyFont="1" applyAlignment="1">
      <alignment horizontal="center"/>
    </xf>
    <xf numFmtId="0" fontId="71"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applyBorder="1"/>
    <xf numFmtId="43" fontId="47" fillId="4" borderId="0" xfId="10" applyFont="1" applyFill="1" applyBorder="1"/>
    <xf numFmtId="43" fontId="47" fillId="4" borderId="31" xfId="10" applyFont="1" applyFill="1" applyBorder="1"/>
    <xf numFmtId="0" fontId="72" fillId="0" borderId="0" xfId="0" applyFont="1"/>
    <xf numFmtId="2" fontId="60"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7" fillId="0" borderId="0" xfId="0" applyFont="1"/>
    <xf numFmtId="0" fontId="77" fillId="0" borderId="0" xfId="0" applyFont="1" applyAlignment="1">
      <alignment horizontal="right"/>
    </xf>
    <xf numFmtId="0" fontId="77" fillId="0" borderId="0" xfId="0" applyFont="1" applyAlignme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0" borderId="0" xfId="0" applyNumberFormat="1" applyFont="1" applyAlignment="1"/>
    <xf numFmtId="2" fontId="41" fillId="0" borderId="0" xfId="0" applyNumberFormat="1" applyFont="1" applyAlignment="1"/>
    <xf numFmtId="166" fontId="41" fillId="7" borderId="0" xfId="0" applyNumberFormat="1" applyFont="1" applyFill="1"/>
    <xf numFmtId="0" fontId="30" fillId="0" borderId="0" xfId="0" applyFont="1" applyFill="1"/>
    <xf numFmtId="0" fontId="29" fillId="0" borderId="0" xfId="0" applyFont="1" applyFill="1"/>
    <xf numFmtId="0" fontId="30" fillId="0" borderId="0" xfId="0" applyFont="1" applyFill="1" applyAlignment="1">
      <alignment vertical="center"/>
    </xf>
    <xf numFmtId="43" fontId="46" fillId="0" borderId="78" xfId="10" applyFont="1" applyBorder="1" applyAlignment="1">
      <alignment vertical="center" wrapText="1"/>
    </xf>
    <xf numFmtId="0" fontId="30" fillId="0" borderId="0" xfId="0" applyFont="1" applyAlignment="1">
      <alignment horizontal="left" vertical="center"/>
    </xf>
    <xf numFmtId="0" fontId="7" fillId="0" borderId="93" xfId="0" applyFont="1" applyBorder="1"/>
    <xf numFmtId="174" fontId="7" fillId="0" borderId="93" xfId="0" applyNumberFormat="1" applyFont="1" applyBorder="1"/>
    <xf numFmtId="174" fontId="7" fillId="11" borderId="93" xfId="0" applyNumberFormat="1" applyFont="1" applyFill="1" applyBorder="1"/>
    <xf numFmtId="0" fontId="30" fillId="0" borderId="154" xfId="8" applyFont="1" applyBorder="1" applyAlignment="1">
      <alignment horizontal="center" vertical="center" wrapText="1"/>
    </xf>
    <xf numFmtId="22" fontId="30" fillId="0" borderId="154" xfId="8" applyNumberFormat="1" applyFont="1" applyBorder="1" applyAlignment="1">
      <alignment horizontal="center" vertical="center" wrapText="1"/>
    </xf>
    <xf numFmtId="0" fontId="44" fillId="0" borderId="154" xfId="8" applyFont="1" applyBorder="1" applyAlignment="1">
      <alignment horizontal="justify" vertical="center" wrapText="1"/>
    </xf>
    <xf numFmtId="0" fontId="44" fillId="0" borderId="154" xfId="8" applyFont="1" applyBorder="1" applyAlignment="1">
      <alignment horizontal="center" vertical="center" wrapText="1"/>
    </xf>
    <xf numFmtId="0" fontId="35" fillId="8" borderId="0" xfId="0" quotePrefix="1" applyFont="1" applyFill="1" applyAlignment="1">
      <alignment horizontal="center" vertical="center" wrapText="1"/>
    </xf>
    <xf numFmtId="17" fontId="35" fillId="8" borderId="155" xfId="0" applyNumberFormat="1" applyFont="1" applyFill="1" applyBorder="1" applyAlignment="1">
      <alignment horizontal="center" vertical="center" wrapText="1"/>
    </xf>
    <xf numFmtId="169" fontId="35" fillId="8" borderId="155" xfId="0" applyNumberFormat="1"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5" fillId="8" borderId="156" xfId="0" applyFont="1" applyFill="1" applyBorder="1" applyAlignment="1">
      <alignment horizontal="center" vertical="center" wrapText="1"/>
    </xf>
    <xf numFmtId="0" fontId="30" fillId="2" borderId="157" xfId="0" quotePrefix="1" applyFont="1" applyFill="1" applyBorder="1" applyAlignment="1">
      <alignment vertical="center" wrapText="1"/>
    </xf>
    <xf numFmtId="168" fontId="30" fillId="2" borderId="157" xfId="0" applyNumberFormat="1" applyFont="1" applyFill="1" applyBorder="1" applyAlignment="1">
      <alignment horizontal="center" vertical="center" wrapText="1"/>
    </xf>
    <xf numFmtId="0" fontId="30" fillId="2" borderId="157" xfId="1" applyNumberFormat="1" applyFont="1" applyFill="1" applyBorder="1" applyAlignment="1">
      <alignment horizontal="center" vertical="center" wrapText="1"/>
    </xf>
    <xf numFmtId="2" fontId="30" fillId="2" borderId="157" xfId="1" applyNumberFormat="1" applyFont="1" applyFill="1" applyBorder="1" applyAlignment="1">
      <alignment horizontal="center" vertical="center" wrapText="1"/>
    </xf>
    <xf numFmtId="174" fontId="30" fillId="2" borderId="157" xfId="0" applyNumberFormat="1" applyFont="1" applyFill="1" applyBorder="1" applyAlignment="1">
      <alignment horizontal="center" vertical="center" wrapText="1"/>
    </xf>
    <xf numFmtId="0" fontId="30" fillId="2" borderId="157" xfId="0" applyFont="1" applyFill="1" applyBorder="1" applyAlignment="1">
      <alignment horizontal="center" vertical="center" wrapText="1"/>
    </xf>
    <xf numFmtId="0" fontId="35" fillId="8" borderId="158" xfId="0" quotePrefix="1" applyFont="1" applyFill="1" applyBorder="1" applyAlignment="1">
      <alignment horizontal="left" vertical="center"/>
    </xf>
    <xf numFmtId="168" fontId="35" fillId="8" borderId="159" xfId="0" applyNumberFormat="1" applyFont="1" applyFill="1" applyBorder="1" applyAlignment="1">
      <alignment horizontal="right" vertical="center"/>
    </xf>
    <xf numFmtId="168" fontId="35" fillId="8" borderId="159" xfId="0" applyNumberFormat="1" applyFont="1" applyFill="1" applyBorder="1" applyAlignment="1">
      <alignment horizontal="left" vertical="center"/>
    </xf>
    <xf numFmtId="0" fontId="35" fillId="8" borderId="159" xfId="1" applyNumberFormat="1" applyFont="1" applyFill="1" applyBorder="1" applyAlignment="1">
      <alignment horizontal="left" vertical="center"/>
    </xf>
    <xf numFmtId="0" fontId="35" fillId="8" borderId="160" xfId="1" applyNumberFormat="1" applyFont="1" applyFill="1" applyBorder="1" applyAlignment="1">
      <alignment horizontal="center" vertical="center"/>
    </xf>
    <xf numFmtId="174" fontId="35" fillId="8" borderId="157" xfId="0" applyNumberFormat="1" applyFont="1" applyFill="1" applyBorder="1" applyAlignment="1">
      <alignment horizontal="center" vertical="center"/>
    </xf>
    <xf numFmtId="0" fontId="35" fillId="8" borderId="157" xfId="0" applyFont="1" applyFill="1" applyBorder="1" applyAlignment="1">
      <alignment horizontal="center" vertical="center"/>
    </xf>
    <xf numFmtId="0" fontId="12" fillId="0" borderId="0" xfId="0" applyFont="1" applyAlignment="1">
      <alignment horizontal="center" vertical="center"/>
    </xf>
    <xf numFmtId="0" fontId="5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17" fontId="1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0" fillId="2" borderId="0" xfId="0" applyFont="1" applyFill="1" applyAlignment="1">
      <alignment horizontal="left" vertical="center"/>
    </xf>
    <xf numFmtId="43" fontId="46" fillId="0" borderId="152" xfId="10" applyFont="1" applyBorder="1" applyAlignment="1">
      <alignment horizontal="left" vertical="center" wrapText="1"/>
    </xf>
    <xf numFmtId="43" fontId="46" fillId="0" borderId="153" xfId="10" applyFont="1" applyBorder="1" applyAlignment="1">
      <alignment horizontal="left" vertical="center" wrapText="1"/>
    </xf>
    <xf numFmtId="43" fontId="35" fillId="8" borderId="82" xfId="10" applyFont="1" applyFill="1" applyBorder="1" applyAlignment="1">
      <alignment horizontal="center" vertical="center" wrapText="1"/>
    </xf>
    <xf numFmtId="43" fontId="35" fillId="8" borderId="137"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116"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8"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128"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129" xfId="5" applyFont="1" applyFill="1" applyBorder="1" applyAlignment="1">
      <alignment horizontal="center" vertical="center"/>
    </xf>
    <xf numFmtId="0" fontId="35" fillId="10" borderId="123" xfId="5" applyFont="1" applyFill="1" applyBorder="1" applyAlignment="1">
      <alignment horizontal="center" vertical="center"/>
    </xf>
    <xf numFmtId="0" fontId="35" fillId="10" borderId="13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32" xfId="5" applyFont="1" applyFill="1" applyBorder="1" applyAlignment="1">
      <alignment horizontal="center" vertical="center"/>
    </xf>
    <xf numFmtId="0" fontId="30" fillId="0" borderId="0" xfId="0" applyFont="1" applyAlignment="1">
      <alignment horizontal="left" vertical="center"/>
    </xf>
    <xf numFmtId="0" fontId="39" fillId="8" borderId="149" xfId="0" applyFont="1" applyFill="1" applyBorder="1" applyAlignment="1">
      <alignment horizontal="center" vertical="center"/>
    </xf>
    <xf numFmtId="0" fontId="39" fillId="8" borderId="150" xfId="0" applyFont="1" applyFill="1" applyBorder="1" applyAlignment="1">
      <alignment horizontal="center" vertical="center"/>
    </xf>
    <xf numFmtId="0" fontId="39" fillId="8" borderId="151" xfId="0" applyFont="1" applyFill="1" applyBorder="1" applyAlignment="1">
      <alignment horizontal="center" vertical="center"/>
    </xf>
    <xf numFmtId="174" fontId="39" fillId="8" borderId="146" xfId="0" applyNumberFormat="1" applyFont="1" applyFill="1" applyBorder="1" applyAlignment="1">
      <alignment horizontal="center"/>
    </xf>
    <xf numFmtId="174" fontId="39" fillId="8" borderId="147" xfId="0" applyNumberFormat="1" applyFont="1" applyFill="1" applyBorder="1" applyAlignment="1">
      <alignment horizontal="center"/>
    </xf>
    <xf numFmtId="174" fontId="39" fillId="8" borderId="148" xfId="0" applyNumberFormat="1" applyFont="1" applyFill="1" applyBorder="1" applyAlignment="1">
      <alignment horizontal="center"/>
    </xf>
  </cellXfs>
  <cellStyles count="11">
    <cellStyle name="Comma" xfId="10" xr:uid="{9BCC24FE-5DE2-45CE-B0FE-4BFB8519D0F5}"/>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2201.56439611</c:v>
                </c:pt>
                <c:pt idx="1">
                  <c:v>2097.4214294675003</c:v>
                </c:pt>
                <c:pt idx="2">
                  <c:v>0</c:v>
                </c:pt>
                <c:pt idx="3">
                  <c:v>5.8887236250000017</c:v>
                </c:pt>
                <c:pt idx="4">
                  <c:v>28.783227047499999</c:v>
                </c:pt>
                <c:pt idx="5">
                  <c:v>155.79105628249997</c:v>
                </c:pt>
                <c:pt idx="6">
                  <c:v>55.017436232500003</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2097.4214294675003</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5.8887236250000017</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28.783227047499999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155.79105628249997</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55.017436232500003</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RER'!$L$42:$L$48</c:f>
              <c:strCache>
                <c:ptCount val="7"/>
                <c:pt idx="0">
                  <c:v>C.S. RUBI</c:v>
                </c:pt>
                <c:pt idx="1">
                  <c:v>C.S. INTIPAMPA</c:v>
                </c:pt>
                <c:pt idx="2">
                  <c:v>C.S. PANAMERICANA SOLAR</c:v>
                </c:pt>
                <c:pt idx="3">
                  <c:v>C.S. MAJES SOLAR</c:v>
                </c:pt>
                <c:pt idx="4">
                  <c:v>C.S. TACNA SOLAR</c:v>
                </c:pt>
                <c:pt idx="5">
                  <c:v>C.S. REPARTICION</c:v>
                </c:pt>
                <c:pt idx="6">
                  <c:v>C.S. MOQUEGUA FV</c:v>
                </c:pt>
              </c:strCache>
            </c:strRef>
          </c:cat>
          <c:val>
            <c:numRef>
              <c:f>'6. FP RER'!$O$42:$O$48</c:f>
              <c:numCache>
                <c:formatCode>0.00</c:formatCode>
                <c:ptCount val="7"/>
                <c:pt idx="0">
                  <c:v>30.23433</c:v>
                </c:pt>
                <c:pt idx="1">
                  <c:v>7.6483643099999998</c:v>
                </c:pt>
                <c:pt idx="2">
                  <c:v>3.7065928475000001</c:v>
                </c:pt>
                <c:pt idx="3">
                  <c:v>3.4355207999999999</c:v>
                </c:pt>
                <c:pt idx="4">
                  <c:v>3.3274599450000002</c:v>
                </c:pt>
                <c:pt idx="5">
                  <c:v>3.2684066824999998</c:v>
                </c:pt>
                <c:pt idx="6">
                  <c:v>3.1572381475000002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RER'!$L$42:$L$48</c:f>
              <c:strCache>
                <c:ptCount val="7"/>
                <c:pt idx="0">
                  <c:v>C.S. RUBI</c:v>
                </c:pt>
                <c:pt idx="1">
                  <c:v>C.S. INTIPAMPA</c:v>
                </c:pt>
                <c:pt idx="2">
                  <c:v>C.S. PANAMERICANA SOLAR</c:v>
                </c:pt>
                <c:pt idx="3">
                  <c:v>C.S. MAJES SOLAR</c:v>
                </c:pt>
                <c:pt idx="4">
                  <c:v>C.S. TACNA SOLAR</c:v>
                </c:pt>
                <c:pt idx="5">
                  <c:v>C.S. REPARTICION</c:v>
                </c:pt>
                <c:pt idx="6">
                  <c:v>C.S. MOQUEGUA FV</c:v>
                </c:pt>
              </c:strCache>
            </c:strRef>
          </c:cat>
          <c:val>
            <c:numRef>
              <c:f>'6. FP RER'!$P$42:$P$48</c:f>
              <c:numCache>
                <c:formatCode>0.00</c:formatCode>
                <c:ptCount val="7"/>
                <c:pt idx="0">
                  <c:v>0.29064316860465123</c:v>
                </c:pt>
                <c:pt idx="1">
                  <c:v>0.23849861267025893</c:v>
                </c:pt>
                <c:pt idx="2">
                  <c:v>0.25740228107638891</c:v>
                </c:pt>
                <c:pt idx="3">
                  <c:v>0.23857783333333332</c:v>
                </c:pt>
                <c:pt idx="4">
                  <c:v>0.23107360729166668</c:v>
                </c:pt>
                <c:pt idx="5">
                  <c:v>0.22697268628472222</c:v>
                </c:pt>
                <c:pt idx="6">
                  <c:v>0.27406581141493058</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RER'!$L$49:$L$53</c:f>
              <c:strCache>
                <c:ptCount val="5"/>
                <c:pt idx="0">
                  <c:v>C.T. PARAMONGA</c:v>
                </c:pt>
                <c:pt idx="1">
                  <c:v>C.T. HUAYCOLORO</c:v>
                </c:pt>
                <c:pt idx="2">
                  <c:v>C.T. LA GRINGA</c:v>
                </c:pt>
                <c:pt idx="3">
                  <c:v>C.T. CALLAO</c:v>
                </c:pt>
                <c:pt idx="4">
                  <c:v>C.T. DOÑA CATALINA</c:v>
                </c:pt>
              </c:strCache>
            </c:strRef>
          </c:cat>
          <c:val>
            <c:numRef>
              <c:f>'6. FP RER'!$O$49:$O$53</c:f>
              <c:numCache>
                <c:formatCode>0.00</c:formatCode>
                <c:ptCount val="5"/>
                <c:pt idx="0">
                  <c:v>7.1441898975000004</c:v>
                </c:pt>
                <c:pt idx="1">
                  <c:v>2.432259325</c:v>
                </c:pt>
                <c:pt idx="2">
                  <c:v>1.9573849749999999</c:v>
                </c:pt>
                <c:pt idx="3">
                  <c:v>1.2346743</c:v>
                </c:pt>
                <c:pt idx="4">
                  <c:v>0.926458275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RER'!$L$49:$L$53</c:f>
              <c:strCache>
                <c:ptCount val="5"/>
                <c:pt idx="0">
                  <c:v>C.T. PARAMONGA</c:v>
                </c:pt>
                <c:pt idx="1">
                  <c:v>C.T. HUAYCOLORO</c:v>
                </c:pt>
                <c:pt idx="2">
                  <c:v>C.T. LA GRINGA</c:v>
                </c:pt>
                <c:pt idx="3">
                  <c:v>C.T. CALLAO</c:v>
                </c:pt>
                <c:pt idx="4">
                  <c:v>C.T. DOÑA CATALINA</c:v>
                </c:pt>
              </c:strCache>
            </c:strRef>
          </c:cat>
          <c:val>
            <c:numRef>
              <c:f>'6. FP RER'!$P$49:$P$53</c:f>
              <c:numCache>
                <c:formatCode>0.00</c:formatCode>
                <c:ptCount val="5"/>
                <c:pt idx="0">
                  <c:v>0.77878086725583862</c:v>
                </c:pt>
                <c:pt idx="1">
                  <c:v>0.79252503258390339</c:v>
                </c:pt>
                <c:pt idx="2">
                  <c:v>0.92040161257255482</c:v>
                </c:pt>
                <c:pt idx="3">
                  <c:v>0.71451059027777786</c:v>
                </c:pt>
                <c:pt idx="4">
                  <c:v>0.53614483506944444</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2022</c:v>
                </c:pt>
              </c:strCache>
            </c:strRef>
          </c:tx>
          <c:spPr>
            <a:solidFill>
              <a:srgbClr val="0077A5"/>
            </a:solidFill>
          </c:spPr>
          <c:invertIfNegative val="0"/>
          <c:cat>
            <c:multiLvlStrRef>
              <c:f>'6. FP RER'!$S$6:$T$53</c:f>
              <c:multiLvlStrCache>
                <c:ptCount val="48"/>
                <c:lvl>
                  <c:pt idx="0">
                    <c:v>C.H. CHANCAY</c:v>
                  </c:pt>
                  <c:pt idx="1">
                    <c:v>C.H. RENOVANDES H1</c:v>
                  </c:pt>
                  <c:pt idx="2">
                    <c:v>C.H. 8 DE AGOSTO</c:v>
                  </c:pt>
                  <c:pt idx="3">
                    <c:v>C.H. RUCUY</c:v>
                  </c:pt>
                  <c:pt idx="4">
                    <c:v>C.H. POTRERO</c:v>
                  </c:pt>
                  <c:pt idx="5">
                    <c:v>C.H. RUNATULLO III</c:v>
                  </c:pt>
                  <c:pt idx="6">
                    <c:v>C.H. LAS PIZARRAS</c:v>
                  </c:pt>
                  <c:pt idx="7">
                    <c:v>C.H. YARUCAYA</c:v>
                  </c:pt>
                  <c:pt idx="8">
                    <c:v>C.H. ÁNGEL II</c:v>
                  </c:pt>
                  <c:pt idx="9">
                    <c:v>C.H. ÁNGEL III</c:v>
                  </c:pt>
                  <c:pt idx="10">
                    <c:v>C.H. ÁNGEL I</c:v>
                  </c:pt>
                  <c:pt idx="11">
                    <c:v>C.H. RUNATULLO II</c:v>
                  </c:pt>
                  <c:pt idx="12">
                    <c:v>C.H. CARHUAC</c:v>
                  </c:pt>
                  <c:pt idx="13">
                    <c:v>C.H. MANTA I</c:v>
                  </c:pt>
                  <c:pt idx="14">
                    <c:v>C.H. CARHUAQUERO IV</c:v>
                  </c:pt>
                  <c:pt idx="15">
                    <c:v>C.H. HUASAHUASI II</c:v>
                  </c:pt>
                  <c:pt idx="16">
                    <c:v>C.H. POECHOS II</c:v>
                  </c:pt>
                  <c:pt idx="17">
                    <c:v>C.H. HUASAHUASI I</c:v>
                  </c:pt>
                  <c:pt idx="18">
                    <c:v>C.H. LA JOYA</c:v>
                  </c:pt>
                  <c:pt idx="19">
                    <c:v>C.H. EL CARMEN</c:v>
                  </c:pt>
                  <c:pt idx="20">
                    <c:v>C.H. CAÑA BRAVA</c:v>
                  </c:pt>
                  <c:pt idx="21">
                    <c:v>C.H. SANTA CRUZ II</c:v>
                  </c:pt>
                  <c:pt idx="22">
                    <c:v>C.H. SANTA CRUZ I</c:v>
                  </c:pt>
                  <c:pt idx="23">
                    <c:v>C.H. YANAPAMPA</c:v>
                  </c:pt>
                  <c:pt idx="24">
                    <c:v>C.H. IMPERIAL</c:v>
                  </c:pt>
                  <c:pt idx="25">
                    <c:v>C.H. CANCHAYLLO</c:v>
                  </c:pt>
                  <c:pt idx="26">
                    <c:v>C.H. RONCADOR</c:v>
                  </c:pt>
                  <c:pt idx="27">
                    <c:v>C.H. HER 1</c:v>
                  </c:pt>
                  <c:pt idx="28">
                    <c:v>C.H. PURMACANA</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PANAMERICANA SOLAR</c:v>
                  </c:pt>
                  <c:pt idx="39">
                    <c:v>C.S. TACNA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RER'!$U$6:$U$53</c:f>
              <c:numCache>
                <c:formatCode>0.000</c:formatCode>
                <c:ptCount val="48"/>
                <c:pt idx="0">
                  <c:v>0.92719801495872145</c:v>
                </c:pt>
                <c:pt idx="1">
                  <c:v>0.87292248018660046</c:v>
                </c:pt>
                <c:pt idx="2">
                  <c:v>0.83231598718315258</c:v>
                </c:pt>
                <c:pt idx="3">
                  <c:v>0.82690539097074389</c:v>
                </c:pt>
                <c:pt idx="4">
                  <c:v>0.79445577692469949</c:v>
                </c:pt>
                <c:pt idx="5">
                  <c:v>0.80053200336405228</c:v>
                </c:pt>
                <c:pt idx="6">
                  <c:v>0.82924299549649683</c:v>
                </c:pt>
                <c:pt idx="7">
                  <c:v>0.87414846508612842</c:v>
                </c:pt>
                <c:pt idx="8">
                  <c:v>0.7748222993683046</c:v>
                </c:pt>
                <c:pt idx="9">
                  <c:v>0.76720766957522657</c:v>
                </c:pt>
                <c:pt idx="10">
                  <c:v>0.74933355755492859</c:v>
                </c:pt>
                <c:pt idx="11">
                  <c:v>0.69229659088278339</c:v>
                </c:pt>
                <c:pt idx="12">
                  <c:v>0.65690928664190962</c:v>
                </c:pt>
                <c:pt idx="13">
                  <c:v>0.53261979623161226</c:v>
                </c:pt>
                <c:pt idx="14">
                  <c:v>0.97557379964217239</c:v>
                </c:pt>
                <c:pt idx="15">
                  <c:v>0.74706083719642702</c:v>
                </c:pt>
                <c:pt idx="16">
                  <c:v>0.77728464784636664</c:v>
                </c:pt>
                <c:pt idx="17">
                  <c:v>0.72876237338858207</c:v>
                </c:pt>
                <c:pt idx="18">
                  <c:v>0.70972525210844195</c:v>
                </c:pt>
                <c:pt idx="19">
                  <c:v>0.71349145191824748</c:v>
                </c:pt>
                <c:pt idx="20">
                  <c:v>0.93343837594720069</c:v>
                </c:pt>
                <c:pt idx="21">
                  <c:v>0.74533573445739587</c:v>
                </c:pt>
                <c:pt idx="22">
                  <c:v>0.66272701925403832</c:v>
                </c:pt>
                <c:pt idx="23">
                  <c:v>0.8598187727217923</c:v>
                </c:pt>
                <c:pt idx="24">
                  <c:v>0.82056528899723225</c:v>
                </c:pt>
                <c:pt idx="25">
                  <c:v>0.60683226102141985</c:v>
                </c:pt>
                <c:pt idx="26">
                  <c:v>0.63269304753795352</c:v>
                </c:pt>
                <c:pt idx="27">
                  <c:v>0.44702441945753907</c:v>
                </c:pt>
                <c:pt idx="28">
                  <c:v>0.14330710598531909</c:v>
                </c:pt>
                <c:pt idx="29">
                  <c:v>0.51031949960258294</c:v>
                </c:pt>
                <c:pt idx="30">
                  <c:v>0.61079760547851325</c:v>
                </c:pt>
                <c:pt idx="31">
                  <c:v>0.46553651250984213</c:v>
                </c:pt>
                <c:pt idx="32">
                  <c:v>0.65220539886193607</c:v>
                </c:pt>
                <c:pt idx="33">
                  <c:v>0.46311972663779516</c:v>
                </c:pt>
                <c:pt idx="34">
                  <c:v>0.36923368249688465</c:v>
                </c:pt>
                <c:pt idx="35">
                  <c:v>0.2735985101933251</c:v>
                </c:pt>
                <c:pt idx="36">
                  <c:v>0.33046747096401091</c:v>
                </c:pt>
                <c:pt idx="37">
                  <c:v>0.26256449288811512</c:v>
                </c:pt>
                <c:pt idx="38">
                  <c:v>0.31378041220649172</c:v>
                </c:pt>
                <c:pt idx="39">
                  <c:v>0.31070768683816757</c:v>
                </c:pt>
                <c:pt idx="40">
                  <c:v>0.32448145613921503</c:v>
                </c:pt>
                <c:pt idx="41">
                  <c:v>0.25794262603591162</c:v>
                </c:pt>
                <c:pt idx="42">
                  <c:v>0.24337007965009208</c:v>
                </c:pt>
                <c:pt idx="43" formatCode="_(* #,##0.00_);_(* \(#,##0.00\);_(* &quot;-&quot;??_);_(@_)">
                  <c:v>0.74465308319414469</c:v>
                </c:pt>
                <c:pt idx="44" formatCode="_(* #,##0.00_);_(* \(#,##0.00\);_(* &quot;-&quot;??_);_(@_)">
                  <c:v>0.73380723322153985</c:v>
                </c:pt>
                <c:pt idx="45" formatCode="_(* #,##0.00_);_(* \(#,##0.00\);_(* &quot;-&quot;??_);_(@_)">
                  <c:v>0.74259899840952348</c:v>
                </c:pt>
                <c:pt idx="46" formatCode="_(* #,##0.00_);_(* \(#,##0.00\);_(* &quot;-&quot;??_);_(@_)">
                  <c:v>0.64837923356929106</c:v>
                </c:pt>
                <c:pt idx="47" formatCode="_(* #,##0.00_);_(* \(#,##0.00\);_(* &quot;-&quot;??_);_(@_)">
                  <c:v>0.6437413266382751</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2021</c:v>
                </c:pt>
              </c:strCache>
            </c:strRef>
          </c:tx>
          <c:spPr>
            <a:solidFill>
              <a:schemeClr val="accent2"/>
            </a:solidFill>
          </c:spPr>
          <c:invertIfNegative val="0"/>
          <c:cat>
            <c:multiLvlStrRef>
              <c:f>'6. FP RER'!$S$6:$T$53</c:f>
              <c:multiLvlStrCache>
                <c:ptCount val="48"/>
                <c:lvl>
                  <c:pt idx="0">
                    <c:v>C.H. CHANCAY</c:v>
                  </c:pt>
                  <c:pt idx="1">
                    <c:v>C.H. RENOVANDES H1</c:v>
                  </c:pt>
                  <c:pt idx="2">
                    <c:v>C.H. 8 DE AGOSTO</c:v>
                  </c:pt>
                  <c:pt idx="3">
                    <c:v>C.H. RUCUY</c:v>
                  </c:pt>
                  <c:pt idx="4">
                    <c:v>C.H. POTRERO</c:v>
                  </c:pt>
                  <c:pt idx="5">
                    <c:v>C.H. RUNATULLO III</c:v>
                  </c:pt>
                  <c:pt idx="6">
                    <c:v>C.H. LAS PIZARRAS</c:v>
                  </c:pt>
                  <c:pt idx="7">
                    <c:v>C.H. YARUCAYA</c:v>
                  </c:pt>
                  <c:pt idx="8">
                    <c:v>C.H. ÁNGEL II</c:v>
                  </c:pt>
                  <c:pt idx="9">
                    <c:v>C.H. ÁNGEL III</c:v>
                  </c:pt>
                  <c:pt idx="10">
                    <c:v>C.H. ÁNGEL I</c:v>
                  </c:pt>
                  <c:pt idx="11">
                    <c:v>C.H. RUNATULLO II</c:v>
                  </c:pt>
                  <c:pt idx="12">
                    <c:v>C.H. CARHUAC</c:v>
                  </c:pt>
                  <c:pt idx="13">
                    <c:v>C.H. MANTA I</c:v>
                  </c:pt>
                  <c:pt idx="14">
                    <c:v>C.H. CARHUAQUERO IV</c:v>
                  </c:pt>
                  <c:pt idx="15">
                    <c:v>C.H. HUASAHUASI II</c:v>
                  </c:pt>
                  <c:pt idx="16">
                    <c:v>C.H. POECHOS II</c:v>
                  </c:pt>
                  <c:pt idx="17">
                    <c:v>C.H. HUASAHUASI I</c:v>
                  </c:pt>
                  <c:pt idx="18">
                    <c:v>C.H. LA JOYA</c:v>
                  </c:pt>
                  <c:pt idx="19">
                    <c:v>C.H. EL CARMEN</c:v>
                  </c:pt>
                  <c:pt idx="20">
                    <c:v>C.H. CAÑA BRAVA</c:v>
                  </c:pt>
                  <c:pt idx="21">
                    <c:v>C.H. SANTA CRUZ II</c:v>
                  </c:pt>
                  <c:pt idx="22">
                    <c:v>C.H. SANTA CRUZ I</c:v>
                  </c:pt>
                  <c:pt idx="23">
                    <c:v>C.H. YANAPAMPA</c:v>
                  </c:pt>
                  <c:pt idx="24">
                    <c:v>C.H. IMPERIAL</c:v>
                  </c:pt>
                  <c:pt idx="25">
                    <c:v>C.H. CANCHAYLLO</c:v>
                  </c:pt>
                  <c:pt idx="26">
                    <c:v>C.H. RONCADOR</c:v>
                  </c:pt>
                  <c:pt idx="27">
                    <c:v>C.H. HER 1</c:v>
                  </c:pt>
                  <c:pt idx="28">
                    <c:v>C.H. PURMACANA</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PANAMERICANA SOLAR</c:v>
                  </c:pt>
                  <c:pt idx="39">
                    <c:v>C.S. TACNA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RER'!$V$6:$V$53</c:f>
              <c:numCache>
                <c:formatCode>0.000</c:formatCode>
                <c:ptCount val="48"/>
                <c:pt idx="0">
                  <c:v>0.95921939735842521</c:v>
                </c:pt>
                <c:pt idx="1">
                  <c:v>0.96356886092406091</c:v>
                </c:pt>
                <c:pt idx="2">
                  <c:v>0.65979033827586553</c:v>
                </c:pt>
                <c:pt idx="3">
                  <c:v>0.90331060974907929</c:v>
                </c:pt>
                <c:pt idx="4">
                  <c:v>0.88340288857963856</c:v>
                </c:pt>
                <c:pt idx="5">
                  <c:v>0.83536515362257646</c:v>
                </c:pt>
                <c:pt idx="6">
                  <c:v>0.89434485850373924</c:v>
                </c:pt>
                <c:pt idx="7">
                  <c:v>1</c:v>
                </c:pt>
                <c:pt idx="8">
                  <c:v>0.84198601902431902</c:v>
                </c:pt>
                <c:pt idx="9">
                  <c:v>0.83098565343827269</c:v>
                </c:pt>
                <c:pt idx="10">
                  <c:v>0.79541096823434032</c:v>
                </c:pt>
                <c:pt idx="11">
                  <c:v>0.71138494517911288</c:v>
                </c:pt>
                <c:pt idx="12">
                  <c:v>0.74651148434622472</c:v>
                </c:pt>
                <c:pt idx="13">
                  <c:v>0.55710732366482496</c:v>
                </c:pt>
                <c:pt idx="14">
                  <c:v>0.89258490688774961</c:v>
                </c:pt>
                <c:pt idx="15">
                  <c:v>0.79969386147174026</c:v>
                </c:pt>
                <c:pt idx="16">
                  <c:v>0.67819389027533439</c:v>
                </c:pt>
                <c:pt idx="17">
                  <c:v>0.77785482350356661</c:v>
                </c:pt>
                <c:pt idx="18">
                  <c:v>0.79870274108580497</c:v>
                </c:pt>
                <c:pt idx="19">
                  <c:v>0.72973511370075594</c:v>
                </c:pt>
                <c:pt idx="20">
                  <c:v>0.8626714885377792</c:v>
                </c:pt>
                <c:pt idx="21">
                  <c:v>0.69179606561654106</c:v>
                </c:pt>
                <c:pt idx="22">
                  <c:v>0.67935377102459527</c:v>
                </c:pt>
                <c:pt idx="23">
                  <c:v>0.89359154923426054</c:v>
                </c:pt>
                <c:pt idx="24">
                  <c:v>0.77791514050022947</c:v>
                </c:pt>
                <c:pt idx="25">
                  <c:v>0.65346431977600294</c:v>
                </c:pt>
                <c:pt idx="26">
                  <c:v>0.69266492327903739</c:v>
                </c:pt>
                <c:pt idx="27">
                  <c:v>0.45284137726913981</c:v>
                </c:pt>
                <c:pt idx="28">
                  <c:v>0.25001480233468931</c:v>
                </c:pt>
                <c:pt idx="29">
                  <c:v>0.49951754734812887</c:v>
                </c:pt>
                <c:pt idx="30">
                  <c:v>0.6105069610214785</c:v>
                </c:pt>
                <c:pt idx="31">
                  <c:v>0.40005060845185364</c:v>
                </c:pt>
                <c:pt idx="32">
                  <c:v>0.64485289684766334</c:v>
                </c:pt>
                <c:pt idx="33">
                  <c:v>0.40277185111816094</c:v>
                </c:pt>
                <c:pt idx="34">
                  <c:v>0.22526203770259587</c:v>
                </c:pt>
                <c:pt idx="35">
                  <c:v>0.16128854458335964</c:v>
                </c:pt>
                <c:pt idx="36">
                  <c:v>0.32729608374237001</c:v>
                </c:pt>
                <c:pt idx="37">
                  <c:v>0.25583823463514077</c:v>
                </c:pt>
                <c:pt idx="38">
                  <c:v>0.3211948695039134</c:v>
                </c:pt>
                <c:pt idx="39">
                  <c:v>0.31290277719267962</c:v>
                </c:pt>
                <c:pt idx="40">
                  <c:v>0.33201249503625685</c:v>
                </c:pt>
                <c:pt idx="41">
                  <c:v>0.23619736418047879</c:v>
                </c:pt>
                <c:pt idx="42">
                  <c:v>0.23736586320211789</c:v>
                </c:pt>
                <c:pt idx="43">
                  <c:v>0.8538768363710304</c:v>
                </c:pt>
                <c:pt idx="44">
                  <c:v>0.86261552375474582</c:v>
                </c:pt>
                <c:pt idx="45">
                  <c:v>0.88169674942144216</c:v>
                </c:pt>
                <c:pt idx="46">
                  <c:v>0.69355076518377845</c:v>
                </c:pt>
                <c:pt idx="47">
                  <c:v>0.63098806903199822</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2022</c:v>
                </c:pt>
              </c:strCache>
            </c:strRef>
          </c:tx>
          <c:spPr>
            <a:solidFill>
              <a:srgbClr val="0077A5"/>
            </a:solidFill>
          </c:spPr>
          <c:invertIfNegative val="0"/>
          <c:cat>
            <c:strRef>
              <c:f>'7. Generacion empresa'!$L$4:$L$67</c:f>
              <c:strCache>
                <c:ptCount val="64"/>
                <c:pt idx="0">
                  <c:v>ELECTRO ZAÑA</c:v>
                </c:pt>
                <c:pt idx="1">
                  <c:v>SHOUGESA</c:v>
                </c:pt>
                <c:pt idx="2">
                  <c:v>INVERSION DE ENERGÍA RENOVABLES</c:v>
                </c:pt>
                <c:pt idx="3">
                  <c:v>ATRIA</c:v>
                </c:pt>
                <c:pt idx="4">
                  <c:v>PLANTA  ETEN</c:v>
                </c:pt>
                <c:pt idx="5">
                  <c:v>HYDRO PATAPO</c:v>
                </c:pt>
                <c:pt idx="6">
                  <c:v>IYEPSA</c:v>
                </c:pt>
                <c:pt idx="7">
                  <c:v>COLCA SOLAR</c:v>
                </c:pt>
                <c:pt idx="8">
                  <c:v>CERRO VERDE</c:v>
                </c:pt>
                <c:pt idx="9">
                  <c:v>SAMAY I</c:v>
                </c:pt>
                <c:pt idx="10">
                  <c:v>EGECSAC</c:v>
                </c:pt>
                <c:pt idx="11">
                  <c:v>MAJA ENERGIA</c:v>
                </c:pt>
                <c:pt idx="12">
                  <c:v>CENTRALES SANTA ROSA</c:v>
                </c:pt>
                <c:pt idx="13">
                  <c:v>ELECTRICA YANAPAMPA</c:v>
                </c:pt>
                <c:pt idx="14">
                  <c:v>HIDROCAÑETE</c:v>
                </c:pt>
                <c:pt idx="15">
                  <c:v>MOQUEGUA FV</c:v>
                </c:pt>
                <c:pt idx="16">
                  <c:v>REPARTICION</c:v>
                </c:pt>
                <c:pt idx="17">
                  <c:v>TACNA SOLAR</c:v>
                </c:pt>
                <c:pt idx="18">
                  <c:v>MAJES</c:v>
                </c:pt>
                <c:pt idx="19">
                  <c:v>AGROAURORA</c:v>
                </c:pt>
                <c:pt idx="20">
                  <c:v>PANAMERICANA SOLAR</c:v>
                </c:pt>
                <c:pt idx="21">
                  <c:v>GR PAINO</c:v>
                </c:pt>
                <c:pt idx="22">
                  <c:v>SDF ENERGIA</c:v>
                </c:pt>
                <c:pt idx="23">
                  <c:v>SAN JACINTO</c:v>
                </c:pt>
                <c:pt idx="24">
                  <c:v>GR TARUCA</c:v>
                </c:pt>
                <c:pt idx="25">
                  <c:v>PETRAMAS</c:v>
                </c:pt>
                <c:pt idx="26">
                  <c:v>BIOENERGIA</c:v>
                </c:pt>
                <c:pt idx="27">
                  <c:v>AIPSA</c:v>
                </c:pt>
                <c:pt idx="28">
                  <c:v>ANDEAN POWER</c:v>
                </c:pt>
                <c:pt idx="29">
                  <c:v>RIO BAÑOS</c:v>
                </c:pt>
                <c:pt idx="30">
                  <c:v>RIO DOBLE</c:v>
                </c:pt>
                <c:pt idx="31">
                  <c:v>AGUA AZUL</c:v>
                </c:pt>
                <c:pt idx="32">
                  <c:v>GENERACIÓN ANDINA</c:v>
                </c:pt>
                <c:pt idx="33">
                  <c:v>HUAURA POWER</c:v>
                </c:pt>
                <c:pt idx="34">
                  <c:v>P.E. MARCONA</c:v>
                </c:pt>
                <c:pt idx="35">
                  <c:v>CELEPSA RENOVABLES</c:v>
                </c:pt>
                <c:pt idx="36">
                  <c:v>HIDROELECTRICA HUANCHOR</c:v>
                </c:pt>
                <c:pt idx="37">
                  <c:v>SANTA ANA</c:v>
                </c:pt>
                <c:pt idx="38">
                  <c:v>SINERSA</c:v>
                </c:pt>
                <c:pt idx="39">
                  <c:v>EGESUR</c:v>
                </c:pt>
                <c:pt idx="40">
                  <c:v>GEPSA</c:v>
                </c:pt>
                <c:pt idx="41">
                  <c:v>EMGE JUNÍN</c:v>
                </c:pt>
                <c:pt idx="42">
                  <c:v>EMGE HUANZA</c:v>
                </c:pt>
                <c:pt idx="43">
                  <c:v>LA VIRGEN</c:v>
                </c:pt>
                <c:pt idx="44">
                  <c:v>TERMOSELVA</c:v>
                </c:pt>
                <c:pt idx="45">
                  <c:v>P.E. TRES HERMANAS</c:v>
                </c:pt>
                <c:pt idx="46">
                  <c:v>SAN GABAN</c:v>
                </c:pt>
                <c:pt idx="47">
                  <c:v>ENERGÍA EÓLICA</c:v>
                </c:pt>
                <c:pt idx="48">
                  <c:v>ENEL GENERACION PIURA</c:v>
                </c:pt>
                <c:pt idx="49">
                  <c:v>INLAND</c:v>
                </c:pt>
                <c:pt idx="50">
                  <c:v>CELEPSA</c:v>
                </c:pt>
                <c:pt idx="51">
                  <c:v>EGASA</c:v>
                </c:pt>
                <c:pt idx="52">
                  <c:v>CHINANGO</c:v>
                </c:pt>
                <c:pt idx="53">
                  <c:v>ENEL GREEN POWER PERU</c:v>
                </c:pt>
                <c:pt idx="54">
                  <c:v>EMGE HUALLAGA</c:v>
                </c:pt>
                <c:pt idx="55">
                  <c:v>EGEMSA</c:v>
                </c:pt>
                <c:pt idx="56">
                  <c:v>TERMOCHILCA</c:v>
                </c:pt>
                <c:pt idx="57">
                  <c:v>ORAZUL ENERGY PERÚ</c:v>
                </c:pt>
                <c:pt idx="58">
                  <c:v>STATKRAFT</c:v>
                </c:pt>
                <c:pt idx="59">
                  <c:v>FENIX POWER</c:v>
                </c:pt>
                <c:pt idx="60">
                  <c:v>ELECTROPERU</c:v>
                </c:pt>
                <c:pt idx="61">
                  <c:v>ENEL GENERACION PERU</c:v>
                </c:pt>
                <c:pt idx="62">
                  <c:v>ENGIE</c:v>
                </c:pt>
                <c:pt idx="63">
                  <c:v>KALLPA</c:v>
                </c:pt>
              </c:strCache>
            </c:strRef>
          </c:cat>
          <c:val>
            <c:numRef>
              <c:f>'7. Generacion empresa'!$M$4:$M$67</c:f>
              <c:numCache>
                <c:formatCode>General</c:formatCode>
                <c:ptCount val="64"/>
                <c:pt idx="1">
                  <c:v>0</c:v>
                </c:pt>
                <c:pt idx="2">
                  <c:v>0</c:v>
                </c:pt>
                <c:pt idx="3">
                  <c:v>0</c:v>
                </c:pt>
                <c:pt idx="4">
                  <c:v>1.951816E-2</c:v>
                </c:pt>
                <c:pt idx="5">
                  <c:v>5.9368000000000004E-2</c:v>
                </c:pt>
                <c:pt idx="6">
                  <c:v>0.17567353499999999</c:v>
                </c:pt>
                <c:pt idx="7">
                  <c:v>0.2395235</c:v>
                </c:pt>
                <c:pt idx="8">
                  <c:v>0.39333681999999998</c:v>
                </c:pt>
                <c:pt idx="9">
                  <c:v>0.42671150000000002</c:v>
                </c:pt>
                <c:pt idx="10">
                  <c:v>1.2439878475000001</c:v>
                </c:pt>
                <c:pt idx="11">
                  <c:v>1.33232325</c:v>
                </c:pt>
                <c:pt idx="12">
                  <c:v>1.3572137575000001</c:v>
                </c:pt>
                <c:pt idx="13">
                  <c:v>1.83194685</c:v>
                </c:pt>
                <c:pt idx="14">
                  <c:v>2.0987</c:v>
                </c:pt>
                <c:pt idx="15">
                  <c:v>3.1572381475000002</c:v>
                </c:pt>
                <c:pt idx="16">
                  <c:v>3.2684066824999998</c:v>
                </c:pt>
                <c:pt idx="17">
                  <c:v>3.3274599450000002</c:v>
                </c:pt>
                <c:pt idx="18">
                  <c:v>3.4355207999999999</c:v>
                </c:pt>
                <c:pt idx="19">
                  <c:v>3.6835481400000001</c:v>
                </c:pt>
                <c:pt idx="20">
                  <c:v>3.7065928475000001</c:v>
                </c:pt>
                <c:pt idx="21">
                  <c:v>3.7820845374999998</c:v>
                </c:pt>
                <c:pt idx="22">
                  <c:v>4.4385579999999996</c:v>
                </c:pt>
                <c:pt idx="23">
                  <c:v>4.6538535124999996</c:v>
                </c:pt>
                <c:pt idx="24">
                  <c:v>5.2907613174999994</c:v>
                </c:pt>
                <c:pt idx="25">
                  <c:v>6.5507768749999995</c:v>
                </c:pt>
                <c:pt idx="26">
                  <c:v>6.7508586225000009</c:v>
                </c:pt>
                <c:pt idx="27">
                  <c:v>7.1441898975000004</c:v>
                </c:pt>
                <c:pt idx="28">
                  <c:v>7.1542922874999997</c:v>
                </c:pt>
                <c:pt idx="29">
                  <c:v>7.7094401350000004</c:v>
                </c:pt>
                <c:pt idx="30">
                  <c:v>10.89432549</c:v>
                </c:pt>
                <c:pt idx="31">
                  <c:v>10.9936367</c:v>
                </c:pt>
                <c:pt idx="32">
                  <c:v>11.010194615</c:v>
                </c:pt>
                <c:pt idx="33">
                  <c:v>12.23145675</c:v>
                </c:pt>
                <c:pt idx="34">
                  <c:v>12.8119535225</c:v>
                </c:pt>
                <c:pt idx="35">
                  <c:v>12.90555648</c:v>
                </c:pt>
                <c:pt idx="36">
                  <c:v>13.2105774825</c:v>
                </c:pt>
                <c:pt idx="37">
                  <c:v>14.366262819999999</c:v>
                </c:pt>
                <c:pt idx="38">
                  <c:v>16.6404369575</c:v>
                </c:pt>
                <c:pt idx="39">
                  <c:v>16.858131397499999</c:v>
                </c:pt>
                <c:pt idx="40">
                  <c:v>18.969125805000001</c:v>
                </c:pt>
                <c:pt idx="41">
                  <c:v>19.703474180000001</c:v>
                </c:pt>
                <c:pt idx="42">
                  <c:v>25.91768429</c:v>
                </c:pt>
                <c:pt idx="43">
                  <c:v>30.790068467499999</c:v>
                </c:pt>
                <c:pt idx="44">
                  <c:v>35.846402499999996</c:v>
                </c:pt>
                <c:pt idx="45">
                  <c:v>38.330881479999995</c:v>
                </c:pt>
                <c:pt idx="46">
                  <c:v>46.266294557500004</c:v>
                </c:pt>
                <c:pt idx="47">
                  <c:v>49.208549675</c:v>
                </c:pt>
                <c:pt idx="48">
                  <c:v>58.959845500000007</c:v>
                </c:pt>
                <c:pt idx="49">
                  <c:v>60.393483797499997</c:v>
                </c:pt>
                <c:pt idx="50">
                  <c:v>65.60982611</c:v>
                </c:pt>
                <c:pt idx="51">
                  <c:v>69.968384754999988</c:v>
                </c:pt>
                <c:pt idx="52">
                  <c:v>70.44794675</c:v>
                </c:pt>
                <c:pt idx="53">
                  <c:v>76.601155750000004</c:v>
                </c:pt>
                <c:pt idx="54">
                  <c:v>97.532173937500005</c:v>
                </c:pt>
                <c:pt idx="55">
                  <c:v>109.94233175000002</c:v>
                </c:pt>
                <c:pt idx="56">
                  <c:v>135.538457945</c:v>
                </c:pt>
                <c:pt idx="57">
                  <c:v>151.09517499999998</c:v>
                </c:pt>
                <c:pt idx="58">
                  <c:v>171.90991249000001</c:v>
                </c:pt>
                <c:pt idx="59">
                  <c:v>386.31228400750001</c:v>
                </c:pt>
                <c:pt idx="60">
                  <c:v>602.84424528</c:v>
                </c:pt>
                <c:pt idx="61">
                  <c:v>610.76099250000004</c:v>
                </c:pt>
                <c:pt idx="62">
                  <c:v>627.4877178050001</c:v>
                </c:pt>
                <c:pt idx="63">
                  <c:v>768.87543725</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2021</c:v>
                </c:pt>
              </c:strCache>
            </c:strRef>
          </c:tx>
          <c:spPr>
            <a:solidFill>
              <a:schemeClr val="accent2"/>
            </a:solidFill>
          </c:spPr>
          <c:invertIfNegative val="0"/>
          <c:cat>
            <c:strRef>
              <c:f>'7. Generacion empresa'!$L$4:$L$67</c:f>
              <c:strCache>
                <c:ptCount val="64"/>
                <c:pt idx="0">
                  <c:v>ELECTRO ZAÑA</c:v>
                </c:pt>
                <c:pt idx="1">
                  <c:v>SHOUGESA</c:v>
                </c:pt>
                <c:pt idx="2">
                  <c:v>INVERSION DE ENERGÍA RENOVABLES</c:v>
                </c:pt>
                <c:pt idx="3">
                  <c:v>ATRIA</c:v>
                </c:pt>
                <c:pt idx="4">
                  <c:v>PLANTA  ETEN</c:v>
                </c:pt>
                <c:pt idx="5">
                  <c:v>HYDRO PATAPO</c:v>
                </c:pt>
                <c:pt idx="6">
                  <c:v>IYEPSA</c:v>
                </c:pt>
                <c:pt idx="7">
                  <c:v>COLCA SOLAR</c:v>
                </c:pt>
                <c:pt idx="8">
                  <c:v>CERRO VERDE</c:v>
                </c:pt>
                <c:pt idx="9">
                  <c:v>SAMAY I</c:v>
                </c:pt>
                <c:pt idx="10">
                  <c:v>EGECSAC</c:v>
                </c:pt>
                <c:pt idx="11">
                  <c:v>MAJA ENERGIA</c:v>
                </c:pt>
                <c:pt idx="12">
                  <c:v>CENTRALES SANTA ROSA</c:v>
                </c:pt>
                <c:pt idx="13">
                  <c:v>ELECTRICA YANAPAMPA</c:v>
                </c:pt>
                <c:pt idx="14">
                  <c:v>HIDROCAÑETE</c:v>
                </c:pt>
                <c:pt idx="15">
                  <c:v>MOQUEGUA FV</c:v>
                </c:pt>
                <c:pt idx="16">
                  <c:v>REPARTICION</c:v>
                </c:pt>
                <c:pt idx="17">
                  <c:v>TACNA SOLAR</c:v>
                </c:pt>
                <c:pt idx="18">
                  <c:v>MAJES</c:v>
                </c:pt>
                <c:pt idx="19">
                  <c:v>AGROAURORA</c:v>
                </c:pt>
                <c:pt idx="20">
                  <c:v>PANAMERICANA SOLAR</c:v>
                </c:pt>
                <c:pt idx="21">
                  <c:v>GR PAINO</c:v>
                </c:pt>
                <c:pt idx="22">
                  <c:v>SDF ENERGIA</c:v>
                </c:pt>
                <c:pt idx="23">
                  <c:v>SAN JACINTO</c:v>
                </c:pt>
                <c:pt idx="24">
                  <c:v>GR TARUCA</c:v>
                </c:pt>
                <c:pt idx="25">
                  <c:v>PETRAMAS</c:v>
                </c:pt>
                <c:pt idx="26">
                  <c:v>BIOENERGIA</c:v>
                </c:pt>
                <c:pt idx="27">
                  <c:v>AIPSA</c:v>
                </c:pt>
                <c:pt idx="28">
                  <c:v>ANDEAN POWER</c:v>
                </c:pt>
                <c:pt idx="29">
                  <c:v>RIO BAÑOS</c:v>
                </c:pt>
                <c:pt idx="30">
                  <c:v>RIO DOBLE</c:v>
                </c:pt>
                <c:pt idx="31">
                  <c:v>AGUA AZUL</c:v>
                </c:pt>
                <c:pt idx="32">
                  <c:v>GENERACIÓN ANDINA</c:v>
                </c:pt>
                <c:pt idx="33">
                  <c:v>HUAURA POWER</c:v>
                </c:pt>
                <c:pt idx="34">
                  <c:v>P.E. MARCONA</c:v>
                </c:pt>
                <c:pt idx="35">
                  <c:v>CELEPSA RENOVABLES</c:v>
                </c:pt>
                <c:pt idx="36">
                  <c:v>HIDROELECTRICA HUANCHOR</c:v>
                </c:pt>
                <c:pt idx="37">
                  <c:v>SANTA ANA</c:v>
                </c:pt>
                <c:pt idx="38">
                  <c:v>SINERSA</c:v>
                </c:pt>
                <c:pt idx="39">
                  <c:v>EGESUR</c:v>
                </c:pt>
                <c:pt idx="40">
                  <c:v>GEPSA</c:v>
                </c:pt>
                <c:pt idx="41">
                  <c:v>EMGE JUNÍN</c:v>
                </c:pt>
                <c:pt idx="42">
                  <c:v>EMGE HUANZA</c:v>
                </c:pt>
                <c:pt idx="43">
                  <c:v>LA VIRGEN</c:v>
                </c:pt>
                <c:pt idx="44">
                  <c:v>TERMOSELVA</c:v>
                </c:pt>
                <c:pt idx="45">
                  <c:v>P.E. TRES HERMANAS</c:v>
                </c:pt>
                <c:pt idx="46">
                  <c:v>SAN GABAN</c:v>
                </c:pt>
                <c:pt idx="47">
                  <c:v>ENERGÍA EÓLICA</c:v>
                </c:pt>
                <c:pt idx="48">
                  <c:v>ENEL GENERACION PIURA</c:v>
                </c:pt>
                <c:pt idx="49">
                  <c:v>INLAND</c:v>
                </c:pt>
                <c:pt idx="50">
                  <c:v>CELEPSA</c:v>
                </c:pt>
                <c:pt idx="51">
                  <c:v>EGASA</c:v>
                </c:pt>
                <c:pt idx="52">
                  <c:v>CHINANGO</c:v>
                </c:pt>
                <c:pt idx="53">
                  <c:v>ENEL GREEN POWER PERU</c:v>
                </c:pt>
                <c:pt idx="54">
                  <c:v>EMGE HUALLAGA</c:v>
                </c:pt>
                <c:pt idx="55">
                  <c:v>EGEMSA</c:v>
                </c:pt>
                <c:pt idx="56">
                  <c:v>TERMOCHILCA</c:v>
                </c:pt>
                <c:pt idx="57">
                  <c:v>ORAZUL ENERGY PERÚ</c:v>
                </c:pt>
                <c:pt idx="58">
                  <c:v>STATKRAFT</c:v>
                </c:pt>
                <c:pt idx="59">
                  <c:v>FENIX POWER</c:v>
                </c:pt>
                <c:pt idx="60">
                  <c:v>ELECTROPERU</c:v>
                </c:pt>
                <c:pt idx="61">
                  <c:v>ENEL GENERACION PERU</c:v>
                </c:pt>
                <c:pt idx="62">
                  <c:v>ENGIE</c:v>
                </c:pt>
                <c:pt idx="63">
                  <c:v>KALLPA</c:v>
                </c:pt>
              </c:strCache>
            </c:strRef>
          </c:cat>
          <c:val>
            <c:numRef>
              <c:f>'7. Generacion empresa'!$N$4:$N$67</c:f>
              <c:numCache>
                <c:formatCode>General</c:formatCode>
                <c:ptCount val="64"/>
                <c:pt idx="0">
                  <c:v>9.1583625399999988</c:v>
                </c:pt>
                <c:pt idx="1">
                  <c:v>0.77859313500000005</c:v>
                </c:pt>
                <c:pt idx="2">
                  <c:v>7.5211444449999991</c:v>
                </c:pt>
                <c:pt idx="3">
                  <c:v>0.30371019999999999</c:v>
                </c:pt>
                <c:pt idx="4">
                  <c:v>0.59797893999999996</c:v>
                </c:pt>
                <c:pt idx="5">
                  <c:v>0.18479599999999999</c:v>
                </c:pt>
                <c:pt idx="6">
                  <c:v>0.38433295000000001</c:v>
                </c:pt>
                <c:pt idx="8">
                  <c:v>0</c:v>
                </c:pt>
                <c:pt idx="9">
                  <c:v>0.80773220000000001</c:v>
                </c:pt>
                <c:pt idx="10">
                  <c:v>1.8214101550000001</c:v>
                </c:pt>
                <c:pt idx="11">
                  <c:v>1.3921643050000001</c:v>
                </c:pt>
                <c:pt idx="13">
                  <c:v>2.1523594775000001</c:v>
                </c:pt>
                <c:pt idx="14">
                  <c:v>1.9724000000000002</c:v>
                </c:pt>
                <c:pt idx="15">
                  <c:v>3.2716496075000001</c:v>
                </c:pt>
                <c:pt idx="16">
                  <c:v>3.3025214825</c:v>
                </c:pt>
                <c:pt idx="17">
                  <c:v>3.4419913625</c:v>
                </c:pt>
                <c:pt idx="18">
                  <c:v>3.2769572999999999</c:v>
                </c:pt>
                <c:pt idx="19">
                  <c:v>6.1763460699999992</c:v>
                </c:pt>
                <c:pt idx="20">
                  <c:v>3.9085683924999999</c:v>
                </c:pt>
                <c:pt idx="21">
                  <c:v>4.1920735350000005</c:v>
                </c:pt>
                <c:pt idx="22">
                  <c:v>4.4306151800000002</c:v>
                </c:pt>
                <c:pt idx="23">
                  <c:v>5.217454</c:v>
                </c:pt>
                <c:pt idx="24">
                  <c:v>6.0990137850000004</c:v>
                </c:pt>
                <c:pt idx="25">
                  <c:v>5.7301490749999999</c:v>
                </c:pt>
                <c:pt idx="26">
                  <c:v>7.0078906275000001</c:v>
                </c:pt>
                <c:pt idx="27">
                  <c:v>9.6311175724999991</c:v>
                </c:pt>
                <c:pt idx="28">
                  <c:v>8.0713270250000004</c:v>
                </c:pt>
                <c:pt idx="29">
                  <c:v>8.6438365699999995</c:v>
                </c:pt>
                <c:pt idx="30">
                  <c:v>11.9598513625</c:v>
                </c:pt>
                <c:pt idx="31">
                  <c:v>8.2153126424999989</c:v>
                </c:pt>
                <c:pt idx="32">
                  <c:v>8.1426670849999994</c:v>
                </c:pt>
                <c:pt idx="33">
                  <c:v>11.930665569999999</c:v>
                </c:pt>
                <c:pt idx="34">
                  <c:v>13.23948869</c:v>
                </c:pt>
                <c:pt idx="35">
                  <c:v>13.194489557500001</c:v>
                </c:pt>
                <c:pt idx="36">
                  <c:v>11.583227112499999</c:v>
                </c:pt>
                <c:pt idx="37">
                  <c:v>14.3996138975</c:v>
                </c:pt>
                <c:pt idx="38">
                  <c:v>16.245014170000001</c:v>
                </c:pt>
                <c:pt idx="39">
                  <c:v>12.710065015</c:v>
                </c:pt>
                <c:pt idx="40">
                  <c:v>22.310216005000001</c:v>
                </c:pt>
                <c:pt idx="41">
                  <c:v>18.822407947500004</c:v>
                </c:pt>
                <c:pt idx="42">
                  <c:v>32.441926084999999</c:v>
                </c:pt>
                <c:pt idx="43">
                  <c:v>24.978724379999999</c:v>
                </c:pt>
                <c:pt idx="44">
                  <c:v>22.330118052499998</c:v>
                </c:pt>
                <c:pt idx="45">
                  <c:v>38.573131142500003</c:v>
                </c:pt>
                <c:pt idx="46">
                  <c:v>44.163238017499999</c:v>
                </c:pt>
                <c:pt idx="47">
                  <c:v>28.484726132500001</c:v>
                </c:pt>
                <c:pt idx="48">
                  <c:v>64.7966159275</c:v>
                </c:pt>
                <c:pt idx="49">
                  <c:v>54.009388967500001</c:v>
                </c:pt>
                <c:pt idx="50">
                  <c:v>67.067425929999999</c:v>
                </c:pt>
                <c:pt idx="51">
                  <c:v>70.039126034999995</c:v>
                </c:pt>
                <c:pt idx="52">
                  <c:v>67.30903233250001</c:v>
                </c:pt>
                <c:pt idx="53">
                  <c:v>73.188274954999997</c:v>
                </c:pt>
                <c:pt idx="54">
                  <c:v>94.202229924999997</c:v>
                </c:pt>
                <c:pt idx="55">
                  <c:v>100.79807644</c:v>
                </c:pt>
                <c:pt idx="56">
                  <c:v>78.170038577499994</c:v>
                </c:pt>
                <c:pt idx="57">
                  <c:v>158.0561784775</c:v>
                </c:pt>
                <c:pt idx="58">
                  <c:v>154.75683293</c:v>
                </c:pt>
                <c:pt idx="59">
                  <c:v>367.01887198749995</c:v>
                </c:pt>
                <c:pt idx="60">
                  <c:v>586.60518911999998</c:v>
                </c:pt>
                <c:pt idx="61">
                  <c:v>586.20104074750009</c:v>
                </c:pt>
                <c:pt idx="62">
                  <c:v>652.32864483749984</c:v>
                </c:pt>
                <c:pt idx="63">
                  <c:v>800.45004372250003</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4553.9270599999991</c:v>
                </c:pt>
                <c:pt idx="1">
                  <c:v>4594.55105</c:v>
                </c:pt>
                <c:pt idx="2">
                  <c:v>4604.1638600000006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2455.9372199999998</c:v>
                </c:pt>
                <c:pt idx="1">
                  <c:v>2012.4400399999995</c:v>
                </c:pt>
                <c:pt idx="2">
                  <c:v>2265.9101700000001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136.90030000000002</c:v>
                </c:pt>
                <c:pt idx="1">
                  <c:v>302.64609999999999</c:v>
                </c:pt>
                <c:pt idx="2">
                  <c:v>255.22534999999999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2022</c:v>
                </c:pt>
              </c:strCache>
            </c:strRef>
          </c:tx>
          <c:spPr>
            <a:solidFill>
              <a:srgbClr val="0077A5"/>
            </a:solidFill>
          </c:spPr>
          <c:invertIfNegative val="0"/>
          <c:cat>
            <c:strRef>
              <c:f>'9. Pot. Empresa'!$L$7:$L$70</c:f>
              <c:strCache>
                <c:ptCount val="64"/>
                <c:pt idx="0">
                  <c:v>ELECTRO ZAÑA</c:v>
                </c:pt>
                <c:pt idx="1">
                  <c:v>COLCA SOLAR</c:v>
                </c:pt>
                <c:pt idx="2">
                  <c:v>ATRIA</c:v>
                </c:pt>
                <c:pt idx="3">
                  <c:v>REPARTICION</c:v>
                </c:pt>
                <c:pt idx="4">
                  <c:v>MAJES</c:v>
                </c:pt>
                <c:pt idx="5">
                  <c:v>INVERSION DE ENERGÍA RENOVABLES</c:v>
                </c:pt>
                <c:pt idx="6">
                  <c:v>TACNA SOLAR</c:v>
                </c:pt>
                <c:pt idx="7">
                  <c:v>SHOUGESA</c:v>
                </c:pt>
                <c:pt idx="8">
                  <c:v>SDF ENERGIA</c:v>
                </c:pt>
                <c:pt idx="9">
                  <c:v>SAMAY I</c:v>
                </c:pt>
                <c:pt idx="10">
                  <c:v>PLANTA  ETEN</c:v>
                </c:pt>
                <c:pt idx="11">
                  <c:v>PANAMERICANA SOLAR</c:v>
                </c:pt>
                <c:pt idx="12">
                  <c:v>MOQUEGUA FV</c:v>
                </c:pt>
                <c:pt idx="13">
                  <c:v>IYEPSA</c:v>
                </c:pt>
                <c:pt idx="14">
                  <c:v>HYDRO PATAPO</c:v>
                </c:pt>
                <c:pt idx="15">
                  <c:v>CERRO VERDE</c:v>
                </c:pt>
                <c:pt idx="16">
                  <c:v>AGROAURORA</c:v>
                </c:pt>
                <c:pt idx="17">
                  <c:v>EGECSAC</c:v>
                </c:pt>
                <c:pt idx="18">
                  <c:v>MAJA ENERGIA</c:v>
                </c:pt>
                <c:pt idx="19">
                  <c:v>CENTRALES SANTA ROSA</c:v>
                </c:pt>
                <c:pt idx="20">
                  <c:v>ELECTRICA YANAPAMPA</c:v>
                </c:pt>
                <c:pt idx="21">
                  <c:v>HIDROCAÑETE</c:v>
                </c:pt>
                <c:pt idx="22">
                  <c:v>GR PAINO</c:v>
                </c:pt>
                <c:pt idx="23">
                  <c:v>SAN JACINTO</c:v>
                </c:pt>
                <c:pt idx="24">
                  <c:v>GR TARUCA</c:v>
                </c:pt>
                <c:pt idx="25">
                  <c:v>PETRAMAS</c:v>
                </c:pt>
                <c:pt idx="26">
                  <c:v>BIOENERGIA</c:v>
                </c:pt>
                <c:pt idx="27">
                  <c:v>RIO BAÑOS</c:v>
                </c:pt>
                <c:pt idx="28">
                  <c:v>ANDEAN POWER</c:v>
                </c:pt>
                <c:pt idx="29">
                  <c:v>GENERACIÓN ANDINA</c:v>
                </c:pt>
                <c:pt idx="30">
                  <c:v>AIPSA</c:v>
                </c:pt>
                <c:pt idx="31">
                  <c:v>RIO DOBLE</c:v>
                </c:pt>
                <c:pt idx="32">
                  <c:v>HUAURA POWER</c:v>
                </c:pt>
                <c:pt idx="33">
                  <c:v>CELEPSA RENOVABLES</c:v>
                </c:pt>
                <c:pt idx="34">
                  <c:v>AGUA AZUL</c:v>
                </c:pt>
                <c:pt idx="35">
                  <c:v>HIDROELECTRICA HUANCHOR</c:v>
                </c:pt>
                <c:pt idx="36">
                  <c:v>P.E. MARCONA</c:v>
                </c:pt>
                <c:pt idx="37">
                  <c:v>SANTA ANA</c:v>
                </c:pt>
                <c:pt idx="38">
                  <c:v>SINERSA</c:v>
                </c:pt>
                <c:pt idx="39">
                  <c:v>EMGE JUNÍN</c:v>
                </c:pt>
                <c:pt idx="40">
                  <c:v>GEPSA</c:v>
                </c:pt>
                <c:pt idx="41">
                  <c:v>LA VIRGEN</c:v>
                </c:pt>
                <c:pt idx="42">
                  <c:v>EMGE HUANZA</c:v>
                </c:pt>
                <c:pt idx="43">
                  <c:v>EGESUR</c:v>
                </c:pt>
                <c:pt idx="44">
                  <c:v>ENEL GENERACION PIURA</c:v>
                </c:pt>
                <c:pt idx="45">
                  <c:v>P.E. TRES HERMANAS</c:v>
                </c:pt>
                <c:pt idx="46">
                  <c:v>INLAND</c:v>
                </c:pt>
                <c:pt idx="47">
                  <c:v>ENERGÍA EÓLICA</c:v>
                </c:pt>
                <c:pt idx="48">
                  <c:v>TERMOSELVA</c:v>
                </c:pt>
                <c:pt idx="49">
                  <c:v>SAN GABAN</c:v>
                </c:pt>
                <c:pt idx="50">
                  <c:v>EGASA</c:v>
                </c:pt>
                <c:pt idx="51">
                  <c:v>ENEL GREEN POWER PERU</c:v>
                </c:pt>
                <c:pt idx="52">
                  <c:v>EGEMSA</c:v>
                </c:pt>
                <c:pt idx="53">
                  <c:v>CHINANGO</c:v>
                </c:pt>
                <c:pt idx="54">
                  <c:v>EMGE HUALLAGA</c:v>
                </c:pt>
                <c:pt idx="55">
                  <c:v>CELEPSA</c:v>
                </c:pt>
                <c:pt idx="56">
                  <c:v>ORAZUL ENERGY PERÚ</c:v>
                </c:pt>
                <c:pt idx="57">
                  <c:v>TERMOCHILCA</c:v>
                </c:pt>
                <c:pt idx="58">
                  <c:v>STATKRAFT</c:v>
                </c:pt>
                <c:pt idx="59">
                  <c:v>FENIX POWER</c:v>
                </c:pt>
                <c:pt idx="60">
                  <c:v>ENGIE</c:v>
                </c:pt>
                <c:pt idx="61">
                  <c:v>ELECTROPERU</c:v>
                </c:pt>
                <c:pt idx="62">
                  <c:v>KALLPA</c:v>
                </c:pt>
                <c:pt idx="63">
                  <c:v>ENEL GENERACION PERU</c:v>
                </c:pt>
              </c:strCache>
            </c:strRef>
          </c:cat>
          <c:val>
            <c:numRef>
              <c:f>'9. Pot. Empresa'!$M$7:$M$70</c:f>
              <c:numCache>
                <c:formatCode>0</c:formatCode>
                <c:ptCount val="64"/>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1.5634600000000001</c:v>
                </c:pt>
                <c:pt idx="18">
                  <c:v>1.8420000000000001</c:v>
                </c:pt>
                <c:pt idx="19">
                  <c:v>2.0041799999999999</c:v>
                </c:pt>
                <c:pt idx="20">
                  <c:v>2.5990000000000002</c:v>
                </c:pt>
                <c:pt idx="21">
                  <c:v>3.6</c:v>
                </c:pt>
                <c:pt idx="22">
                  <c:v>4.91343</c:v>
                </c:pt>
                <c:pt idx="23">
                  <c:v>6.8490399999999996</c:v>
                </c:pt>
                <c:pt idx="24">
                  <c:v>7.09903</c:v>
                </c:pt>
                <c:pt idx="25">
                  <c:v>8.0152000000000001</c:v>
                </c:pt>
                <c:pt idx="26">
                  <c:v>9.5087200000000003</c:v>
                </c:pt>
                <c:pt idx="27">
                  <c:v>9.8667400000000001</c:v>
                </c:pt>
                <c:pt idx="28">
                  <c:v>11.82414</c:v>
                </c:pt>
                <c:pt idx="29">
                  <c:v>13.42886</c:v>
                </c:pt>
                <c:pt idx="30">
                  <c:v>15.379</c:v>
                </c:pt>
                <c:pt idx="31">
                  <c:v>15.969349999999999</c:v>
                </c:pt>
                <c:pt idx="32">
                  <c:v>17.332999999999998</c:v>
                </c:pt>
                <c:pt idx="33">
                  <c:v>17.91086</c:v>
                </c:pt>
                <c:pt idx="34">
                  <c:v>18.584409999999998</c:v>
                </c:pt>
                <c:pt idx="35">
                  <c:v>19.031759999999998</c:v>
                </c:pt>
                <c:pt idx="36">
                  <c:v>19.678349999999998</c:v>
                </c:pt>
                <c:pt idx="37">
                  <c:v>20.08079</c:v>
                </c:pt>
                <c:pt idx="38">
                  <c:v>22.876190000000001</c:v>
                </c:pt>
                <c:pt idx="39">
                  <c:v>23.914439999999999</c:v>
                </c:pt>
                <c:pt idx="40">
                  <c:v>24.358339999999998</c:v>
                </c:pt>
                <c:pt idx="41">
                  <c:v>34.318089999999998</c:v>
                </c:pt>
                <c:pt idx="42">
                  <c:v>47.774459999999998</c:v>
                </c:pt>
                <c:pt idx="43">
                  <c:v>48.037640000000003</c:v>
                </c:pt>
                <c:pt idx="44">
                  <c:v>49.036999999999999</c:v>
                </c:pt>
                <c:pt idx="45">
                  <c:v>60.343629999999997</c:v>
                </c:pt>
                <c:pt idx="46">
                  <c:v>82.535640000000001</c:v>
                </c:pt>
                <c:pt idx="47">
                  <c:v>85.439599999999999</c:v>
                </c:pt>
                <c:pt idx="48">
                  <c:v>87.43</c:v>
                </c:pt>
                <c:pt idx="49">
                  <c:v>97.51715999999999</c:v>
                </c:pt>
                <c:pt idx="50">
                  <c:v>118.81665</c:v>
                </c:pt>
                <c:pt idx="51">
                  <c:v>125.508</c:v>
                </c:pt>
                <c:pt idx="52">
                  <c:v>153.43099999999998</c:v>
                </c:pt>
                <c:pt idx="53">
                  <c:v>154.065</c:v>
                </c:pt>
                <c:pt idx="54">
                  <c:v>183.06565000000001</c:v>
                </c:pt>
                <c:pt idx="55">
                  <c:v>205.43982</c:v>
                </c:pt>
                <c:pt idx="56">
                  <c:v>253.20999999999998</c:v>
                </c:pt>
                <c:pt idx="57">
                  <c:v>290.59153000000003</c:v>
                </c:pt>
                <c:pt idx="58">
                  <c:v>298.49910999999997</c:v>
                </c:pt>
                <c:pt idx="59">
                  <c:v>559.52296000000001</c:v>
                </c:pt>
                <c:pt idx="60">
                  <c:v>805.27653000000009</c:v>
                </c:pt>
                <c:pt idx="61">
                  <c:v>851.00735999999995</c:v>
                </c:pt>
                <c:pt idx="62">
                  <c:v>1072.6349999999998</c:v>
                </c:pt>
                <c:pt idx="63">
                  <c:v>1108.1760000000002</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2021</c:v>
                </c:pt>
              </c:strCache>
            </c:strRef>
          </c:tx>
          <c:spPr>
            <a:solidFill>
              <a:srgbClr val="FF6600"/>
            </a:solidFill>
          </c:spPr>
          <c:invertIfNegative val="0"/>
          <c:cat>
            <c:strRef>
              <c:f>'9. Pot. Empresa'!$L$7:$L$70</c:f>
              <c:strCache>
                <c:ptCount val="64"/>
                <c:pt idx="0">
                  <c:v>ELECTRO ZAÑA</c:v>
                </c:pt>
                <c:pt idx="1">
                  <c:v>COLCA SOLAR</c:v>
                </c:pt>
                <c:pt idx="2">
                  <c:v>ATRIA</c:v>
                </c:pt>
                <c:pt idx="3">
                  <c:v>REPARTICION</c:v>
                </c:pt>
                <c:pt idx="4">
                  <c:v>MAJES</c:v>
                </c:pt>
                <c:pt idx="5">
                  <c:v>INVERSION DE ENERGÍA RENOVABLES</c:v>
                </c:pt>
                <c:pt idx="6">
                  <c:v>TACNA SOLAR</c:v>
                </c:pt>
                <c:pt idx="7">
                  <c:v>SHOUGESA</c:v>
                </c:pt>
                <c:pt idx="8">
                  <c:v>SDF ENERGIA</c:v>
                </c:pt>
                <c:pt idx="9">
                  <c:v>SAMAY I</c:v>
                </c:pt>
                <c:pt idx="10">
                  <c:v>PLANTA  ETEN</c:v>
                </c:pt>
                <c:pt idx="11">
                  <c:v>PANAMERICANA SOLAR</c:v>
                </c:pt>
                <c:pt idx="12">
                  <c:v>MOQUEGUA FV</c:v>
                </c:pt>
                <c:pt idx="13">
                  <c:v>IYEPSA</c:v>
                </c:pt>
                <c:pt idx="14">
                  <c:v>HYDRO PATAPO</c:v>
                </c:pt>
                <c:pt idx="15">
                  <c:v>CERRO VERDE</c:v>
                </c:pt>
                <c:pt idx="16">
                  <c:v>AGROAURORA</c:v>
                </c:pt>
                <c:pt idx="17">
                  <c:v>EGECSAC</c:v>
                </c:pt>
                <c:pt idx="18">
                  <c:v>MAJA ENERGIA</c:v>
                </c:pt>
                <c:pt idx="19">
                  <c:v>CENTRALES SANTA ROSA</c:v>
                </c:pt>
                <c:pt idx="20">
                  <c:v>ELECTRICA YANAPAMPA</c:v>
                </c:pt>
                <c:pt idx="21">
                  <c:v>HIDROCAÑETE</c:v>
                </c:pt>
                <c:pt idx="22">
                  <c:v>GR PAINO</c:v>
                </c:pt>
                <c:pt idx="23">
                  <c:v>SAN JACINTO</c:v>
                </c:pt>
                <c:pt idx="24">
                  <c:v>GR TARUCA</c:v>
                </c:pt>
                <c:pt idx="25">
                  <c:v>PETRAMAS</c:v>
                </c:pt>
                <c:pt idx="26">
                  <c:v>BIOENERGIA</c:v>
                </c:pt>
                <c:pt idx="27">
                  <c:v>RIO BAÑOS</c:v>
                </c:pt>
                <c:pt idx="28">
                  <c:v>ANDEAN POWER</c:v>
                </c:pt>
                <c:pt idx="29">
                  <c:v>GENERACIÓN ANDINA</c:v>
                </c:pt>
                <c:pt idx="30">
                  <c:v>AIPSA</c:v>
                </c:pt>
                <c:pt idx="31">
                  <c:v>RIO DOBLE</c:v>
                </c:pt>
                <c:pt idx="32">
                  <c:v>HUAURA POWER</c:v>
                </c:pt>
                <c:pt idx="33">
                  <c:v>CELEPSA RENOVABLES</c:v>
                </c:pt>
                <c:pt idx="34">
                  <c:v>AGUA AZUL</c:v>
                </c:pt>
                <c:pt idx="35">
                  <c:v>HIDROELECTRICA HUANCHOR</c:v>
                </c:pt>
                <c:pt idx="36">
                  <c:v>P.E. MARCONA</c:v>
                </c:pt>
                <c:pt idx="37">
                  <c:v>SANTA ANA</c:v>
                </c:pt>
                <c:pt idx="38">
                  <c:v>SINERSA</c:v>
                </c:pt>
                <c:pt idx="39">
                  <c:v>EMGE JUNÍN</c:v>
                </c:pt>
                <c:pt idx="40">
                  <c:v>GEPSA</c:v>
                </c:pt>
                <c:pt idx="41">
                  <c:v>LA VIRGEN</c:v>
                </c:pt>
                <c:pt idx="42">
                  <c:v>EMGE HUANZA</c:v>
                </c:pt>
                <c:pt idx="43">
                  <c:v>EGESUR</c:v>
                </c:pt>
                <c:pt idx="44">
                  <c:v>ENEL GENERACION PIURA</c:v>
                </c:pt>
                <c:pt idx="45">
                  <c:v>P.E. TRES HERMANAS</c:v>
                </c:pt>
                <c:pt idx="46">
                  <c:v>INLAND</c:v>
                </c:pt>
                <c:pt idx="47">
                  <c:v>ENERGÍA EÓLICA</c:v>
                </c:pt>
                <c:pt idx="48">
                  <c:v>TERMOSELVA</c:v>
                </c:pt>
                <c:pt idx="49">
                  <c:v>SAN GABAN</c:v>
                </c:pt>
                <c:pt idx="50">
                  <c:v>EGASA</c:v>
                </c:pt>
                <c:pt idx="51">
                  <c:v>ENEL GREEN POWER PERU</c:v>
                </c:pt>
                <c:pt idx="52">
                  <c:v>EGEMSA</c:v>
                </c:pt>
                <c:pt idx="53">
                  <c:v>CHINANGO</c:v>
                </c:pt>
                <c:pt idx="54">
                  <c:v>EMGE HUALLAGA</c:v>
                </c:pt>
                <c:pt idx="55">
                  <c:v>CELEPSA</c:v>
                </c:pt>
                <c:pt idx="56">
                  <c:v>ORAZUL ENERGY PERÚ</c:v>
                </c:pt>
                <c:pt idx="57">
                  <c:v>TERMOCHILCA</c:v>
                </c:pt>
                <c:pt idx="58">
                  <c:v>STATKRAFT</c:v>
                </c:pt>
                <c:pt idx="59">
                  <c:v>FENIX POWER</c:v>
                </c:pt>
                <c:pt idx="60">
                  <c:v>ENGIE</c:v>
                </c:pt>
                <c:pt idx="61">
                  <c:v>ELECTROPERU</c:v>
                </c:pt>
                <c:pt idx="62">
                  <c:v>KALLPA</c:v>
                </c:pt>
                <c:pt idx="63">
                  <c:v>ENEL GENERACION PERU</c:v>
                </c:pt>
              </c:strCache>
            </c:strRef>
          </c:cat>
          <c:val>
            <c:numRef>
              <c:f>'9. Pot. Empresa'!$N$7:$N$70</c:f>
              <c:numCache>
                <c:formatCode>0</c:formatCode>
                <c:ptCount val="64"/>
                <c:pt idx="0">
                  <c:v>11.201129999999999</c:v>
                </c:pt>
                <c:pt idx="2">
                  <c:v>0</c:v>
                </c:pt>
                <c:pt idx="3">
                  <c:v>0</c:v>
                </c:pt>
                <c:pt idx="4">
                  <c:v>0</c:v>
                </c:pt>
                <c:pt idx="5">
                  <c:v>9.2861399999999996</c:v>
                </c:pt>
                <c:pt idx="6">
                  <c:v>0</c:v>
                </c:pt>
                <c:pt idx="7">
                  <c:v>0</c:v>
                </c:pt>
                <c:pt idx="8">
                  <c:v>28.000039999999998</c:v>
                </c:pt>
                <c:pt idx="9">
                  <c:v>0</c:v>
                </c:pt>
                <c:pt idx="10">
                  <c:v>0</c:v>
                </c:pt>
                <c:pt idx="11">
                  <c:v>0</c:v>
                </c:pt>
                <c:pt idx="12">
                  <c:v>0</c:v>
                </c:pt>
                <c:pt idx="13">
                  <c:v>0</c:v>
                </c:pt>
                <c:pt idx="14">
                  <c:v>0.52800000000000002</c:v>
                </c:pt>
                <c:pt idx="15">
                  <c:v>0</c:v>
                </c:pt>
                <c:pt idx="16">
                  <c:v>12.644590000000001</c:v>
                </c:pt>
                <c:pt idx="17">
                  <c:v>2.5543200000000001</c:v>
                </c:pt>
                <c:pt idx="18">
                  <c:v>1.9338599999999999</c:v>
                </c:pt>
                <c:pt idx="20">
                  <c:v>2.6180699999999999</c:v>
                </c:pt>
                <c:pt idx="21">
                  <c:v>3.2</c:v>
                </c:pt>
                <c:pt idx="22">
                  <c:v>0</c:v>
                </c:pt>
                <c:pt idx="23">
                  <c:v>0</c:v>
                </c:pt>
                <c:pt idx="24">
                  <c:v>0.30436000000000002</c:v>
                </c:pt>
                <c:pt idx="25">
                  <c:v>9.6158000000000001</c:v>
                </c:pt>
                <c:pt idx="26">
                  <c:v>11.875</c:v>
                </c:pt>
                <c:pt idx="27">
                  <c:v>9.8742999999999999</c:v>
                </c:pt>
                <c:pt idx="28">
                  <c:v>18.254339999999999</c:v>
                </c:pt>
                <c:pt idx="29">
                  <c:v>11.10547</c:v>
                </c:pt>
                <c:pt idx="30">
                  <c:v>16.507770000000001</c:v>
                </c:pt>
                <c:pt idx="31">
                  <c:v>14.931290000000001</c:v>
                </c:pt>
                <c:pt idx="32">
                  <c:v>15.518419999999999</c:v>
                </c:pt>
                <c:pt idx="33">
                  <c:v>16.12743</c:v>
                </c:pt>
                <c:pt idx="34">
                  <c:v>8.1507699999999996</c:v>
                </c:pt>
                <c:pt idx="35">
                  <c:v>15.986270000000001</c:v>
                </c:pt>
                <c:pt idx="36">
                  <c:v>27.913160000000001</c:v>
                </c:pt>
                <c:pt idx="37">
                  <c:v>20.099779999999999</c:v>
                </c:pt>
                <c:pt idx="38">
                  <c:v>21.567419999999998</c:v>
                </c:pt>
                <c:pt idx="39">
                  <c:v>20.379280000000001</c:v>
                </c:pt>
                <c:pt idx="40">
                  <c:v>27.15512</c:v>
                </c:pt>
                <c:pt idx="41">
                  <c:v>28.0063</c:v>
                </c:pt>
                <c:pt idx="42">
                  <c:v>72.859000000000009</c:v>
                </c:pt>
                <c:pt idx="43">
                  <c:v>28.084899999999998</c:v>
                </c:pt>
                <c:pt idx="44">
                  <c:v>91.749669999999995</c:v>
                </c:pt>
                <c:pt idx="45">
                  <c:v>90.099869999999996</c:v>
                </c:pt>
                <c:pt idx="46">
                  <c:v>67.226389999999995</c:v>
                </c:pt>
                <c:pt idx="47">
                  <c:v>51.912120000000002</c:v>
                </c:pt>
                <c:pt idx="48">
                  <c:v>89.145039999999995</c:v>
                </c:pt>
                <c:pt idx="49">
                  <c:v>53.209540000000004</c:v>
                </c:pt>
                <c:pt idx="50">
                  <c:v>145.75068999999999</c:v>
                </c:pt>
                <c:pt idx="51">
                  <c:v>119.07773</c:v>
                </c:pt>
                <c:pt idx="52">
                  <c:v>125.73308</c:v>
                </c:pt>
                <c:pt idx="53">
                  <c:v>166.60892999999999</c:v>
                </c:pt>
                <c:pt idx="54">
                  <c:v>315.66933</c:v>
                </c:pt>
                <c:pt idx="55">
                  <c:v>157.25013999999999</c:v>
                </c:pt>
                <c:pt idx="56">
                  <c:v>205.41876000000005</c:v>
                </c:pt>
                <c:pt idx="57">
                  <c:v>290.87457999999998</c:v>
                </c:pt>
                <c:pt idx="58">
                  <c:v>256.80173000000002</c:v>
                </c:pt>
                <c:pt idx="59">
                  <c:v>540.08069</c:v>
                </c:pt>
                <c:pt idx="60">
                  <c:v>972.13833000000011</c:v>
                </c:pt>
                <c:pt idx="61">
                  <c:v>853.06079999999986</c:v>
                </c:pt>
                <c:pt idx="62">
                  <c:v>785.20920999999987</c:v>
                </c:pt>
                <c:pt idx="63">
                  <c:v>1060.53989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formatCode="0.0">
                  <c:v>221.41</c:v>
                </c:pt>
                <c:pt idx="18" formatCode="0.0">
                  <c:v>222.52999877929599</c:v>
                </c:pt>
                <c:pt idx="19" formatCode="0.0">
                  <c:v>222.47799682617099</c:v>
                </c:pt>
                <c:pt idx="20" formatCode="0.0">
                  <c:v>221.33000183105401</c:v>
                </c:pt>
                <c:pt idx="21" formatCode="0.0">
                  <c:v>221.8000031</c:v>
                </c:pt>
                <c:pt idx="22" formatCode="0.0">
                  <c:v>218.83000183105401</c:v>
                </c:pt>
                <c:pt idx="23" formatCode="0.0">
                  <c:v>217.02000430000001</c:v>
                </c:pt>
                <c:pt idx="24" formatCode="0.0">
                  <c:v>214.76800539999999</c:v>
                </c:pt>
                <c:pt idx="25" formatCode="0.0">
                  <c:v>212.9750061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formatCode="General">
                  <c:v>316.52200317382801</c:v>
                </c:pt>
                <c:pt idx="14" formatCode="General">
                  <c:v>323.08200069999998</c:v>
                </c:pt>
                <c:pt idx="15" formatCode="General">
                  <c:v>320.093994140625</c:v>
                </c:pt>
                <c:pt idx="16" formatCode="General">
                  <c:v>317.51499449062499</c:v>
                </c:pt>
                <c:pt idx="17" formatCode="General">
                  <c:v>286.73</c:v>
                </c:pt>
                <c:pt idx="18" formatCode="General">
                  <c:v>294.225006103515</c:v>
                </c:pt>
                <c:pt idx="19" formatCode="General">
                  <c:v>298.29000854492102</c:v>
                </c:pt>
                <c:pt idx="20" formatCode="0.000">
                  <c:v>302.95901489257801</c:v>
                </c:pt>
                <c:pt idx="21" formatCode="0.000">
                  <c:v>306.47698969999999</c:v>
                </c:pt>
                <c:pt idx="22" formatCode="0.000">
                  <c:v>304.13000488281199</c:v>
                </c:pt>
                <c:pt idx="23" formatCode="0.000">
                  <c:v>295.9649963</c:v>
                </c:pt>
                <c:pt idx="24" formatCode="0.000">
                  <c:v>285.57900999999998</c:v>
                </c:pt>
                <c:pt idx="25" formatCode="0.000">
                  <c:v>274.75399779999998</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formatCode="General">
                  <c:v>389.18700027465661</c:v>
                </c:pt>
                <c:pt idx="14" formatCode="General">
                  <c:v>391.56700128</c:v>
                </c:pt>
                <c:pt idx="15" formatCode="General">
                  <c:v>387.48099899291947</c:v>
                </c:pt>
                <c:pt idx="16" formatCode="General">
                  <c:v>384.68462114530365</c:v>
                </c:pt>
                <c:pt idx="17" formatCode="General">
                  <c:v>375.79000000000008</c:v>
                </c:pt>
                <c:pt idx="18" formatCode="General">
                  <c:v>370.16600227355934</c:v>
                </c:pt>
                <c:pt idx="19" formatCode="General">
                  <c:v>364.40299987792889</c:v>
                </c:pt>
                <c:pt idx="20" formatCode="General">
                  <c:v>358.7700004577631</c:v>
                </c:pt>
                <c:pt idx="21" formatCode="General">
                  <c:v>353.17899700999999</c:v>
                </c:pt>
                <c:pt idx="22" formatCode="General">
                  <c:v>347.3810005187978</c:v>
                </c:pt>
                <c:pt idx="23" formatCode="General">
                  <c:v>341.67700381999998</c:v>
                </c:pt>
                <c:pt idx="24" formatCode="General">
                  <c:v>335.75800323999999</c:v>
                </c:pt>
                <c:pt idx="25" formatCode="General">
                  <c:v>330.74199960999994</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'12.Caudales'!$J$4:$K$186</c:f>
              <c:multiLvlStrCache>
                <c:ptCount val="183"/>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78">
                    <c:v>22</c:v>
                  </c:pt>
                  <c:pt idx="182">
                    <c:v>26</c:v>
                  </c:pt>
                </c:lvl>
                <c:lvl>
                  <c:pt idx="0">
                    <c:v>2019</c:v>
                  </c:pt>
                  <c:pt idx="53">
                    <c:v>2020</c:v>
                  </c:pt>
                  <c:pt idx="105">
                    <c:v>2021</c:v>
                  </c:pt>
                  <c:pt idx="157">
                    <c:v>2022</c:v>
                  </c:pt>
                </c:lvl>
              </c:multiLvlStrCache>
            </c:multiLvlStrRef>
          </c:cat>
          <c:val>
            <c:numRef>
              <c:f>'12.Caudales'!$N$4:$N$186</c:f>
              <c:numCache>
                <c:formatCode>0.0</c:formatCode>
                <c:ptCount val="183"/>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141.4891401142857</c:v>
                </c:pt>
                <c:pt idx="60">
                  <c:v>83.969571794782198</c:v>
                </c:pt>
                <c:pt idx="61">
                  <c:v>124.34114185428572</c:v>
                </c:pt>
                <c:pt idx="62">
                  <c:v>110.96499854142857</c:v>
                </c:pt>
                <c:pt idx="63">
                  <c:v>130.17914037142856</c:v>
                </c:pt>
                <c:pt idx="64">
                  <c:v>127.86657169886942</c:v>
                </c:pt>
                <c:pt idx="65">
                  <c:v>138.12900325230143</c:v>
                </c:pt>
                <c:pt idx="66">
                  <c:v>109.14457049285714</c:v>
                </c:pt>
                <c:pt idx="67">
                  <c:v>80.133571635714276</c:v>
                </c:pt>
                <c:pt idx="68">
                  <c:v>57.13714327142857</c:v>
                </c:pt>
                <c:pt idx="69">
                  <c:v>55.184285845075259</c:v>
                </c:pt>
                <c:pt idx="70">
                  <c:v>80.201000221428572</c:v>
                </c:pt>
                <c:pt idx="71">
                  <c:v>73.398713792857151</c:v>
                </c:pt>
                <c:pt idx="72">
                  <c:v>57.629714421428567</c:v>
                </c:pt>
                <c:pt idx="73">
                  <c:v>47.208427974155924</c:v>
                </c:pt>
                <c:pt idx="74">
                  <c:v>39.635571071428572</c:v>
                </c:pt>
                <c:pt idx="75">
                  <c:v>49.136857168571431</c:v>
                </c:pt>
                <c:pt idx="76">
                  <c:v>34.150428227015844</c:v>
                </c:pt>
                <c:pt idx="77">
                  <c:v>32.288857598571425</c:v>
                </c:pt>
                <c:pt idx="78">
                  <c:v>29.45585686714286</c:v>
                </c:pt>
                <c:pt idx="79">
                  <c:v>27.986428669520745</c:v>
                </c:pt>
                <c:pt idx="80">
                  <c:v>24.371857235714284</c:v>
                </c:pt>
                <c:pt idx="81">
                  <c:v>23.620857238571428</c:v>
                </c:pt>
                <c:pt idx="82">
                  <c:v>26.757428577142853</c:v>
                </c:pt>
                <c:pt idx="83">
                  <c:v>26.481285638571428</c:v>
                </c:pt>
                <c:pt idx="84">
                  <c:v>25.506571633475126</c:v>
                </c:pt>
                <c:pt idx="85">
                  <c:v>31.441428594285707</c:v>
                </c:pt>
                <c:pt idx="86">
                  <c:v>33.365713935714282</c:v>
                </c:pt>
                <c:pt idx="87">
                  <c:v>29.068999699183816</c:v>
                </c:pt>
                <c:pt idx="88">
                  <c:v>26.005428859165701</c:v>
                </c:pt>
                <c:pt idx="89">
                  <c:v>25.021857125418485</c:v>
                </c:pt>
                <c:pt idx="90">
                  <c:v>27.854714257376486</c:v>
                </c:pt>
                <c:pt idx="91">
                  <c:v>27.986571175714282</c:v>
                </c:pt>
                <c:pt idx="92">
                  <c:v>25.258999961428572</c:v>
                </c:pt>
                <c:pt idx="93">
                  <c:v>25.185571671428566</c:v>
                </c:pt>
                <c:pt idx="94">
                  <c:v>33.125999450683558</c:v>
                </c:pt>
                <c:pt idx="95">
                  <c:v>41.127143314285711</c:v>
                </c:pt>
                <c:pt idx="96">
                  <c:v>33.038428169999996</c:v>
                </c:pt>
                <c:pt idx="97">
                  <c:v>40.115713391428571</c:v>
                </c:pt>
                <c:pt idx="98">
                  <c:v>43.881571090000001</c:v>
                </c:pt>
                <c:pt idx="99">
                  <c:v>42.811571392857147</c:v>
                </c:pt>
                <c:pt idx="100">
                  <c:v>66.262570518571422</c:v>
                </c:pt>
                <c:pt idx="101">
                  <c:v>122.24228668571428</c:v>
                </c:pt>
                <c:pt idx="102">
                  <c:v>78.250285555714285</c:v>
                </c:pt>
                <c:pt idx="103">
                  <c:v>123.13128661428571</c:v>
                </c:pt>
                <c:pt idx="104">
                  <c:v>151.04400198571429</c:v>
                </c:pt>
                <c:pt idx="105">
                  <c:v>194.93985855714286</c:v>
                </c:pt>
                <c:pt idx="106">
                  <c:v>191.56657192857145</c:v>
                </c:pt>
                <c:pt idx="107">
                  <c:v>253.28128705714289</c:v>
                </c:pt>
                <c:pt idx="108">
                  <c:v>244.7925720428571</c:v>
                </c:pt>
                <c:pt idx="109">
                  <c:v>220.6247188142857</c:v>
                </c:pt>
                <c:pt idx="110">
                  <c:v>163.06042698571429</c:v>
                </c:pt>
                <c:pt idx="111">
                  <c:v>104.39303571428574</c:v>
                </c:pt>
                <c:pt idx="112">
                  <c:v>61.820178571428535</c:v>
                </c:pt>
                <c:pt idx="113">
                  <c:v>85.507331848144418</c:v>
                </c:pt>
                <c:pt idx="114">
                  <c:v>173.29428537142854</c:v>
                </c:pt>
                <c:pt idx="115">
                  <c:v>159.83856852857141</c:v>
                </c:pt>
                <c:pt idx="116">
                  <c:v>160.54285757142858</c:v>
                </c:pt>
                <c:pt idx="117">
                  <c:v>171.07471574285714</c:v>
                </c:pt>
                <c:pt idx="118">
                  <c:v>185.56500027142857</c:v>
                </c:pt>
                <c:pt idx="119">
                  <c:v>151.56014580000002</c:v>
                </c:pt>
                <c:pt idx="120">
                  <c:v>109.84099905714285</c:v>
                </c:pt>
                <c:pt idx="121">
                  <c:v>85.840285168571427</c:v>
                </c:pt>
                <c:pt idx="122">
                  <c:v>69.64942932142857</c:v>
                </c:pt>
                <c:pt idx="123">
                  <c:v>58.010286058571431</c:v>
                </c:pt>
                <c:pt idx="124">
                  <c:v>51.498000008571424</c:v>
                </c:pt>
                <c:pt idx="125">
                  <c:v>49.923428127142856</c:v>
                </c:pt>
                <c:pt idx="126">
                  <c:v>43.104427882857138</c:v>
                </c:pt>
                <c:pt idx="127">
                  <c:v>39.534857068571434</c:v>
                </c:pt>
                <c:pt idx="128">
                  <c:v>36.393142699999999</c:v>
                </c:pt>
                <c:pt idx="129">
                  <c:v>33.557857241428572</c:v>
                </c:pt>
                <c:pt idx="130">
                  <c:v>29.931428365714286</c:v>
                </c:pt>
                <c:pt idx="131">
                  <c:v>26.386999947142861</c:v>
                </c:pt>
                <c:pt idx="132">
                  <c:v>26.172000340000004</c:v>
                </c:pt>
                <c:pt idx="133">
                  <c:v>25.836714065714286</c:v>
                </c:pt>
                <c:pt idx="134">
                  <c:v>25.251428605714288</c:v>
                </c:pt>
                <c:pt idx="135">
                  <c:v>27.221714565714283</c:v>
                </c:pt>
                <c:pt idx="136">
                  <c:v>26.08357157</c:v>
                </c:pt>
                <c:pt idx="137">
                  <c:v>25.724999837142857</c:v>
                </c:pt>
                <c:pt idx="138">
                  <c:v>26.040285657142856</c:v>
                </c:pt>
                <c:pt idx="139">
                  <c:v>26.61128562</c:v>
                </c:pt>
                <c:pt idx="140">
                  <c:v>31.371142795714288</c:v>
                </c:pt>
                <c:pt idx="141">
                  <c:v>34.193142751428567</c:v>
                </c:pt>
                <c:pt idx="142">
                  <c:v>24.62042835714286</c:v>
                </c:pt>
                <c:pt idx="143">
                  <c:v>21.341285980000002</c:v>
                </c:pt>
                <c:pt idx="144">
                  <c:v>39.983428410000002</c:v>
                </c:pt>
                <c:pt idx="145">
                  <c:v>51.178142545714287</c:v>
                </c:pt>
                <c:pt idx="146">
                  <c:v>58.491857255714294</c:v>
                </c:pt>
                <c:pt idx="147">
                  <c:v>49.28842871714285</c:v>
                </c:pt>
                <c:pt idx="148">
                  <c:v>50.456999099999997</c:v>
                </c:pt>
                <c:pt idx="149">
                  <c:v>55.461713520000004</c:v>
                </c:pt>
                <c:pt idx="150">
                  <c:v>52.329856329999991</c:v>
                </c:pt>
                <c:pt idx="151">
                  <c:v>73.723714555714295</c:v>
                </c:pt>
                <c:pt idx="152">
                  <c:v>112.8014285714287</c:v>
                </c:pt>
                <c:pt idx="153">
                  <c:v>251.49200183333332</c:v>
                </c:pt>
                <c:pt idx="154">
                  <c:v>142.42614309857143</c:v>
                </c:pt>
                <c:pt idx="155">
                  <c:v>77.181571959999999</c:v>
                </c:pt>
                <c:pt idx="156">
                  <c:v>62.12314333285714</c:v>
                </c:pt>
                <c:pt idx="157">
                  <c:v>71.095855168571433</c:v>
                </c:pt>
                <c:pt idx="158">
                  <c:v>56.996714454285716</c:v>
                </c:pt>
                <c:pt idx="159">
                  <c:v>56.568285805714289</c:v>
                </c:pt>
                <c:pt idx="160">
                  <c:v>96.856569555714273</c:v>
                </c:pt>
                <c:pt idx="161">
                  <c:v>81.592857355714287</c:v>
                </c:pt>
                <c:pt idx="162">
                  <c:v>136.49742887285714</c:v>
                </c:pt>
                <c:pt idx="163">
                  <c:v>140.91017132499999</c:v>
                </c:pt>
                <c:pt idx="164">
                  <c:v>136.49742889404237</c:v>
                </c:pt>
                <c:pt idx="165">
                  <c:v>201.53699821428572</c:v>
                </c:pt>
                <c:pt idx="166">
                  <c:v>203.423558556426</c:v>
                </c:pt>
                <c:pt idx="167">
                  <c:v>322.04871477399513</c:v>
                </c:pt>
                <c:pt idx="168">
                  <c:v>190.45399911063015</c:v>
                </c:pt>
                <c:pt idx="169">
                  <c:v>246.19428571428574</c:v>
                </c:pt>
                <c:pt idx="170">
                  <c:v>299.53485761369933</c:v>
                </c:pt>
                <c:pt idx="171">
                  <c:v>161.58600069999997</c:v>
                </c:pt>
                <c:pt idx="172">
                  <c:v>100.25114222935244</c:v>
                </c:pt>
                <c:pt idx="173">
                  <c:v>98.251142229351998</c:v>
                </c:pt>
                <c:pt idx="174">
                  <c:v>58.212857142857146</c:v>
                </c:pt>
                <c:pt idx="175">
                  <c:v>54.184856959751606</c:v>
                </c:pt>
                <c:pt idx="176">
                  <c:v>62.818143027169334</c:v>
                </c:pt>
                <c:pt idx="177">
                  <c:v>55.007428305489626</c:v>
                </c:pt>
                <c:pt idx="178">
                  <c:v>46.462857382857138</c:v>
                </c:pt>
                <c:pt idx="179">
                  <c:v>44.122500737508098</c:v>
                </c:pt>
                <c:pt idx="180">
                  <c:v>40.649428780000001</c:v>
                </c:pt>
                <c:pt idx="181">
                  <c:v>36.63071441571428</c:v>
                </c:pt>
                <c:pt idx="182">
                  <c:v>34.614857537142861</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'12.Caudales'!$J$4:$K$186</c:f>
              <c:multiLvlStrCache>
                <c:ptCount val="183"/>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78">
                    <c:v>22</c:v>
                  </c:pt>
                  <c:pt idx="182">
                    <c:v>26</c:v>
                  </c:pt>
                </c:lvl>
                <c:lvl>
                  <c:pt idx="0">
                    <c:v>2019</c:v>
                  </c:pt>
                  <c:pt idx="53">
                    <c:v>2020</c:v>
                  </c:pt>
                  <c:pt idx="105">
                    <c:v>2021</c:v>
                  </c:pt>
                  <c:pt idx="157">
                    <c:v>2022</c:v>
                  </c:pt>
                </c:lvl>
              </c:multiLvlStrCache>
            </c:multiLvlStrRef>
          </c:cat>
          <c:val>
            <c:numRef>
              <c:f>'12.Caudales'!$O$4:$O$186</c:f>
              <c:numCache>
                <c:formatCode>0.0</c:formatCode>
                <c:ptCount val="183"/>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17.933714184285712</c:v>
                </c:pt>
                <c:pt idx="60">
                  <c:v>15.5625712530953</c:v>
                </c:pt>
                <c:pt idx="61">
                  <c:v>23.340428760000002</c:v>
                </c:pt>
                <c:pt idx="62">
                  <c:v>51.143429344285714</c:v>
                </c:pt>
                <c:pt idx="63">
                  <c:v>73.820713587142862</c:v>
                </c:pt>
                <c:pt idx="64">
                  <c:v>34.1388571602957</c:v>
                </c:pt>
                <c:pt idx="65">
                  <c:v>66.457714898245612</c:v>
                </c:pt>
                <c:pt idx="66">
                  <c:v>82.626999985714278</c:v>
                </c:pt>
                <c:pt idx="67">
                  <c:v>89.91342707714287</c:v>
                </c:pt>
                <c:pt idx="68">
                  <c:v>73.487428932857142</c:v>
                </c:pt>
                <c:pt idx="69">
                  <c:v>80.585714067731558</c:v>
                </c:pt>
                <c:pt idx="70">
                  <c:v>93.131286082857144</c:v>
                </c:pt>
                <c:pt idx="71">
                  <c:v>43.960427964285714</c:v>
                </c:pt>
                <c:pt idx="72">
                  <c:v>29.038571492857141</c:v>
                </c:pt>
                <c:pt idx="73">
                  <c:v>20.747856957571798</c:v>
                </c:pt>
                <c:pt idx="74">
                  <c:v>28.597570964285715</c:v>
                </c:pt>
                <c:pt idx="75">
                  <c:v>19.104714530000003</c:v>
                </c:pt>
                <c:pt idx="76">
                  <c:v>14.211285591125442</c:v>
                </c:pt>
                <c:pt idx="77">
                  <c:v>11.628714288571429</c:v>
                </c:pt>
                <c:pt idx="78">
                  <c:v>11.67571422</c:v>
                </c:pt>
                <c:pt idx="79">
                  <c:v>27.48885754176543</c:v>
                </c:pt>
                <c:pt idx="80">
                  <c:v>32.395143782857147</c:v>
                </c:pt>
                <c:pt idx="81">
                  <c:v>14.974999971428572</c:v>
                </c:pt>
                <c:pt idx="82">
                  <c:v>14.12842846</c:v>
                </c:pt>
                <c:pt idx="83">
                  <c:v>10.121857098285714</c:v>
                </c:pt>
                <c:pt idx="84">
                  <c:v>7.7241428239004906</c:v>
                </c:pt>
                <c:pt idx="85">
                  <c:v>8.5772858349999996</c:v>
                </c:pt>
                <c:pt idx="86">
                  <c:v>6.7090001108571427</c:v>
                </c:pt>
                <c:pt idx="87">
                  <c:v>5.7295714105878517</c:v>
                </c:pt>
                <c:pt idx="88">
                  <c:v>5.6865714618137853</c:v>
                </c:pt>
                <c:pt idx="89">
                  <c:v>5.3568570954459016</c:v>
                </c:pt>
                <c:pt idx="90">
                  <c:v>6.9268571308680906</c:v>
                </c:pt>
                <c:pt idx="91">
                  <c:v>9.9768571861428565</c:v>
                </c:pt>
                <c:pt idx="92">
                  <c:v>7.1328571184285705</c:v>
                </c:pt>
                <c:pt idx="93">
                  <c:v>4.9102856772857146</c:v>
                </c:pt>
                <c:pt idx="94">
                  <c:v>6.3367142677306969</c:v>
                </c:pt>
                <c:pt idx="95">
                  <c:v>11.867142950714285</c:v>
                </c:pt>
                <c:pt idx="96">
                  <c:v>5.2337141718571427</c:v>
                </c:pt>
                <c:pt idx="97">
                  <c:v>5.0682858059999996</c:v>
                </c:pt>
                <c:pt idx="98">
                  <c:v>4.7745714188571426</c:v>
                </c:pt>
                <c:pt idx="99">
                  <c:v>5.635714394571429</c:v>
                </c:pt>
                <c:pt idx="100">
                  <c:v>27.02714340957143</c:v>
                </c:pt>
                <c:pt idx="101">
                  <c:v>80.020142697142845</c:v>
                </c:pt>
                <c:pt idx="102">
                  <c:v>98.373141695714281</c:v>
                </c:pt>
                <c:pt idx="103">
                  <c:v>141.80585590000001</c:v>
                </c:pt>
                <c:pt idx="104">
                  <c:v>62.055856431428573</c:v>
                </c:pt>
                <c:pt idx="105">
                  <c:v>38.49128532428572</c:v>
                </c:pt>
                <c:pt idx="106">
                  <c:v>52.185428618571436</c:v>
                </c:pt>
                <c:pt idx="107">
                  <c:v>72.971142360000002</c:v>
                </c:pt>
                <c:pt idx="108">
                  <c:v>82.663999837142867</c:v>
                </c:pt>
                <c:pt idx="109">
                  <c:v>54.198429654285711</c:v>
                </c:pt>
                <c:pt idx="110">
                  <c:v>42.827428274285715</c:v>
                </c:pt>
                <c:pt idx="111">
                  <c:v>28.153690476190491</c:v>
                </c:pt>
                <c:pt idx="112">
                  <c:v>19.304999999999993</c:v>
                </c:pt>
                <c:pt idx="113">
                  <c:v>82.847664833068805</c:v>
                </c:pt>
                <c:pt idx="114">
                  <c:v>214.06428527142856</c:v>
                </c:pt>
                <c:pt idx="115">
                  <c:v>132.61828504285714</c:v>
                </c:pt>
                <c:pt idx="116">
                  <c:v>87.668715342857141</c:v>
                </c:pt>
                <c:pt idx="117">
                  <c:v>94.954141882857144</c:v>
                </c:pt>
                <c:pt idx="118">
                  <c:v>151.11671445714288</c:v>
                </c:pt>
                <c:pt idx="119">
                  <c:v>111.99457114285714</c:v>
                </c:pt>
                <c:pt idx="120">
                  <c:v>90.672572548571438</c:v>
                </c:pt>
                <c:pt idx="121">
                  <c:v>75.281570977142863</c:v>
                </c:pt>
                <c:pt idx="122">
                  <c:v>93.952999661428592</c:v>
                </c:pt>
                <c:pt idx="123">
                  <c:v>72.684429168571427</c:v>
                </c:pt>
                <c:pt idx="124">
                  <c:v>98.886571605714281</c:v>
                </c:pt>
                <c:pt idx="125">
                  <c:v>58.580000197142859</c:v>
                </c:pt>
                <c:pt idx="126">
                  <c:v>38.582285198571427</c:v>
                </c:pt>
                <c:pt idx="127">
                  <c:v>58.388999669999997</c:v>
                </c:pt>
                <c:pt idx="128">
                  <c:v>52.608856201428573</c:v>
                </c:pt>
                <c:pt idx="129">
                  <c:v>30.324857167142856</c:v>
                </c:pt>
                <c:pt idx="130">
                  <c:v>42.18199975142857</c:v>
                </c:pt>
                <c:pt idx="131">
                  <c:v>23.356142859999999</c:v>
                </c:pt>
                <c:pt idx="132">
                  <c:v>19.029285704285716</c:v>
                </c:pt>
                <c:pt idx="133">
                  <c:v>17.854285240000003</c:v>
                </c:pt>
                <c:pt idx="134">
                  <c:v>12.897285600000002</c:v>
                </c:pt>
                <c:pt idx="135">
                  <c:v>10.959428514999999</c:v>
                </c:pt>
                <c:pt idx="136">
                  <c:v>9.4098570685714282</c:v>
                </c:pt>
                <c:pt idx="137">
                  <c:v>11.666285786000001</c:v>
                </c:pt>
                <c:pt idx="138">
                  <c:v>14.739857265714283</c:v>
                </c:pt>
                <c:pt idx="139">
                  <c:v>23.257428305714285</c:v>
                </c:pt>
                <c:pt idx="140">
                  <c:v>24.894000052857141</c:v>
                </c:pt>
                <c:pt idx="141">
                  <c:v>23.149857660000002</c:v>
                </c:pt>
                <c:pt idx="142">
                  <c:v>13.527142932857144</c:v>
                </c:pt>
                <c:pt idx="143">
                  <c:v>10.351999963428572</c:v>
                </c:pt>
                <c:pt idx="144">
                  <c:v>63.700570922857146</c:v>
                </c:pt>
                <c:pt idx="145">
                  <c:v>63.922285895714289</c:v>
                </c:pt>
                <c:pt idx="146">
                  <c:v>72.515429361428573</c:v>
                </c:pt>
                <c:pt idx="147">
                  <c:v>61.990286690000005</c:v>
                </c:pt>
                <c:pt idx="148">
                  <c:v>58.057570867142864</c:v>
                </c:pt>
                <c:pt idx="149">
                  <c:v>51.101286207142849</c:v>
                </c:pt>
                <c:pt idx="150">
                  <c:v>29.017713818571433</c:v>
                </c:pt>
                <c:pt idx="151">
                  <c:v>26.885714667142853</c:v>
                </c:pt>
                <c:pt idx="152">
                  <c:v>24.753715515714301</c:v>
                </c:pt>
                <c:pt idx="153">
                  <c:v>44.843001048333328</c:v>
                </c:pt>
                <c:pt idx="154">
                  <c:v>60.681712559999994</c:v>
                </c:pt>
                <c:pt idx="155">
                  <c:v>114.8148585642857</c:v>
                </c:pt>
                <c:pt idx="156">
                  <c:v>50.073429108571432</c:v>
                </c:pt>
                <c:pt idx="157">
                  <c:v>42.987713951428574</c:v>
                </c:pt>
                <c:pt idx="158">
                  <c:v>27.815714701428572</c:v>
                </c:pt>
                <c:pt idx="159">
                  <c:v>25.573857171428568</c:v>
                </c:pt>
                <c:pt idx="160">
                  <c:v>46.27</c:v>
                </c:pt>
                <c:pt idx="161">
                  <c:v>30.758285522857143</c:v>
                </c:pt>
                <c:pt idx="162">
                  <c:v>66.892999371428573</c:v>
                </c:pt>
                <c:pt idx="163">
                  <c:v>69.485213547142905</c:v>
                </c:pt>
                <c:pt idx="164">
                  <c:v>66.892999376569193</c:v>
                </c:pt>
                <c:pt idx="165">
                  <c:v>202.43557085714284</c:v>
                </c:pt>
                <c:pt idx="166">
                  <c:v>221.61685711214301</c:v>
                </c:pt>
                <c:pt idx="167">
                  <c:v>75.359285627092575</c:v>
                </c:pt>
                <c:pt idx="168">
                  <c:v>126.76628439766976</c:v>
                </c:pt>
                <c:pt idx="169">
                  <c:v>182.03142857142853</c:v>
                </c:pt>
                <c:pt idx="170">
                  <c:v>126.58499799455872</c:v>
                </c:pt>
                <c:pt idx="171">
                  <c:v>108.36571609857143</c:v>
                </c:pt>
                <c:pt idx="172">
                  <c:v>80.749999999999957</c:v>
                </c:pt>
                <c:pt idx="173">
                  <c:v>74.78</c:v>
                </c:pt>
                <c:pt idx="174">
                  <c:v>55.015714285714289</c:v>
                </c:pt>
                <c:pt idx="175">
                  <c:v>63.114713941301552</c:v>
                </c:pt>
                <c:pt idx="176">
                  <c:v>74.948570251464801</c:v>
                </c:pt>
                <c:pt idx="177">
                  <c:v>40.69300024850024</c:v>
                </c:pt>
                <c:pt idx="178">
                  <c:v>34.15499986857143</c:v>
                </c:pt>
                <c:pt idx="179">
                  <c:v>38.822832743326785</c:v>
                </c:pt>
                <c:pt idx="180">
                  <c:v>43.344285420000006</c:v>
                </c:pt>
                <c:pt idx="181">
                  <c:v>27.371428898571427</c:v>
                </c:pt>
                <c:pt idx="182">
                  <c:v>25.336999892857143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'12.Caudales'!$J$4:$K$186</c:f>
              <c:multiLvlStrCache>
                <c:ptCount val="183"/>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78">
                    <c:v>22</c:v>
                  </c:pt>
                  <c:pt idx="182">
                    <c:v>26</c:v>
                  </c:pt>
                </c:lvl>
                <c:lvl>
                  <c:pt idx="0">
                    <c:v>2019</c:v>
                  </c:pt>
                  <c:pt idx="53">
                    <c:v>2020</c:v>
                  </c:pt>
                  <c:pt idx="105">
                    <c:v>2021</c:v>
                  </c:pt>
                  <c:pt idx="157">
                    <c:v>2022</c:v>
                  </c:pt>
                </c:lvl>
              </c:multiLvlStrCache>
            </c:multiLvlStrRef>
          </c:cat>
          <c:val>
            <c:numRef>
              <c:f>'12.Caudales'!$M$4:$M$186</c:f>
              <c:numCache>
                <c:formatCode>0.0</c:formatCode>
                <c:ptCount val="183"/>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62.11542837857143</c:v>
                </c:pt>
                <c:pt idx="60">
                  <c:v>41.134571620396166</c:v>
                </c:pt>
                <c:pt idx="61">
                  <c:v>70.027142117142859</c:v>
                </c:pt>
                <c:pt idx="62">
                  <c:v>51.713285718571434</c:v>
                </c:pt>
                <c:pt idx="63">
                  <c:v>64.999999455714274</c:v>
                </c:pt>
                <c:pt idx="64">
                  <c:v>70.530143192836164</c:v>
                </c:pt>
                <c:pt idx="65">
                  <c:v>73.710714612688278</c:v>
                </c:pt>
                <c:pt idx="66">
                  <c:v>57.796857017142862</c:v>
                </c:pt>
                <c:pt idx="67">
                  <c:v>44.430285317142861</c:v>
                </c:pt>
                <c:pt idx="68">
                  <c:v>30.701856885714285</c:v>
                </c:pt>
                <c:pt idx="69">
                  <c:v>24.932857240949314</c:v>
                </c:pt>
                <c:pt idx="70">
                  <c:v>46.867285591428576</c:v>
                </c:pt>
                <c:pt idx="71">
                  <c:v>39.880857740000003</c:v>
                </c:pt>
                <c:pt idx="72">
                  <c:v>34.332998821428575</c:v>
                </c:pt>
                <c:pt idx="73">
                  <c:v>28.39914212908057</c:v>
                </c:pt>
                <c:pt idx="74">
                  <c:v>19.016142710000004</c:v>
                </c:pt>
                <c:pt idx="75">
                  <c:v>16.323713982857143</c:v>
                </c:pt>
                <c:pt idx="76">
                  <c:v>14.458999906267413</c:v>
                </c:pt>
                <c:pt idx="77">
                  <c:v>13.476999827142858</c:v>
                </c:pt>
                <c:pt idx="78">
                  <c:v>14.175142699999999</c:v>
                </c:pt>
                <c:pt idx="79">
                  <c:v>12.859571456909155</c:v>
                </c:pt>
                <c:pt idx="80">
                  <c:v>11.472142902857144</c:v>
                </c:pt>
                <c:pt idx="81">
                  <c:v>11.32885715142857</c:v>
                </c:pt>
                <c:pt idx="82">
                  <c:v>11.152000155714285</c:v>
                </c:pt>
                <c:pt idx="83">
                  <c:v>10.852571488571428</c:v>
                </c:pt>
                <c:pt idx="84">
                  <c:v>10.338285718645329</c:v>
                </c:pt>
                <c:pt idx="85">
                  <c:v>11.413999967142857</c:v>
                </c:pt>
                <c:pt idx="86">
                  <c:v>11.662143027142859</c:v>
                </c:pt>
                <c:pt idx="87">
                  <c:v>11.541428702218141</c:v>
                </c:pt>
                <c:pt idx="88">
                  <c:v>13.286857196262856</c:v>
                </c:pt>
                <c:pt idx="89">
                  <c:v>15.49071434565947</c:v>
                </c:pt>
                <c:pt idx="90">
                  <c:v>16.166143281119158</c:v>
                </c:pt>
                <c:pt idx="91">
                  <c:v>16.810999734285712</c:v>
                </c:pt>
                <c:pt idx="92">
                  <c:v>14.579285758571428</c:v>
                </c:pt>
                <c:pt idx="93">
                  <c:v>13.048857279999998</c:v>
                </c:pt>
                <c:pt idx="94">
                  <c:v>14.871000289916955</c:v>
                </c:pt>
                <c:pt idx="95">
                  <c:v>21.991714477142857</c:v>
                </c:pt>
                <c:pt idx="96">
                  <c:v>13.904857091428573</c:v>
                </c:pt>
                <c:pt idx="97">
                  <c:v>13.184428621428571</c:v>
                </c:pt>
                <c:pt idx="98">
                  <c:v>13.14228561857143</c:v>
                </c:pt>
                <c:pt idx="99">
                  <c:v>15.124714305714289</c:v>
                </c:pt>
                <c:pt idx="100">
                  <c:v>27.692142758571432</c:v>
                </c:pt>
                <c:pt idx="101">
                  <c:v>64.694000790000004</c:v>
                </c:pt>
                <c:pt idx="102">
                  <c:v>43.356857299999994</c:v>
                </c:pt>
                <c:pt idx="103">
                  <c:v>66.695286888571431</c:v>
                </c:pt>
                <c:pt idx="104">
                  <c:v>79.132000515714282</c:v>
                </c:pt>
                <c:pt idx="105">
                  <c:v>93.616000575714295</c:v>
                </c:pt>
                <c:pt idx="106">
                  <c:v>109.19371577142856</c:v>
                </c:pt>
                <c:pt idx="107">
                  <c:v>111.32100131428571</c:v>
                </c:pt>
                <c:pt idx="108">
                  <c:v>111.11885721428568</c:v>
                </c:pt>
                <c:pt idx="109">
                  <c:v>108.66071318571429</c:v>
                </c:pt>
                <c:pt idx="110">
                  <c:v>90.469143462857147</c:v>
                </c:pt>
                <c:pt idx="111">
                  <c:v>58.4</c:v>
                </c:pt>
                <c:pt idx="112">
                  <c:v>45.103515238095234</c:v>
                </c:pt>
                <c:pt idx="113">
                  <c:v>56.496856689453068</c:v>
                </c:pt>
                <c:pt idx="114">
                  <c:v>90.554714198571432</c:v>
                </c:pt>
                <c:pt idx="115">
                  <c:v>98.085857941428586</c:v>
                </c:pt>
                <c:pt idx="116">
                  <c:v>87.426713118571428</c:v>
                </c:pt>
                <c:pt idx="117">
                  <c:v>85.733285082857151</c:v>
                </c:pt>
                <c:pt idx="118">
                  <c:v>98.095142921428561</c:v>
                </c:pt>
                <c:pt idx="119">
                  <c:v>83.773572649999991</c:v>
                </c:pt>
                <c:pt idx="120">
                  <c:v>56.958000185714283</c:v>
                </c:pt>
                <c:pt idx="121">
                  <c:v>48.746000017142855</c:v>
                </c:pt>
                <c:pt idx="122">
                  <c:v>40.494427817142864</c:v>
                </c:pt>
                <c:pt idx="123">
                  <c:v>35.466286249999996</c:v>
                </c:pt>
                <c:pt idx="124">
                  <c:v>28.18171392</c:v>
                </c:pt>
                <c:pt idx="125">
                  <c:v>26.549999781428571</c:v>
                </c:pt>
                <c:pt idx="126">
                  <c:v>21.825286048571424</c:v>
                </c:pt>
                <c:pt idx="127">
                  <c:v>20.536714282857144</c:v>
                </c:pt>
                <c:pt idx="128">
                  <c:v>18.521000181428573</c:v>
                </c:pt>
                <c:pt idx="129">
                  <c:v>17.337857111428569</c:v>
                </c:pt>
                <c:pt idx="130">
                  <c:v>16.257714270000001</c:v>
                </c:pt>
                <c:pt idx="131">
                  <c:v>15.06657137</c:v>
                </c:pt>
                <c:pt idx="132">
                  <c:v>14.248142924285716</c:v>
                </c:pt>
                <c:pt idx="133">
                  <c:v>13.477857045714286</c:v>
                </c:pt>
                <c:pt idx="134">
                  <c:v>12.691000122857146</c:v>
                </c:pt>
                <c:pt idx="135">
                  <c:v>13.016714095714283</c:v>
                </c:pt>
                <c:pt idx="136">
                  <c:v>11.867571422857141</c:v>
                </c:pt>
                <c:pt idx="137">
                  <c:v>11.566857065714288</c:v>
                </c:pt>
                <c:pt idx="138">
                  <c:v>13.598856790000001</c:v>
                </c:pt>
                <c:pt idx="139">
                  <c:v>18.389285224285715</c:v>
                </c:pt>
                <c:pt idx="140">
                  <c:v>17.729570935714285</c:v>
                </c:pt>
                <c:pt idx="141">
                  <c:v>17.365428380000001</c:v>
                </c:pt>
                <c:pt idx="142">
                  <c:v>17.876142775714285</c:v>
                </c:pt>
                <c:pt idx="143">
                  <c:v>17.151999882857144</c:v>
                </c:pt>
                <c:pt idx="144">
                  <c:v>24.65814318</c:v>
                </c:pt>
                <c:pt idx="145">
                  <c:v>24.683571132857143</c:v>
                </c:pt>
                <c:pt idx="146">
                  <c:v>30.132285525714284</c:v>
                </c:pt>
                <c:pt idx="147">
                  <c:v>21.635857172857147</c:v>
                </c:pt>
                <c:pt idx="148">
                  <c:v>18.680143085714285</c:v>
                </c:pt>
                <c:pt idx="149">
                  <c:v>19.11199978285714</c:v>
                </c:pt>
                <c:pt idx="150">
                  <c:v>17.194857187142855</c:v>
                </c:pt>
                <c:pt idx="151">
                  <c:v>18.301142828571432</c:v>
                </c:pt>
                <c:pt idx="152">
                  <c:v>48.1</c:v>
                </c:pt>
                <c:pt idx="153">
                  <c:v>72.532000404285711</c:v>
                </c:pt>
                <c:pt idx="154">
                  <c:v>52.053428651428568</c:v>
                </c:pt>
                <c:pt idx="155">
                  <c:v>30.144714355714289</c:v>
                </c:pt>
                <c:pt idx="156">
                  <c:v>24.471428735714284</c:v>
                </c:pt>
                <c:pt idx="157">
                  <c:v>27.003000530000001</c:v>
                </c:pt>
                <c:pt idx="158">
                  <c:v>21.311000005714284</c:v>
                </c:pt>
                <c:pt idx="159">
                  <c:v>18.403857367142855</c:v>
                </c:pt>
                <c:pt idx="160">
                  <c:v>39.156999861428574</c:v>
                </c:pt>
                <c:pt idx="161">
                  <c:v>43.204429082857139</c:v>
                </c:pt>
                <c:pt idx="162">
                  <c:v>79.27385765999999</c:v>
                </c:pt>
                <c:pt idx="163">
                  <c:v>82.487914902714195</c:v>
                </c:pt>
                <c:pt idx="164">
                  <c:v>69.997998918805749</c:v>
                </c:pt>
                <c:pt idx="165">
                  <c:v>88.40642874285713</c:v>
                </c:pt>
                <c:pt idx="166">
                  <c:v>97.012568035088606</c:v>
                </c:pt>
                <c:pt idx="167">
                  <c:v>119.25400107247444</c:v>
                </c:pt>
                <c:pt idx="168">
                  <c:v>87.219570704868829</c:v>
                </c:pt>
                <c:pt idx="169">
                  <c:v>94.784285714285701</c:v>
                </c:pt>
                <c:pt idx="170">
                  <c:v>107.18971470424081</c:v>
                </c:pt>
                <c:pt idx="171">
                  <c:v>81.303429194285712</c:v>
                </c:pt>
                <c:pt idx="172">
                  <c:v>57.173570905412909</c:v>
                </c:pt>
                <c:pt idx="173">
                  <c:v>56.173570905412902</c:v>
                </c:pt>
                <c:pt idx="174">
                  <c:v>32.715714285714284</c:v>
                </c:pt>
                <c:pt idx="175">
                  <c:v>28.384857177734325</c:v>
                </c:pt>
                <c:pt idx="176">
                  <c:v>29.131428854806028</c:v>
                </c:pt>
                <c:pt idx="177">
                  <c:v>24.248714174543085</c:v>
                </c:pt>
                <c:pt idx="178">
                  <c:v>20.351571764285715</c:v>
                </c:pt>
                <c:pt idx="179">
                  <c:v>18.67642865862161</c:v>
                </c:pt>
                <c:pt idx="180">
                  <c:v>17.118428638571427</c:v>
                </c:pt>
                <c:pt idx="181">
                  <c:v>15.889428547142858</c:v>
                </c:pt>
                <c:pt idx="182">
                  <c:v>14.38928576857143</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2161.5951565824998</c:v>
                </c:pt>
                <c:pt idx="1">
                  <c:v>2050.4336159999998</c:v>
                </c:pt>
                <c:pt idx="2">
                  <c:v>0</c:v>
                </c:pt>
                <c:pt idx="3">
                  <c:v>4.0630857574999997</c:v>
                </c:pt>
                <c:pt idx="4">
                  <c:v>33.762957344999997</c:v>
                </c:pt>
                <c:pt idx="5">
                  <c:v>134.0867127425</c:v>
                </c:pt>
                <c:pt idx="6">
                  <c:v>54.256861282500005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2097.4214294675003</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5.8887236250000017</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28.783227047499999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155.79105628249997</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55.017436232500003</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'13.Caudales'!$N$4:$O$186</c:f>
              <c:multiLvlStrCache>
                <c:ptCount val="183"/>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pt idx="182">
                    <c:v>26</c:v>
                  </c:pt>
                </c:lvl>
                <c:lvl>
                  <c:pt idx="0">
                    <c:v>2019</c:v>
                  </c:pt>
                  <c:pt idx="53">
                    <c:v>2020</c:v>
                  </c:pt>
                  <c:pt idx="105">
                    <c:v>2021</c:v>
                  </c:pt>
                  <c:pt idx="157">
                    <c:v>2022</c:v>
                  </c:pt>
                </c:lvl>
              </c:multiLvlStrCache>
            </c:multiLvlStrRef>
          </c:cat>
          <c:val>
            <c:numRef>
              <c:f>'13.Caudales'!$Q$4:$Q$186</c:f>
              <c:numCache>
                <c:formatCode>0.0</c:formatCode>
                <c:ptCount val="183"/>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pt idx="162">
                  <c:v>18.235713957142856</c:v>
                </c:pt>
                <c:pt idx="163">
                  <c:v>20.117499826428599</c:v>
                </c:pt>
                <c:pt idx="164">
                  <c:v>25.340999875749826</c:v>
                </c:pt>
                <c:pt idx="165">
                  <c:v>27.784285954285711</c:v>
                </c:pt>
                <c:pt idx="166">
                  <c:v>28.093753942631899</c:v>
                </c:pt>
                <c:pt idx="167">
                  <c:v>33.420857293265151</c:v>
                </c:pt>
                <c:pt idx="168">
                  <c:v>23.805857249668641</c:v>
                </c:pt>
                <c:pt idx="169">
                  <c:v>28.491428571428571</c:v>
                </c:pt>
                <c:pt idx="170">
                  <c:v>27.723999840872604</c:v>
                </c:pt>
                <c:pt idx="171">
                  <c:v>22.026428767142853</c:v>
                </c:pt>
                <c:pt idx="172">
                  <c:v>15.928285734994029</c:v>
                </c:pt>
                <c:pt idx="173">
                  <c:v>14.988285734993999</c:v>
                </c:pt>
                <c:pt idx="174">
                  <c:v>13.782857142857143</c:v>
                </c:pt>
                <c:pt idx="175">
                  <c:v>12.89642851693287</c:v>
                </c:pt>
                <c:pt idx="176">
                  <c:v>12.223428453717887</c:v>
                </c:pt>
                <c:pt idx="177">
                  <c:v>10.884428433009543</c:v>
                </c:pt>
                <c:pt idx="178">
                  <c:v>10.348285540285715</c:v>
                </c:pt>
                <c:pt idx="179">
                  <c:v>9.2024285452706458</c:v>
                </c:pt>
                <c:pt idx="180">
                  <c:v>9.7554287231428578</c:v>
                </c:pt>
                <c:pt idx="181">
                  <c:v>9.0029998505714293</c:v>
                </c:pt>
                <c:pt idx="182">
                  <c:v>8.8088571004285718</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'13.Caudales'!$N$4:$O$186</c:f>
              <c:multiLvlStrCache>
                <c:ptCount val="183"/>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pt idx="182">
                    <c:v>26</c:v>
                  </c:pt>
                </c:lvl>
                <c:lvl>
                  <c:pt idx="0">
                    <c:v>2019</c:v>
                  </c:pt>
                  <c:pt idx="53">
                    <c:v>2020</c:v>
                  </c:pt>
                  <c:pt idx="105">
                    <c:v>2021</c:v>
                  </c:pt>
                  <c:pt idx="157">
                    <c:v>2022</c:v>
                  </c:pt>
                </c:lvl>
              </c:multiLvlStrCache>
            </c:multiLvlStrRef>
          </c:cat>
          <c:val>
            <c:numRef>
              <c:f>'13.Caudales'!$R$4:$R$186</c:f>
              <c:numCache>
                <c:formatCode>0.0</c:formatCode>
                <c:ptCount val="183"/>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pt idx="162">
                  <c:v>10.726285798285716</c:v>
                </c:pt>
                <c:pt idx="163">
                  <c:v>12.450857264642901</c:v>
                </c:pt>
                <c:pt idx="164">
                  <c:v>18.084142684936488</c:v>
                </c:pt>
                <c:pt idx="165">
                  <c:v>17.056714467142857</c:v>
                </c:pt>
                <c:pt idx="166">
                  <c:v>19.095928647332201</c:v>
                </c:pt>
                <c:pt idx="167">
                  <c:v>21.210571697780029</c:v>
                </c:pt>
                <c:pt idx="168">
                  <c:v>19.053143092564113</c:v>
                </c:pt>
                <c:pt idx="169">
                  <c:v>22.648571428571426</c:v>
                </c:pt>
                <c:pt idx="170">
                  <c:v>25.617999758039169</c:v>
                </c:pt>
                <c:pt idx="171">
                  <c:v>20.249143055714288</c:v>
                </c:pt>
                <c:pt idx="172">
                  <c:v>13.163428579057927</c:v>
                </c:pt>
                <c:pt idx="173">
                  <c:v>14.963714392629401</c:v>
                </c:pt>
                <c:pt idx="174">
                  <c:v>9.805714285714286</c:v>
                </c:pt>
                <c:pt idx="175">
                  <c:v>8.2621427263532308</c:v>
                </c:pt>
                <c:pt idx="176">
                  <c:v>8.1970000267028773</c:v>
                </c:pt>
                <c:pt idx="177">
                  <c:v>7.9334286281040693</c:v>
                </c:pt>
                <c:pt idx="178">
                  <c:v>7.5271429334285713</c:v>
                </c:pt>
                <c:pt idx="179">
                  <c:v>7.8158572060721223</c:v>
                </c:pt>
                <c:pt idx="180">
                  <c:v>6.7071426938571426</c:v>
                </c:pt>
                <c:pt idx="181">
                  <c:v>5.0975714409999995</c:v>
                </c:pt>
                <c:pt idx="182">
                  <c:v>4.9562855787142857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'13.Caudales'!$N$4:$O$1793</c:f>
              <c:multiLvlStrCache>
                <c:ptCount val="183"/>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pt idx="182">
                    <c:v>26</c:v>
                  </c:pt>
                </c:lvl>
                <c:lvl>
                  <c:pt idx="0">
                    <c:v>2019</c:v>
                  </c:pt>
                  <c:pt idx="53">
                    <c:v>2020</c:v>
                  </c:pt>
                  <c:pt idx="105">
                    <c:v>2021</c:v>
                  </c:pt>
                  <c:pt idx="157">
                    <c:v>2022</c:v>
                  </c:pt>
                </c:lvl>
              </c:multiLvlStrCache>
            </c:multiLvlStrRef>
          </c:cat>
          <c:val>
            <c:numRef>
              <c:f>'13.Caudales'!$S$4:$S$186</c:f>
              <c:numCache>
                <c:formatCode>0.0</c:formatCode>
                <c:ptCount val="183"/>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pt idx="162" formatCode="0.00">
                  <c:v>435.79956928571431</c:v>
                </c:pt>
                <c:pt idx="163" formatCode="0.00">
                  <c:v>435.79956928571403</c:v>
                </c:pt>
                <c:pt idx="164" formatCode="0.00">
                  <c:v>441.50872366768942</c:v>
                </c:pt>
                <c:pt idx="165" formatCode="0.00">
                  <c:v>390.83399745714286</c:v>
                </c:pt>
                <c:pt idx="166" formatCode="0.00">
                  <c:v>377.74852497494402</c:v>
                </c:pt>
                <c:pt idx="167" formatCode="0.00">
                  <c:v>559.81058175223166</c:v>
                </c:pt>
                <c:pt idx="168" formatCode="0.00">
                  <c:v>323.97713797432982</c:v>
                </c:pt>
                <c:pt idx="169" formatCode="0.00">
                  <c:v>381.44857142857143</c:v>
                </c:pt>
                <c:pt idx="170" formatCode="0.00">
                  <c:v>593.21614728655084</c:v>
                </c:pt>
                <c:pt idx="171" formatCode="0.00">
                  <c:v>348.80585371428572</c:v>
                </c:pt>
                <c:pt idx="172" formatCode="0.00">
                  <c:v>176.68314470563573</c:v>
                </c:pt>
                <c:pt idx="173" formatCode="0.00">
                  <c:v>174.68314470563601</c:v>
                </c:pt>
                <c:pt idx="174" formatCode="0.00">
                  <c:v>119.01714285714286</c:v>
                </c:pt>
                <c:pt idx="175" formatCode="0.00">
                  <c:v>110.76885659354043</c:v>
                </c:pt>
                <c:pt idx="176" formatCode="0.00">
                  <c:v>101.37014225551034</c:v>
                </c:pt>
                <c:pt idx="177" formatCode="0.00">
                  <c:v>97.459857395716909</c:v>
                </c:pt>
                <c:pt idx="178" formatCode="0.00">
                  <c:v>89.468571255714281</c:v>
                </c:pt>
                <c:pt idx="179" formatCode="0.00">
                  <c:v>76.892712184361002</c:v>
                </c:pt>
                <c:pt idx="180" formatCode="0.00">
                  <c:v>81.342571802857151</c:v>
                </c:pt>
                <c:pt idx="181" formatCode="0.00">
                  <c:v>74.786714827142859</c:v>
                </c:pt>
                <c:pt idx="182" formatCode="0.00">
                  <c:v>70.028570991428566</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'13.Caudales'!$N$4:$O$1793</c:f>
              <c:multiLvlStrCache>
                <c:ptCount val="183"/>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pt idx="182">
                    <c:v>26</c:v>
                  </c:pt>
                </c:lvl>
                <c:lvl>
                  <c:pt idx="0">
                    <c:v>2019</c:v>
                  </c:pt>
                  <c:pt idx="53">
                    <c:v>2020</c:v>
                  </c:pt>
                  <c:pt idx="105">
                    <c:v>2021</c:v>
                  </c:pt>
                  <c:pt idx="157">
                    <c:v>2022</c:v>
                  </c:pt>
                </c:lvl>
              </c:multiLvlStrCache>
            </c:multiLvlStrRef>
          </c:cat>
          <c:val>
            <c:numRef>
              <c:f>'13.Caudales'!$T$4:$T$186</c:f>
              <c:numCache>
                <c:formatCode>0.0</c:formatCode>
                <c:ptCount val="183"/>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pt idx="162" formatCode="0.00">
                  <c:v>179.08343068571426</c:v>
                </c:pt>
                <c:pt idx="163" formatCode="0.00">
                  <c:v>195.28190973333301</c:v>
                </c:pt>
                <c:pt idx="164" formatCode="0.00">
                  <c:v>167.45813860212002</c:v>
                </c:pt>
                <c:pt idx="165" formatCode="0.00">
                  <c:v>152.44642748571428</c:v>
                </c:pt>
                <c:pt idx="166" formatCode="0.00">
                  <c:v>177.15485925714287</c:v>
                </c:pt>
                <c:pt idx="167" formatCode="0.00">
                  <c:v>223.70857456752233</c:v>
                </c:pt>
                <c:pt idx="168" formatCode="0.00">
                  <c:v>151.51800210135301</c:v>
                </c:pt>
                <c:pt idx="169" formatCode="0.00">
                  <c:v>178.99571428571431</c:v>
                </c:pt>
                <c:pt idx="170" formatCode="0.00">
                  <c:v>183.63700212751101</c:v>
                </c:pt>
                <c:pt idx="171" formatCode="0.00">
                  <c:v>124.73814282857143</c:v>
                </c:pt>
                <c:pt idx="172" formatCode="0.00">
                  <c:v>78.339428492954767</c:v>
                </c:pt>
                <c:pt idx="173" formatCode="0.00">
                  <c:v>73.639428492954806</c:v>
                </c:pt>
                <c:pt idx="174" formatCode="0.00">
                  <c:v>55.180000000000007</c:v>
                </c:pt>
                <c:pt idx="175" formatCode="0.00">
                  <c:v>59.773714338030103</c:v>
                </c:pt>
                <c:pt idx="176" formatCode="0.00">
                  <c:v>76.803571428571416</c:v>
                </c:pt>
                <c:pt idx="177" formatCode="0.00">
                  <c:v>50.738285609653985</c:v>
                </c:pt>
                <c:pt idx="178" formatCode="0.00">
                  <c:v>47.993857245714288</c:v>
                </c:pt>
                <c:pt idx="179" formatCode="0.00">
                  <c:v>57.958285740443614</c:v>
                </c:pt>
                <c:pt idx="180" formatCode="0.00">
                  <c:v>44.565714157142857</c:v>
                </c:pt>
                <c:pt idx="181" formatCode="0.00">
                  <c:v>37.470142908571425</c:v>
                </c:pt>
                <c:pt idx="182" formatCode="0.00">
                  <c:v>32.059714182857142</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'13.Caudales'!$U$4:$U$186</c:f>
              <c:numCache>
                <c:formatCode>0.0</c:formatCode>
                <c:ptCount val="183"/>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pt idx="162">
                  <c:v>33.553428921428569</c:v>
                </c:pt>
                <c:pt idx="163">
                  <c:v>35.365238643809498</c:v>
                </c:pt>
                <c:pt idx="164">
                  <c:v>52.961428506033734</c:v>
                </c:pt>
                <c:pt idx="165">
                  <c:v>60.130286080000005</c:v>
                </c:pt>
                <c:pt idx="166">
                  <c:v>62.624940787617</c:v>
                </c:pt>
                <c:pt idx="167">
                  <c:v>65.082142966134157</c:v>
                </c:pt>
                <c:pt idx="168">
                  <c:v>38.394142695835612</c:v>
                </c:pt>
                <c:pt idx="169">
                  <c:v>36.35</c:v>
                </c:pt>
                <c:pt idx="170">
                  <c:v>45.316000257219557</c:v>
                </c:pt>
                <c:pt idx="171">
                  <c:v>26.343714578571426</c:v>
                </c:pt>
                <c:pt idx="172">
                  <c:v>19.653713771275072</c:v>
                </c:pt>
                <c:pt idx="173">
                  <c:v>18.143000000000001</c:v>
                </c:pt>
                <c:pt idx="174">
                  <c:v>17.828571428571429</c:v>
                </c:pt>
                <c:pt idx="175">
                  <c:v>15.455142838614288</c:v>
                </c:pt>
                <c:pt idx="176">
                  <c:v>17.032571247645741</c:v>
                </c:pt>
                <c:pt idx="177">
                  <c:v>13.328000204903701</c:v>
                </c:pt>
                <c:pt idx="178">
                  <c:v>14.01614271</c:v>
                </c:pt>
                <c:pt idx="179">
                  <c:v>15.881571360996745</c:v>
                </c:pt>
                <c:pt idx="180">
                  <c:v>11.95571436</c:v>
                </c:pt>
                <c:pt idx="181">
                  <c:v>10.698285784285716</c:v>
                </c:pt>
                <c:pt idx="182">
                  <c:v>11.252857207571427</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'13.Caudales'!$N$4:$O$186</c:f>
              <c:multiLvlStrCache>
                <c:ptCount val="183"/>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pt idx="182">
                    <c:v>26</c:v>
                  </c:pt>
                </c:lvl>
                <c:lvl>
                  <c:pt idx="0">
                    <c:v>2019</c:v>
                  </c:pt>
                  <c:pt idx="53">
                    <c:v>2020</c:v>
                  </c:pt>
                  <c:pt idx="105">
                    <c:v>2021</c:v>
                  </c:pt>
                  <c:pt idx="157">
                    <c:v>2022</c:v>
                  </c:pt>
                </c:lvl>
              </c:multiLvlStrCache>
            </c:multiLvlStrRef>
          </c:cat>
          <c:val>
            <c:numRef>
              <c:f>'13.Caudales'!$V$4:$V$186</c:f>
              <c:numCache>
                <c:formatCode>0.0</c:formatCode>
                <c:ptCount val="183"/>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pt idx="162">
                  <c:v>11.749167034285714</c:v>
                </c:pt>
                <c:pt idx="163">
                  <c:v>10.9661612507143</c:v>
                </c:pt>
                <c:pt idx="164">
                  <c:v>11.586785861424</c:v>
                </c:pt>
                <c:pt idx="165">
                  <c:v>15.540178571428571</c:v>
                </c:pt>
                <c:pt idx="166">
                  <c:v>12.489226658966601</c:v>
                </c:pt>
                <c:pt idx="167">
                  <c:v>15.861725670950701</c:v>
                </c:pt>
                <c:pt idx="168">
                  <c:v>15.601665633065315</c:v>
                </c:pt>
                <c:pt idx="169">
                  <c:v>14.272857142857143</c:v>
                </c:pt>
                <c:pt idx="170">
                  <c:v>12.459285599844744</c:v>
                </c:pt>
                <c:pt idx="171">
                  <c:v>12.322202818571428</c:v>
                </c:pt>
                <c:pt idx="172">
                  <c:v>12.955415725707971</c:v>
                </c:pt>
                <c:pt idx="173">
                  <c:v>13.5886286328445</c:v>
                </c:pt>
                <c:pt idx="174">
                  <c:v>12.145714285714286</c:v>
                </c:pt>
                <c:pt idx="175">
                  <c:v>11.9720828192574</c:v>
                </c:pt>
                <c:pt idx="176">
                  <c:v>12.044524329049228</c:v>
                </c:pt>
                <c:pt idx="177">
                  <c:v>12.004824365888286</c:v>
                </c:pt>
                <c:pt idx="178">
                  <c:v>12.003629958571429</c:v>
                </c:pt>
                <c:pt idx="179">
                  <c:v>11.987857137407543</c:v>
                </c:pt>
                <c:pt idx="180">
                  <c:v>11.995954241428569</c:v>
                </c:pt>
                <c:pt idx="181">
                  <c:v>12.037141528571428</c:v>
                </c:pt>
                <c:pt idx="182">
                  <c:v>12.019521304285714</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'13.Caudales'!$N$4:$O$186</c:f>
              <c:multiLvlStrCache>
                <c:ptCount val="183"/>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pt idx="182">
                    <c:v>26</c:v>
                  </c:pt>
                </c:lvl>
                <c:lvl>
                  <c:pt idx="0">
                    <c:v>2019</c:v>
                  </c:pt>
                  <c:pt idx="53">
                    <c:v>2020</c:v>
                  </c:pt>
                  <c:pt idx="105">
                    <c:v>2021</c:v>
                  </c:pt>
                  <c:pt idx="157">
                    <c:v>2022</c:v>
                  </c:pt>
                </c:lvl>
              </c:multiLvlStrCache>
            </c:multiLvlStrRef>
          </c:cat>
          <c:val>
            <c:numRef>
              <c:f>'13.Caudales'!$W$4:$W$186</c:f>
              <c:numCache>
                <c:formatCode>0.0</c:formatCode>
                <c:ptCount val="183"/>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pt idx="162">
                  <c:v>5.6551427840000006</c:v>
                </c:pt>
                <c:pt idx="163">
                  <c:v>2.0952857050000002</c:v>
                </c:pt>
                <c:pt idx="164">
                  <c:v>3.7204570871142901</c:v>
                </c:pt>
                <c:pt idx="165">
                  <c:v>4.1637142385755217</c:v>
                </c:pt>
                <c:pt idx="166">
                  <c:v>4.8724285875714282</c:v>
                </c:pt>
                <c:pt idx="167">
                  <c:v>3.3848571777343723</c:v>
                </c:pt>
                <c:pt idx="168">
                  <c:v>2.6404285430908159</c:v>
                </c:pt>
                <c:pt idx="169">
                  <c:v>2.0657142857142858</c:v>
                </c:pt>
                <c:pt idx="170">
                  <c:v>1.8045714242117685</c:v>
                </c:pt>
                <c:pt idx="171">
                  <c:v>1.5654285974285713</c:v>
                </c:pt>
                <c:pt idx="172">
                  <c:v>1.6847143173217742</c:v>
                </c:pt>
                <c:pt idx="173">
                  <c:v>1.80400003721498</c:v>
                </c:pt>
                <c:pt idx="174">
                  <c:v>1.5071428571428569</c:v>
                </c:pt>
                <c:pt idx="175">
                  <c:v>1.5408571277345884</c:v>
                </c:pt>
                <c:pt idx="176">
                  <c:v>1.2638571347509076</c:v>
                </c:pt>
                <c:pt idx="177">
                  <c:v>1.5594285896846185</c:v>
                </c:pt>
                <c:pt idx="178">
                  <c:v>1.5562856965714285</c:v>
                </c:pt>
                <c:pt idx="179">
                  <c:v>1.6308571440832915</c:v>
                </c:pt>
                <c:pt idx="180">
                  <c:v>1.5964285474285715</c:v>
                </c:pt>
                <c:pt idx="181">
                  <c:v>1.5865714718571431</c:v>
                </c:pt>
                <c:pt idx="182">
                  <c:v>2.0531428372857143</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'13.Caudales'!$Y$4:$Y$186</c:f>
              <c:numCache>
                <c:formatCode>0.0</c:formatCode>
                <c:ptCount val="183"/>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pt idx="162">
                  <c:v>133.21328737142855</c:v>
                </c:pt>
                <c:pt idx="163">
                  <c:v>133.77895393333301</c:v>
                </c:pt>
                <c:pt idx="164">
                  <c:v>69.417142050606813</c:v>
                </c:pt>
                <c:pt idx="165">
                  <c:v>186.68128532857142</c:v>
                </c:pt>
                <c:pt idx="166">
                  <c:v>146.131261154827</c:v>
                </c:pt>
                <c:pt idx="167">
                  <c:v>110.17142813546286</c:v>
                </c:pt>
                <c:pt idx="168">
                  <c:v>81.900570460728204</c:v>
                </c:pt>
                <c:pt idx="169">
                  <c:v>61.771428571428579</c:v>
                </c:pt>
                <c:pt idx="170">
                  <c:v>46.260999952043754</c:v>
                </c:pt>
                <c:pt idx="171">
                  <c:v>36.220571791428576</c:v>
                </c:pt>
                <c:pt idx="172">
                  <c:v>27.017142704554924</c:v>
                </c:pt>
                <c:pt idx="173">
                  <c:v>26.255714235187</c:v>
                </c:pt>
                <c:pt idx="174">
                  <c:v>16.581428571428575</c:v>
                </c:pt>
                <c:pt idx="175">
                  <c:v>69.459999084472599</c:v>
                </c:pt>
                <c:pt idx="176">
                  <c:v>66.260002136230398</c:v>
                </c:pt>
                <c:pt idx="177">
                  <c:v>65.75</c:v>
                </c:pt>
                <c:pt idx="178">
                  <c:v>65.72000122</c:v>
                </c:pt>
                <c:pt idx="179">
                  <c:v>10.504285676138702</c:v>
                </c:pt>
                <c:pt idx="180">
                  <c:v>8.8472856794285715</c:v>
                </c:pt>
                <c:pt idx="181">
                  <c:v>7.1708572252857135</c:v>
                </c:pt>
                <c:pt idx="182">
                  <c:v>6.7431428091428582</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'13.Caudales'!$X$4:$X$186</c:f>
              <c:numCache>
                <c:formatCode>0.0</c:formatCode>
                <c:ptCount val="183"/>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pt idx="162">
                  <c:v>420.1207101</c:v>
                </c:pt>
                <c:pt idx="163">
                  <c:v>427.15742450542803</c:v>
                </c:pt>
                <c:pt idx="164">
                  <c:v>294.89857700892827</c:v>
                </c:pt>
                <c:pt idx="165">
                  <c:v>302.25500487142864</c:v>
                </c:pt>
                <c:pt idx="166">
                  <c:v>288.89999999999998</c:v>
                </c:pt>
                <c:pt idx="167">
                  <c:v>414.23214285714226</c:v>
                </c:pt>
                <c:pt idx="168">
                  <c:v>293.36786106654517</c:v>
                </c:pt>
                <c:pt idx="169">
                  <c:v>268.19142857142862</c:v>
                </c:pt>
                <c:pt idx="170">
                  <c:v>229.34857395717026</c:v>
                </c:pt>
                <c:pt idx="171">
                  <c:v>215.08928787142855</c:v>
                </c:pt>
                <c:pt idx="172">
                  <c:v>128.73071398053784</c:v>
                </c:pt>
                <c:pt idx="173">
                  <c:v>118.43833195974599</c:v>
                </c:pt>
                <c:pt idx="174">
                  <c:v>73.115714285714276</c:v>
                </c:pt>
                <c:pt idx="175">
                  <c:v>69.296428135463117</c:v>
                </c:pt>
                <c:pt idx="176">
                  <c:v>62.86000006539475</c:v>
                </c:pt>
                <c:pt idx="177">
                  <c:v>54.305714198521159</c:v>
                </c:pt>
                <c:pt idx="178">
                  <c:v>53.467142922857143</c:v>
                </c:pt>
                <c:pt idx="179">
                  <c:v>51.62714331490649</c:v>
                </c:pt>
                <c:pt idx="180">
                  <c:v>52.48000008857143</c:v>
                </c:pt>
                <c:pt idx="181">
                  <c:v>52.899999890000004</c:v>
                </c:pt>
                <c:pt idx="182">
                  <c:v>50.610000065714296</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32.541394326769705</c:v>
                </c:pt>
                <c:pt idx="1">
                  <c:v>32.297631257433977</c:v>
                </c:pt>
                <c:pt idx="2">
                  <c:v>31.8975303238322</c:v>
                </c:pt>
                <c:pt idx="3">
                  <c:v>31.701616914889829</c:v>
                </c:pt>
                <c:pt idx="4">
                  <c:v>31.834028928234744</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30.721363980454022</c:v>
                </c:pt>
                <c:pt idx="1">
                  <c:v>30.669383802038141</c:v>
                </c:pt>
                <c:pt idx="2">
                  <c:v>30.802189293769867</c:v>
                </c:pt>
                <c:pt idx="3">
                  <c:v>30.42329627610977</c:v>
                </c:pt>
                <c:pt idx="4">
                  <c:v>30.922477239084706</c:v>
                </c:pt>
                <c:pt idx="5">
                  <c:v>30.194752031839197</c:v>
                </c:pt>
                <c:pt idx="6">
                  <c:v>30.031918477843043</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34.237239759754857</c:v>
                </c:pt>
                <c:pt idx="1">
                  <c:v>32.976456538656812</c:v>
                </c:pt>
                <c:pt idx="2">
                  <c:v>32.958359352154083</c:v>
                </c:pt>
                <c:pt idx="3">
                  <c:v>33.486919389868063</c:v>
                </c:pt>
                <c:pt idx="4">
                  <c:v>31.621832365462776</c:v>
                </c:pt>
                <c:pt idx="5">
                  <c:v>31.346898569952113</c:v>
                </c:pt>
                <c:pt idx="6">
                  <c:v>32.139279440999438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50535040451545921"/>
        </c:manualLayout>
      </c:layout>
      <c:barChart>
        <c:barDir val="col"/>
        <c:grouping val="clustered"/>
        <c:varyColors val="0"/>
        <c:ser>
          <c:idx val="0"/>
          <c:order val="0"/>
          <c:tx>
            <c:strRef>
              <c:f>'16. Congestiones'!$D$6</c:f>
              <c:strCache>
                <c:ptCount val="1"/>
                <c:pt idx="0">
                  <c:v>JUNIO
 2022</c:v>
                </c:pt>
              </c:strCache>
            </c:strRef>
          </c:tx>
          <c:spPr>
            <a:solidFill>
              <a:schemeClr val="accent1"/>
            </a:solidFill>
            <a:ln>
              <a:noFill/>
            </a:ln>
            <a:effectLst/>
          </c:spPr>
          <c:invertIfNegative val="0"/>
          <c:cat>
            <c:strRef>
              <c:f>'16. Congestiones'!$C$7:$C$12</c:f>
              <c:strCache>
                <c:ptCount val="6"/>
                <c:pt idx="0">
                  <c:v>TRUJILLO NORTE - CHIMBOTE 1</c:v>
                </c:pt>
                <c:pt idx="1">
                  <c:v>SAN JUAN - LOS INDUSTRIALES</c:v>
                </c:pt>
                <c:pt idx="2">
                  <c:v>SAN JUAN - SANTA ROSA N.</c:v>
                </c:pt>
                <c:pt idx="3">
                  <c:v>SANTA ROSA N. - CHAVARRÍA</c:v>
                </c:pt>
                <c:pt idx="4">
                  <c:v>INDEPENDENCIA</c:v>
                </c:pt>
                <c:pt idx="5">
                  <c:v>CHILCA - PLANICIE</c:v>
                </c:pt>
              </c:strCache>
            </c:strRef>
          </c:cat>
          <c:val>
            <c:numRef>
              <c:f>'16. Congestiones'!$D$7:$D$12</c:f>
              <c:numCache>
                <c:formatCode>#,##0.00</c:formatCode>
                <c:ptCount val="6"/>
                <c:pt idx="5">
                  <c:v>114.86666666666669</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JUNIO
 2021</c:v>
                </c:pt>
              </c:strCache>
            </c:strRef>
          </c:tx>
          <c:spPr>
            <a:solidFill>
              <a:schemeClr val="accent2"/>
            </a:solidFill>
            <a:ln>
              <a:noFill/>
            </a:ln>
            <a:effectLst/>
          </c:spPr>
          <c:invertIfNegative val="0"/>
          <c:cat>
            <c:strRef>
              <c:f>'16. Congestiones'!$C$7:$C$12</c:f>
              <c:strCache>
                <c:ptCount val="6"/>
                <c:pt idx="0">
                  <c:v>TRUJILLO NORTE - CHIMBOTE 1</c:v>
                </c:pt>
                <c:pt idx="1">
                  <c:v>SAN JUAN - LOS INDUSTRIALES</c:v>
                </c:pt>
                <c:pt idx="2">
                  <c:v>SAN JUAN - SANTA ROSA N.</c:v>
                </c:pt>
                <c:pt idx="3">
                  <c:v>SANTA ROSA N. - CHAVARRÍA</c:v>
                </c:pt>
                <c:pt idx="4">
                  <c:v>INDEPENDENCIA</c:v>
                </c:pt>
                <c:pt idx="5">
                  <c:v>CHILCA - PLANICIE</c:v>
                </c:pt>
              </c:strCache>
            </c:strRef>
          </c:cat>
          <c:val>
            <c:numRef>
              <c:f>'16. Congestiones'!$E$7:$E$12</c:f>
              <c:numCache>
                <c:formatCode>#,##0.00</c:formatCode>
                <c:ptCount val="6"/>
                <c:pt idx="0">
                  <c:v>11.93333333333333</c:v>
                </c:pt>
                <c:pt idx="1">
                  <c:v>7.5499999999999989</c:v>
                </c:pt>
                <c:pt idx="2">
                  <c:v>7.5499999999999989</c:v>
                </c:pt>
                <c:pt idx="3">
                  <c:v>4.2333333333333325</c:v>
                </c:pt>
                <c:pt idx="4">
                  <c:v>34.466666666666661</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JUNIO
 2020</c:v>
                </c:pt>
              </c:strCache>
            </c:strRef>
          </c:tx>
          <c:spPr>
            <a:solidFill>
              <a:schemeClr val="accent6"/>
            </a:solidFill>
            <a:ln>
              <a:noFill/>
            </a:ln>
            <a:effectLst/>
          </c:spPr>
          <c:invertIfNegative val="0"/>
          <c:val>
            <c:numRef>
              <c:f>'16. Congestiones'!$F$7:$F$12</c:f>
              <c:numCache>
                <c:formatCode>#,##0.00</c:formatCode>
                <c:ptCount val="6"/>
                <c:pt idx="4">
                  <c:v>12.883333333333335</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435797370834"/>
          <c:y val="0.197177456227057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2.6939571270316261E-2"/>
                  <c:y val="-3.398586055780448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0.14674860331750147"/>
                  <c:y val="-1.8020973046130477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0.38593149298363144"/>
                  <c:y val="-0.63866487509726644"/>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CFB78BC4-28D5-47C7-B7DB-8191FAC6D7D2}"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7105970562319367"/>
                  <c:y val="1.851004390480984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7.706364801827964E-2"/>
                  <c:y val="1.632738009751393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27603D00-D9FB-4149-8137-F4436AFFD3A3}"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4</c:v>
                </c:pt>
                <c:pt idx="1">
                  <c:v>1</c:v>
                </c:pt>
                <c:pt idx="2">
                  <c:v>6</c:v>
                </c:pt>
                <c:pt idx="3">
                  <c:v>0</c:v>
                </c:pt>
                <c:pt idx="4">
                  <c:v>3</c:v>
                </c:pt>
                <c:pt idx="5">
                  <c:v>0</c:v>
                </c:pt>
                <c:pt idx="6">
                  <c:v>3</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LINEA DE TRANSMISION</c:v>
                </c:pt>
                <c:pt idx="1">
                  <c:v>TRANSFORMADOR 3D</c:v>
                </c:pt>
                <c:pt idx="2">
                  <c:v>CENTRAL TERMOELÉCTRICA</c:v>
                </c:pt>
                <c:pt idx="3">
                  <c:v>GENERADOR TERMOELÉCTRICO</c:v>
                </c:pt>
              </c:strCache>
            </c:strRef>
          </c:cat>
          <c:val>
            <c:numRef>
              <c:f>'17. Eventos'!$J$7:$J$10</c:f>
              <c:numCache>
                <c:formatCode>#,##0.00</c:formatCode>
                <c:ptCount val="4"/>
                <c:pt idx="0">
                  <c:v>78.11</c:v>
                </c:pt>
                <c:pt idx="1">
                  <c:v>13.41</c:v>
                </c:pt>
                <c:pt idx="2">
                  <c:v>16.29</c:v>
                </c:pt>
                <c:pt idx="3">
                  <c:v>83.58</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014163821766617"/>
          <c:y val="0.2077097698529051"/>
          <c:w val="0.50536734632933233"/>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TRANSFORMADOR 3D</c:v>
                </c:pt>
                <c:pt idx="2">
                  <c:v>CENTRAL TERMOELÉCTRICA</c:v>
                </c:pt>
                <c:pt idx="3">
                  <c:v>GENERADOR TERMOELÉCTRICO</c:v>
                </c:pt>
              </c:strCache>
            </c:strRef>
          </c:cat>
          <c:val>
            <c:numRef>
              <c:f>'17. Eventos'!$B$7:$B$10</c:f>
              <c:numCache>
                <c:formatCode>General</c:formatCode>
                <c:ptCount val="4"/>
                <c:pt idx="0">
                  <c:v>4</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TRANSFORMADOR 3D</c:v>
                </c:pt>
                <c:pt idx="2">
                  <c:v>CENTRAL TERMOELÉCTRICA</c:v>
                </c:pt>
                <c:pt idx="3">
                  <c:v>GENERADOR TERMOELÉCTRICO</c:v>
                </c:pt>
              </c:strCache>
            </c:strRef>
          </c:cat>
          <c:val>
            <c:numRef>
              <c:f>'17. Eventos'!$C$7:$C$10</c:f>
              <c:numCache>
                <c:formatCode>General</c:formatCode>
                <c:ptCount val="4"/>
                <c:pt idx="0">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TRANSFORMADOR 3D</c:v>
                </c:pt>
                <c:pt idx="2">
                  <c:v>CENTRAL TERMOELÉCTRICA</c:v>
                </c:pt>
                <c:pt idx="3">
                  <c:v>GENERADOR TERMOELÉCTRICO</c:v>
                </c:pt>
              </c:strCache>
            </c:strRef>
          </c:cat>
          <c:val>
            <c:numRef>
              <c:f>'17. Eventos'!$D$7:$D$10</c:f>
              <c:numCache>
                <c:formatCode>General</c:formatCode>
                <c:ptCount val="4"/>
                <c:pt idx="0">
                  <c:v>3</c:v>
                </c:pt>
                <c:pt idx="1">
                  <c:v>1</c:v>
                </c:pt>
                <c:pt idx="2">
                  <c:v>1</c:v>
                </c:pt>
                <c:pt idx="3">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TRANSFORMADOR 3D</c:v>
                </c:pt>
                <c:pt idx="2">
                  <c:v>CENTRAL TERMOELÉCTRICA</c:v>
                </c:pt>
                <c:pt idx="3">
                  <c:v>GENERADOR TERMOELÉCTRICO</c:v>
                </c:pt>
              </c:strCache>
            </c:strRef>
          </c:cat>
          <c:val>
            <c:numRef>
              <c:f>'17. Eventos'!$E$7:$E$10</c:f>
              <c:numCache>
                <c:formatCode>General</c:formatCode>
                <c:ptCount val="4"/>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4"/>
                <c:pt idx="0">
                  <c:v>LINEA DE TRANSMISION</c:v>
                </c:pt>
                <c:pt idx="1">
                  <c:v>TRANSFORMADOR 3D</c:v>
                </c:pt>
                <c:pt idx="2">
                  <c:v>CENTRAL TERMOELÉCTRICA</c:v>
                </c:pt>
                <c:pt idx="3">
                  <c:v>GENERADOR TERMOELÉCTRICO</c:v>
                </c:pt>
              </c:strCache>
            </c:strRef>
          </c:cat>
          <c:val>
            <c:numRef>
              <c:f>'17. Eventos'!$F$7:$F$10</c:f>
              <c:numCache>
                <c:formatCode>General</c:formatCode>
                <c:ptCount val="4"/>
                <c:pt idx="0">
                  <c:v>2</c:v>
                </c:pt>
                <c:pt idx="1">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TRANSFORMADOR 3D</c:v>
                </c:pt>
                <c:pt idx="2">
                  <c:v>CENTRAL TERMOELÉCTRICA</c:v>
                </c:pt>
                <c:pt idx="3">
                  <c:v>GENERADOR TERMOELÉCTRICO</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TRANSFORMADOR 3D</c:v>
                </c:pt>
                <c:pt idx="2">
                  <c:v>CENTRAL TERMOELÉCTRICA</c:v>
                </c:pt>
                <c:pt idx="3">
                  <c:v>GENERADOR TERMOELÉCTRICO</c:v>
                </c:pt>
              </c:strCache>
            </c:strRef>
          </c:cat>
          <c:val>
            <c:numRef>
              <c:f>'17. Eventos'!$H$7:$H$10</c:f>
              <c:numCache>
                <c:formatCode>General</c:formatCode>
                <c:ptCount val="4"/>
                <c:pt idx="0">
                  <c:v>3</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generación'!$B$19:$C$19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generación'!$D$18:$E$18</c:f>
              <c:strCache>
                <c:ptCount val="2"/>
                <c:pt idx="0">
                  <c:v>JUNIO 2022</c:v>
                </c:pt>
                <c:pt idx="1">
                  <c:v>JUNIO 2021</c:v>
                </c:pt>
              </c:strCache>
            </c:strRef>
          </c:cat>
          <c:val>
            <c:numRef>
              <c:f>'2. Oferta de generación'!$D$19:$E$19</c:f>
              <c:numCache>
                <c:formatCode>#,##0.0</c:formatCode>
                <c:ptCount val="2"/>
                <c:pt idx="0">
                  <c:v>5260.9382475000002</c:v>
                </c:pt>
                <c:pt idx="1">
                  <c:v>5245.6192474999998</c:v>
                </c:pt>
              </c:numCache>
            </c:numRef>
          </c:val>
          <c:extLst>
            <c:ext xmlns:c16="http://schemas.microsoft.com/office/drawing/2014/chart" uri="{C3380CC4-5D6E-409C-BE32-E72D297353CC}">
              <c16:uniqueId val="{00000004-54B0-402D-913D-0304413B844F}"/>
            </c:ext>
          </c:extLst>
        </c:ser>
        <c:ser>
          <c:idx val="1"/>
          <c:order val="1"/>
          <c:tx>
            <c:strRef>
              <c:f>'2. Oferta de generación'!$B$20:$C$20</c:f>
              <c:strCache>
                <c:ptCount val="2"/>
                <c:pt idx="0">
                  <c:v>TERMOELÉCTRICA</c:v>
                </c:pt>
              </c:strCache>
            </c:strRef>
          </c:tx>
          <c:spPr>
            <a:solidFill>
              <a:schemeClr val="accent2"/>
            </a:solidFill>
          </c:spPr>
          <c:invertIfNegative val="0"/>
          <c:cat>
            <c:strRef>
              <c:f>'2. Oferta de generación'!$D$18:$E$18</c:f>
              <c:strCache>
                <c:ptCount val="2"/>
                <c:pt idx="0">
                  <c:v>JUNIO 2022</c:v>
                </c:pt>
                <c:pt idx="1">
                  <c:v>JUNIO 2021</c:v>
                </c:pt>
              </c:strCache>
            </c:strRef>
          </c:cat>
          <c:val>
            <c:numRef>
              <c:f>'2. Oferta de generación'!$D$20:$E$20</c:f>
              <c:numCache>
                <c:formatCode>#,##0.0</c:formatCode>
                <c:ptCount val="2"/>
                <c:pt idx="0">
                  <c:v>7605.0945000000002</c:v>
                </c:pt>
                <c:pt idx="1">
                  <c:v>7398.3644999999997</c:v>
                </c:pt>
              </c:numCache>
            </c:numRef>
          </c:val>
          <c:extLst>
            <c:ext xmlns:c16="http://schemas.microsoft.com/office/drawing/2014/chart" uri="{C3380CC4-5D6E-409C-BE32-E72D297353CC}">
              <c16:uniqueId val="{00000005-54B0-402D-913D-0304413B844F}"/>
            </c:ext>
          </c:extLst>
        </c:ser>
        <c:ser>
          <c:idx val="2"/>
          <c:order val="2"/>
          <c:tx>
            <c:strRef>
              <c:f>'2. Oferta de generación'!$B$21:$C$21</c:f>
              <c:strCache>
                <c:ptCount val="2"/>
                <c:pt idx="0">
                  <c:v>EÓLICA</c:v>
                </c:pt>
              </c:strCache>
            </c:strRef>
          </c:tx>
          <c:spPr>
            <a:solidFill>
              <a:srgbClr val="6DA6D9"/>
            </a:solidFill>
          </c:spPr>
          <c:invertIfNegative val="0"/>
          <c:cat>
            <c:strRef>
              <c:f>'2. Oferta de generación'!$D$18:$E$18</c:f>
              <c:strCache>
                <c:ptCount val="2"/>
                <c:pt idx="0">
                  <c:v>JUNIO 2022</c:v>
                </c:pt>
                <c:pt idx="1">
                  <c:v>JUNIO 2021</c:v>
                </c:pt>
              </c:strCache>
            </c:strRef>
          </c:cat>
          <c:val>
            <c:numRef>
              <c:f>'2. Oferta de generación'!$D$21:$E$21</c:f>
              <c:numCache>
                <c:formatCode>#,##0.0</c:formatCode>
                <c:ptCount val="2"/>
                <c:pt idx="0">
                  <c:v>412.2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generación'!$B$22:$C$22</c:f>
              <c:strCache>
                <c:ptCount val="2"/>
                <c:pt idx="0">
                  <c:v>SOLAR</c:v>
                </c:pt>
              </c:strCache>
            </c:strRef>
          </c:tx>
          <c:invertIfNegative val="0"/>
          <c:cat>
            <c:strRef>
              <c:f>'2. Oferta de generación'!$D$18:$E$18</c:f>
              <c:strCache>
                <c:ptCount val="2"/>
                <c:pt idx="0">
                  <c:v>JUNIO 2022</c:v>
                </c:pt>
                <c:pt idx="1">
                  <c:v>JUNIO 2021</c:v>
                </c:pt>
              </c:strCache>
            </c:strRef>
          </c:cat>
          <c:val>
            <c:numRef>
              <c:f>'2. Oferta de generación'!$D$22:$E$22</c:f>
              <c:numCache>
                <c:formatCode>#,##0.0</c:formatCode>
                <c:ptCount val="2"/>
                <c:pt idx="0">
                  <c:v>282.27499999999992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16968.109444374997</c:v>
                </c:pt>
                <c:pt idx="1">
                  <c:v>5023.9724376499998</c:v>
                </c:pt>
                <c:pt idx="2">
                  <c:v>800.99519206749994</c:v>
                </c:pt>
                <c:pt idx="3">
                  <c:v>350.62904399749999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17295.1478346925</c:v>
                </c:pt>
                <c:pt idx="1">
                  <c:v>8091.8510132299998</c:v>
                </c:pt>
                <c:pt idx="2">
                  <c:v>863.7040409650001</c:v>
                </c:pt>
                <c:pt idx="3">
                  <c:v>374.22773975749999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16886.715883727498</c:v>
                </c:pt>
                <c:pt idx="1">
                  <c:v>9104.4214192524978</c:v>
                </c:pt>
                <c:pt idx="2">
                  <c:v>923.25157559249988</c:v>
                </c:pt>
                <c:pt idx="3">
                  <c:v>379.83185701999997</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16886.715883727498</c:v>
                </c:pt>
                <c:pt idx="1">
                  <c:v>8576.0388914474988</c:v>
                </c:pt>
                <c:pt idx="2">
                  <c:v>286.79904675000006</c:v>
                </c:pt>
                <c:pt idx="3">
                  <c:v>75.51004474749999</c:v>
                </c:pt>
                <c:pt idx="4">
                  <c:v>0</c:v>
                </c:pt>
                <c:pt idx="5">
                  <c:v>6.0839352225000001</c:v>
                </c:pt>
                <c:pt idx="6">
                  <c:v>6.1898244674999994</c:v>
                </c:pt>
                <c:pt idx="7">
                  <c:v>0</c:v>
                </c:pt>
                <c:pt idx="8">
                  <c:v>14.183467992500002</c:v>
                </c:pt>
                <c:pt idx="9">
                  <c:v>103.02948834999998</c:v>
                </c:pt>
                <c:pt idx="10">
                  <c:v>36.586720274999998</c:v>
                </c:pt>
                <c:pt idx="11">
                  <c:v>379.83185701999997</c:v>
                </c:pt>
                <c:pt idx="12">
                  <c:v>923.25157559249988</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17295.1478346925</c:v>
                </c:pt>
                <c:pt idx="1">
                  <c:v>7505.1897904274992</c:v>
                </c:pt>
                <c:pt idx="2">
                  <c:v>333.90736995499998</c:v>
                </c:pt>
                <c:pt idx="3">
                  <c:v>71.650333852499998</c:v>
                </c:pt>
                <c:pt idx="4">
                  <c:v>0</c:v>
                </c:pt>
                <c:pt idx="5">
                  <c:v>12.778767482499999</c:v>
                </c:pt>
                <c:pt idx="6">
                  <c:v>4.2980835649999998</c:v>
                </c:pt>
                <c:pt idx="7">
                  <c:v>0</c:v>
                </c:pt>
                <c:pt idx="8">
                  <c:v>10.244491575</c:v>
                </c:pt>
                <c:pt idx="9">
                  <c:v>112.68767763999999</c:v>
                </c:pt>
                <c:pt idx="10">
                  <c:v>41.094498732500007</c:v>
                </c:pt>
                <c:pt idx="11">
                  <c:v>374.22773975749999</c:v>
                </c:pt>
                <c:pt idx="12">
                  <c:v>863.7040409650001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16968.109444374997</c:v>
                </c:pt>
                <c:pt idx="1">
                  <c:v>4643.9973746100004</c:v>
                </c:pt>
                <c:pt idx="2">
                  <c:v>227.43830298750001</c:v>
                </c:pt>
                <c:pt idx="3">
                  <c:v>15.849400752499999</c:v>
                </c:pt>
                <c:pt idx="4">
                  <c:v>0</c:v>
                </c:pt>
                <c:pt idx="5">
                  <c:v>0</c:v>
                </c:pt>
                <c:pt idx="6">
                  <c:v>1.2236413724999999</c:v>
                </c:pt>
                <c:pt idx="7">
                  <c:v>0</c:v>
                </c:pt>
                <c:pt idx="8">
                  <c:v>8.0604177100000012</c:v>
                </c:pt>
                <c:pt idx="9">
                  <c:v>106.3829947025</c:v>
                </c:pt>
                <c:pt idx="10">
                  <c:v>21.020305515</c:v>
                </c:pt>
                <c:pt idx="11">
                  <c:v>350.62904399749999</c:v>
                </c:pt>
                <c:pt idx="12">
                  <c:v>800.99519206749994</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1270.3747325024999</c:v>
                </c:pt>
                <c:pt idx="1">
                  <c:v>800.99519206749994</c:v>
                </c:pt>
                <c:pt idx="2">
                  <c:v>350.62904399749999</c:v>
                </c:pt>
                <c:pt idx="3">
                  <c:v>106.3829947025</c:v>
                </c:pt>
                <c:pt idx="4">
                  <c:v>21.020305515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1355.7110774300002</c:v>
                </c:pt>
                <c:pt idx="1">
                  <c:v>863.7040409650001</c:v>
                </c:pt>
                <c:pt idx="2">
                  <c:v>374.22773975749999</c:v>
                </c:pt>
                <c:pt idx="3">
                  <c:v>112.68767763999999</c:v>
                </c:pt>
                <c:pt idx="4">
                  <c:v>41.094498732500007</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1260.82759442</c:v>
                </c:pt>
                <c:pt idx="1">
                  <c:v>923.25157559249988</c:v>
                </c:pt>
                <c:pt idx="2">
                  <c:v>379.83185701999997</c:v>
                </c:pt>
                <c:pt idx="3">
                  <c:v>103.02948834999998</c:v>
                </c:pt>
                <c:pt idx="4">
                  <c:v>36.586720274999998</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1.224924388577886E-2"/>
                  <c:y val="-0.15432064054203254"/>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6.7784938475619477E-2"/>
                  <c:y val="0.16458803608500011"/>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8,516%</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4157.476268765</c:v>
                </c:pt>
                <c:pt idx="1">
                  <c:v>147.39524293750003</c:v>
                </c:pt>
                <c:pt idx="2">
                  <c:v>155.79105628249997</c:v>
                </c:pt>
                <c:pt idx="3">
                  <c:v>55.017436232500003</c:v>
                </c:pt>
                <c:pt idx="4">
                  <c:v>22.232450172500002</c:v>
                </c:pt>
                <c:pt idx="5">
                  <c:v>6.5507768749999995</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RENOVANDES H1</c:v>
                </c:pt>
                <c:pt idx="1">
                  <c:v>C.H. YARUCAYA</c:v>
                </c:pt>
                <c:pt idx="2">
                  <c:v>C.H. CHANCAY</c:v>
                </c:pt>
                <c:pt idx="3">
                  <c:v>C.H. POTRERO</c:v>
                </c:pt>
                <c:pt idx="4">
                  <c:v>C.H. LAS PIZARRAS</c:v>
                </c:pt>
                <c:pt idx="5">
                  <c:v>C.H. 8 DE AGOSTO</c:v>
                </c:pt>
                <c:pt idx="6">
                  <c:v>C.H. RUCUY</c:v>
                </c:pt>
                <c:pt idx="7">
                  <c:v>C.H. CARHUAC</c:v>
                </c:pt>
                <c:pt idx="8">
                  <c:v>C.H. CARHUAQUERO IV</c:v>
                </c:pt>
                <c:pt idx="9">
                  <c:v>C.H. RUNATULLO III</c:v>
                </c:pt>
                <c:pt idx="10">
                  <c:v>C.H. LA JOYA</c:v>
                </c:pt>
                <c:pt idx="11">
                  <c:v>C.H. ÁNGEL III</c:v>
                </c:pt>
                <c:pt idx="12">
                  <c:v>C.H. ÁNGEL II</c:v>
                </c:pt>
                <c:pt idx="13">
                  <c:v>C.H. POECHOS II</c:v>
                </c:pt>
                <c:pt idx="14">
                  <c:v>C.H. RUNATULLO II</c:v>
                </c:pt>
                <c:pt idx="15">
                  <c:v>C.H. CAÑA BRAVA</c:v>
                </c:pt>
                <c:pt idx="16">
                  <c:v>C.H. HUASAHUASI II</c:v>
                </c:pt>
                <c:pt idx="17">
                  <c:v>C.H. ÁNGEL I</c:v>
                </c:pt>
                <c:pt idx="18">
                  <c:v>C.H. HUASAHUASI I</c:v>
                </c:pt>
                <c:pt idx="19">
                  <c:v>C.H. EL CARMEN</c:v>
                </c:pt>
                <c:pt idx="20">
                  <c:v>C.H. IMPERIAL</c:v>
                </c:pt>
                <c:pt idx="21">
                  <c:v>C.H. YANAPAMPA</c:v>
                </c:pt>
                <c:pt idx="22">
                  <c:v>C.H. SANTA CRUZ II</c:v>
                </c:pt>
                <c:pt idx="23">
                  <c:v>C.H. RONCADOR</c:v>
                </c:pt>
                <c:pt idx="24">
                  <c:v>C.H. CANCHAYLLO</c:v>
                </c:pt>
                <c:pt idx="25">
                  <c:v>C.H. SANTA CRUZ I</c:v>
                </c:pt>
                <c:pt idx="26">
                  <c:v>C.H. HER 1</c:v>
                </c:pt>
                <c:pt idx="27">
                  <c:v>C.H. PURMACANA</c:v>
                </c:pt>
                <c:pt idx="28">
                  <c:v>C.H. MANTA I</c:v>
                </c:pt>
              </c:strCache>
            </c:strRef>
          </c:cat>
          <c:val>
            <c:numRef>
              <c:f>'6. FP RER'!$O$6:$O$34</c:f>
              <c:numCache>
                <c:formatCode>0.00</c:formatCode>
                <c:ptCount val="29"/>
                <c:pt idx="0">
                  <c:v>14.366262819999999</c:v>
                </c:pt>
                <c:pt idx="1">
                  <c:v>12.23145675</c:v>
                </c:pt>
                <c:pt idx="2">
                  <c:v>11.897997650000001</c:v>
                </c:pt>
                <c:pt idx="3">
                  <c:v>10.9936367</c:v>
                </c:pt>
                <c:pt idx="4">
                  <c:v>10.89432549</c:v>
                </c:pt>
                <c:pt idx="5">
                  <c:v>8.1275286624999996</c:v>
                </c:pt>
                <c:pt idx="6">
                  <c:v>7.7094401350000004</c:v>
                </c:pt>
                <c:pt idx="7">
                  <c:v>7.1542922874999997</c:v>
                </c:pt>
                <c:pt idx="8">
                  <c:v>7.1322324999999998</c:v>
                </c:pt>
                <c:pt idx="9">
                  <c:v>5.8332654125000003</c:v>
                </c:pt>
                <c:pt idx="10">
                  <c:v>5.3037292924999999</c:v>
                </c:pt>
                <c:pt idx="11">
                  <c:v>5.0257970599999995</c:v>
                </c:pt>
                <c:pt idx="12">
                  <c:v>4.9381988149999998</c:v>
                </c:pt>
                <c:pt idx="13">
                  <c:v>4.7424393074999998</c:v>
                </c:pt>
                <c:pt idx="14">
                  <c:v>4.0274485725</c:v>
                </c:pt>
                <c:pt idx="15">
                  <c:v>3.8424575000000001</c:v>
                </c:pt>
                <c:pt idx="16">
                  <c:v>3.7216503349999996</c:v>
                </c:pt>
                <c:pt idx="17">
                  <c:v>3.7014006374999999</c:v>
                </c:pt>
                <c:pt idx="18">
                  <c:v>3.4325044499999997</c:v>
                </c:pt>
                <c:pt idx="19">
                  <c:v>2.8826659525</c:v>
                </c:pt>
                <c:pt idx="20">
                  <c:v>2.0987</c:v>
                </c:pt>
                <c:pt idx="21">
                  <c:v>1.83194685</c:v>
                </c:pt>
                <c:pt idx="22">
                  <c:v>1.4776692875000002</c:v>
                </c:pt>
                <c:pt idx="23">
                  <c:v>1.33232325</c:v>
                </c:pt>
                <c:pt idx="24">
                  <c:v>1.2439878475000001</c:v>
                </c:pt>
                <c:pt idx="25">
                  <c:v>1.2109361224999999</c:v>
                </c:pt>
                <c:pt idx="26">
                  <c:v>0.24094925</c:v>
                </c:pt>
                <c:pt idx="27">
                  <c:v>0</c:v>
                </c:pt>
                <c:pt idx="28">
                  <c:v>0</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RENOVANDES H1</c:v>
                </c:pt>
                <c:pt idx="1">
                  <c:v>C.H. YARUCAYA</c:v>
                </c:pt>
                <c:pt idx="2">
                  <c:v>C.H. CHANCAY</c:v>
                </c:pt>
                <c:pt idx="3">
                  <c:v>C.H. POTRERO</c:v>
                </c:pt>
                <c:pt idx="4">
                  <c:v>C.H. LAS PIZARRAS</c:v>
                </c:pt>
                <c:pt idx="5">
                  <c:v>C.H. 8 DE AGOSTO</c:v>
                </c:pt>
                <c:pt idx="6">
                  <c:v>C.H. RUCUY</c:v>
                </c:pt>
                <c:pt idx="7">
                  <c:v>C.H. CARHUAC</c:v>
                </c:pt>
                <c:pt idx="8">
                  <c:v>C.H. CARHUAQUERO IV</c:v>
                </c:pt>
                <c:pt idx="9">
                  <c:v>C.H. RUNATULLO III</c:v>
                </c:pt>
                <c:pt idx="10">
                  <c:v>C.H. LA JOYA</c:v>
                </c:pt>
                <c:pt idx="11">
                  <c:v>C.H. ÁNGEL III</c:v>
                </c:pt>
                <c:pt idx="12">
                  <c:v>C.H. ÁNGEL II</c:v>
                </c:pt>
                <c:pt idx="13">
                  <c:v>C.H. POECHOS II</c:v>
                </c:pt>
                <c:pt idx="14">
                  <c:v>C.H. RUNATULLO II</c:v>
                </c:pt>
                <c:pt idx="15">
                  <c:v>C.H. CAÑA BRAVA</c:v>
                </c:pt>
                <c:pt idx="16">
                  <c:v>C.H. HUASAHUASI II</c:v>
                </c:pt>
                <c:pt idx="17">
                  <c:v>C.H. ÁNGEL I</c:v>
                </c:pt>
                <c:pt idx="18">
                  <c:v>C.H. HUASAHUASI I</c:v>
                </c:pt>
                <c:pt idx="19">
                  <c:v>C.H. EL CARMEN</c:v>
                </c:pt>
                <c:pt idx="20">
                  <c:v>C.H. IMPERIAL</c:v>
                </c:pt>
                <c:pt idx="21">
                  <c:v>C.H. YANAPAMPA</c:v>
                </c:pt>
                <c:pt idx="22">
                  <c:v>C.H. SANTA CRUZ II</c:v>
                </c:pt>
                <c:pt idx="23">
                  <c:v>C.H. RONCADOR</c:v>
                </c:pt>
                <c:pt idx="24">
                  <c:v>C.H. CANCHAYLLO</c:v>
                </c:pt>
                <c:pt idx="25">
                  <c:v>C.H. SANTA CRUZ I</c:v>
                </c:pt>
                <c:pt idx="26">
                  <c:v>C.H. HER 1</c:v>
                </c:pt>
                <c:pt idx="27">
                  <c:v>C.H. PURMACANA</c:v>
                </c:pt>
                <c:pt idx="28">
                  <c:v>C.H. MANTA I</c:v>
                </c:pt>
              </c:strCache>
            </c:strRef>
          </c:cat>
          <c:val>
            <c:numRef>
              <c:f>'6. FP RER'!$P$6:$P$34</c:f>
              <c:numCache>
                <c:formatCode>0.00</c:formatCode>
                <c:ptCount val="29"/>
                <c:pt idx="0">
                  <c:v>0.95643480038134199</c:v>
                </c:pt>
                <c:pt idx="1">
                  <c:v>0.93608851526338976</c:v>
                </c:pt>
                <c:pt idx="2">
                  <c:v>0.8141996815190734</c:v>
                </c:pt>
                <c:pt idx="3">
                  <c:v>0.75581327893827877</c:v>
                </c:pt>
                <c:pt idx="4">
                  <c:v>0.78809383707909053</c:v>
                </c:pt>
                <c:pt idx="5">
                  <c:v>0.54850506576638591</c:v>
                </c:pt>
                <c:pt idx="6">
                  <c:v>0.52824645994354003</c:v>
                </c:pt>
                <c:pt idx="7">
                  <c:v>0.48789805081575888</c:v>
                </c:pt>
                <c:pt idx="8">
                  <c:v>0.9922747142364241</c:v>
                </c:pt>
                <c:pt idx="9">
                  <c:v>0.4057776979545783</c:v>
                </c:pt>
                <c:pt idx="10">
                  <c:v>0.8112771090365587</c:v>
                </c:pt>
                <c:pt idx="11">
                  <c:v>0.34755291980030151</c:v>
                </c:pt>
                <c:pt idx="12">
                  <c:v>0.34315060437659645</c:v>
                </c:pt>
                <c:pt idx="13">
                  <c:v>0.68855543178096024</c:v>
                </c:pt>
                <c:pt idx="14">
                  <c:v>0.28014616982604629</c:v>
                </c:pt>
                <c:pt idx="15">
                  <c:v>0.9412251371742113</c:v>
                </c:pt>
                <c:pt idx="16">
                  <c:v>0.51874624772675237</c:v>
                </c:pt>
                <c:pt idx="17">
                  <c:v>0.25638932829166183</c:v>
                </c:pt>
                <c:pt idx="18">
                  <c:v>0.48399667935702206</c:v>
                </c:pt>
                <c:pt idx="19">
                  <c:v>0.46663201769295515</c:v>
                </c:pt>
                <c:pt idx="20">
                  <c:v>0.73366753362977877</c:v>
                </c:pt>
                <c:pt idx="21">
                  <c:v>0.64970229507610666</c:v>
                </c:pt>
                <c:pt idx="22">
                  <c:v>0.31564417946187495</c:v>
                </c:pt>
                <c:pt idx="23">
                  <c:v>0.55892137984847345</c:v>
                </c:pt>
                <c:pt idx="24">
                  <c:v>0.33296606269137707</c:v>
                </c:pt>
                <c:pt idx="25">
                  <c:v>0.25344420218421404</c:v>
                </c:pt>
                <c:pt idx="26">
                  <c:v>0.49311896845780645</c:v>
                </c:pt>
                <c:pt idx="27">
                  <c:v>0</c:v>
                </c:pt>
                <c:pt idx="28">
                  <c:v>0</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RER'!$L$35:$L$41</c:f>
              <c:strCache>
                <c:ptCount val="7"/>
                <c:pt idx="0">
                  <c:v>C.E. WAYRA I</c:v>
                </c:pt>
                <c:pt idx="1">
                  <c:v>C.E. TRES HERMANAS</c:v>
                </c:pt>
                <c:pt idx="2">
                  <c:v>C.E. CUPISNIQUE</c:v>
                </c:pt>
                <c:pt idx="3">
                  <c:v>C.E. TALARA</c:v>
                </c:pt>
                <c:pt idx="4">
                  <c:v>C.E. MARCONA</c:v>
                </c:pt>
                <c:pt idx="5">
                  <c:v>C.E. DUNA</c:v>
                </c:pt>
                <c:pt idx="6">
                  <c:v>C.E. HUAMBOS</c:v>
                </c:pt>
              </c:strCache>
            </c:strRef>
          </c:cat>
          <c:val>
            <c:numRef>
              <c:f>'6. FP RER'!$O$35:$O$41</c:f>
              <c:numCache>
                <c:formatCode>0.00</c:formatCode>
                <c:ptCount val="7"/>
                <c:pt idx="0">
                  <c:v>46.366825750000004</c:v>
                </c:pt>
                <c:pt idx="1">
                  <c:v>38.330881479999995</c:v>
                </c:pt>
                <c:pt idx="2">
                  <c:v>33.161910750000004</c:v>
                </c:pt>
                <c:pt idx="3">
                  <c:v>16.046638925</c:v>
                </c:pt>
                <c:pt idx="4">
                  <c:v>12.8119535225</c:v>
                </c:pt>
                <c:pt idx="5">
                  <c:v>5.2907613174999994</c:v>
                </c:pt>
                <c:pt idx="6">
                  <c:v>3.7820845374999998</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RER'!$L$35:$L$41</c:f>
              <c:strCache>
                <c:ptCount val="7"/>
                <c:pt idx="0">
                  <c:v>C.E. WAYRA I</c:v>
                </c:pt>
                <c:pt idx="1">
                  <c:v>C.E. TRES HERMANAS</c:v>
                </c:pt>
                <c:pt idx="2">
                  <c:v>C.E. CUPISNIQUE</c:v>
                </c:pt>
                <c:pt idx="3">
                  <c:v>C.E. TALARA</c:v>
                </c:pt>
                <c:pt idx="4">
                  <c:v>C.E. MARCONA</c:v>
                </c:pt>
                <c:pt idx="5">
                  <c:v>C.E. DUNA</c:v>
                </c:pt>
                <c:pt idx="6">
                  <c:v>C.E. HUAMBOS</c:v>
                </c:pt>
              </c:strCache>
            </c:strRef>
          </c:cat>
          <c:val>
            <c:numRef>
              <c:f>'6. FP RER'!$P$35:$P$41</c:f>
              <c:numCache>
                <c:formatCode>0.00</c:formatCode>
                <c:ptCount val="7"/>
                <c:pt idx="0">
                  <c:v>0.48676015946502055</c:v>
                </c:pt>
                <c:pt idx="1">
                  <c:v>0.54799110024589681</c:v>
                </c:pt>
                <c:pt idx="2">
                  <c:v>0.55391713018641009</c:v>
                </c:pt>
                <c:pt idx="3">
                  <c:v>0.72219697041297615</c:v>
                </c:pt>
                <c:pt idx="4">
                  <c:v>0.5560743716362847</c:v>
                </c:pt>
                <c:pt idx="5">
                  <c:v>0.40001522088398961</c:v>
                </c:pt>
                <c:pt idx="6">
                  <c:v>0.28594965655809595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12</xdr:col>
      <xdr:colOff>9525</xdr:colOff>
      <xdr:row>9</xdr:row>
      <xdr:rowOff>9525</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0"/>
          <a:ext cx="7391400" cy="1295400"/>
        </a:xfrm>
        <a:prstGeom prst="rect">
          <a:avLst/>
        </a:prstGeom>
      </xdr:spPr>
    </xdr:pic>
    <xdr:clientData/>
  </xdr:twoCellAnchor>
  <xdr:twoCellAnchor editAs="oneCell">
    <xdr:from>
      <xdr:col>0</xdr:col>
      <xdr:colOff>199056</xdr:colOff>
      <xdr:row>60</xdr:row>
      <xdr:rowOff>93085</xdr:rowOff>
    </xdr:from>
    <xdr:to>
      <xdr:col>4</xdr:col>
      <xdr:colOff>221888</xdr:colOff>
      <xdr:row>68</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67</xdr:row>
      <xdr:rowOff>11907</xdr:rowOff>
    </xdr:from>
    <xdr:to>
      <xdr:col>11</xdr:col>
      <xdr:colOff>1073727</xdr:colOff>
      <xdr:row>73</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julio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junio 2022</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INFSGI-MES-06-2022</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68</xdr:row>
      <xdr:rowOff>79512</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134399</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69145</xdr:colOff>
      <xdr:row>2</xdr:row>
      <xdr:rowOff>45104</xdr:rowOff>
    </xdr:from>
    <xdr:to>
      <xdr:col>11</xdr:col>
      <xdr:colOff>615993</xdr:colOff>
      <xdr:row>61</xdr:row>
      <xdr:rowOff>96748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69145" y="509924"/>
          <a:ext cx="6101828" cy="85098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(31,83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(32,54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(31,35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(31,62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(33,49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(32,98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(32,14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(30,72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(30,92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(30,03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(34,24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(30,19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(30,42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(30,67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(32,96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354969</xdr:colOff>
      <xdr:row>15</xdr:row>
      <xdr:rowOff>76670</xdr:rowOff>
    </xdr:from>
    <xdr:to>
      <xdr:col>7</xdr:col>
      <xdr:colOff>590550</xdr:colOff>
      <xdr:row>56</xdr:row>
      <xdr:rowOff>28575</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97244</xdr:colOff>
      <xdr:row>15</xdr:row>
      <xdr:rowOff>42042</xdr:rowOff>
    </xdr:from>
    <xdr:to>
      <xdr:col>3</xdr:col>
      <xdr:colOff>383625</xdr:colOff>
      <xdr:row>32</xdr:row>
      <xdr:rowOff>15766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36</xdr:row>
      <xdr:rowOff>5953</xdr:rowOff>
    </xdr:from>
    <xdr:to>
      <xdr:col>8</xdr:col>
      <xdr:colOff>109537</xdr:colOff>
      <xdr:row>56</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9</xdr:col>
      <xdr:colOff>582009</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27</xdr:row>
      <xdr:rowOff>78442</xdr:rowOff>
    </xdr:from>
    <xdr:to>
      <xdr:col>9</xdr:col>
      <xdr:colOff>581525</xdr:colOff>
      <xdr:row>57</xdr:row>
      <xdr:rowOff>23062</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63</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61</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62</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53"/>
  <sheetViews>
    <sheetView showGridLines="0" tabSelected="1" view="pageBreakPreview" zoomScale="85" zoomScaleNormal="70" zoomScaleSheetLayoutView="85" workbookViewId="0">
      <selection activeCell="N10" sqref="N10"/>
    </sheetView>
  </sheetViews>
  <sheetFormatPr baseColWidth="10" defaultColWidth="9.33203125" defaultRowHeight="11.25"/>
  <cols>
    <col min="9" max="9" width="14.6640625" customWidth="1"/>
    <col min="11" max="11" width="13.83203125" customWidth="1"/>
    <col min="12" max="12" width="20.5" customWidth="1"/>
  </cols>
  <sheetData>
    <row r="11" spans="9:9" ht="15.75">
      <c r="I11" s="358"/>
    </row>
    <row r="12" spans="9:9" ht="15.75">
      <c r="I12" s="358"/>
    </row>
    <row r="13" spans="9:9" ht="15.75">
      <c r="I13" s="358"/>
    </row>
    <row r="14" spans="9:9" ht="15.75">
      <c r="I14" s="358"/>
    </row>
    <row r="15" spans="9:9" ht="15.75">
      <c r="I15" s="358"/>
    </row>
    <row r="49" s="557" customFormat="1"/>
    <row r="50" s="557" customFormat="1"/>
    <row r="51" s="557" customFormat="1"/>
    <row r="52" s="557" customFormat="1"/>
    <row r="53" ht="15" customHeight="1"/>
  </sheetData>
  <pageMargins left="0.59055118110236227" right="0.39370078740157483" top="0.55000000000000004" bottom="0.62992125984251968" header="0.31496062992125984" footer="0.31496062992125984"/>
  <pageSetup paperSize="9" scale="88" orientation="portrait" r:id="rId1"/>
  <headerFooter>
    <oddFooter>&amp;LCOES, 2022&amp;RDirección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8"/>
  <sheetViews>
    <sheetView showGridLines="0" view="pageBreakPreview" zoomScale="130" zoomScaleNormal="100" zoomScaleSheetLayoutView="130" zoomScalePageLayoutView="115" workbookViewId="0">
      <selection activeCell="B18" sqref="M18"/>
    </sheetView>
  </sheetViews>
  <sheetFormatPr baseColWidth="10"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877" t="s">
        <v>244</v>
      </c>
      <c r="B2" s="877"/>
      <c r="C2" s="877"/>
      <c r="D2" s="877"/>
      <c r="E2" s="877"/>
      <c r="F2" s="877"/>
      <c r="G2" s="877"/>
      <c r="H2" s="877"/>
      <c r="I2" s="877"/>
      <c r="J2" s="877"/>
      <c r="K2" s="877"/>
    </row>
    <row r="3" spans="1:12" ht="11.25" customHeight="1">
      <c r="A3" s="17"/>
      <c r="B3" s="17"/>
      <c r="C3" s="17"/>
      <c r="D3" s="17"/>
      <c r="E3" s="17"/>
      <c r="F3" s="17"/>
      <c r="G3" s="17"/>
      <c r="H3" s="17"/>
      <c r="I3" s="17"/>
      <c r="J3" s="17"/>
      <c r="K3" s="17"/>
      <c r="L3" s="36"/>
    </row>
    <row r="4" spans="1:12" ht="11.25" customHeight="1">
      <c r="A4" s="878" t="s">
        <v>378</v>
      </c>
      <c r="B4" s="878"/>
      <c r="C4" s="878"/>
      <c r="D4" s="878"/>
      <c r="E4" s="878"/>
      <c r="F4" s="878"/>
      <c r="G4" s="878"/>
      <c r="H4" s="878"/>
      <c r="I4" s="878"/>
      <c r="J4" s="878"/>
      <c r="K4" s="878"/>
      <c r="L4" s="36"/>
    </row>
    <row r="5" spans="1:12" ht="11.25" customHeight="1">
      <c r="A5" s="17"/>
      <c r="B5" s="67"/>
      <c r="C5" s="68"/>
      <c r="D5" s="69"/>
      <c r="E5" s="69"/>
      <c r="F5" s="69"/>
      <c r="G5" s="69"/>
      <c r="H5" s="70"/>
      <c r="I5" s="66"/>
      <c r="J5" s="66"/>
      <c r="K5" s="71"/>
      <c r="L5" s="8"/>
    </row>
    <row r="6" spans="1:12" ht="12.75" customHeight="1">
      <c r="A6" s="884" t="s">
        <v>212</v>
      </c>
      <c r="B6" s="879" t="s">
        <v>247</v>
      </c>
      <c r="C6" s="880"/>
      <c r="D6" s="880"/>
      <c r="E6" s="880" t="s">
        <v>34</v>
      </c>
      <c r="F6" s="880"/>
      <c r="G6" s="881" t="s">
        <v>246</v>
      </c>
      <c r="H6" s="881"/>
      <c r="I6" s="881"/>
      <c r="J6" s="881"/>
      <c r="K6" s="881"/>
      <c r="L6" s="15"/>
    </row>
    <row r="7" spans="1:12" ht="12.75" customHeight="1">
      <c r="A7" s="884"/>
      <c r="B7" s="450">
        <v>44670.791666666664</v>
      </c>
      <c r="C7" s="450">
        <v>44712.78125</v>
      </c>
      <c r="D7" s="450">
        <v>44727.802083333336</v>
      </c>
      <c r="E7" s="450">
        <v>44371.875</v>
      </c>
      <c r="F7" s="882" t="s">
        <v>120</v>
      </c>
      <c r="G7" s="596">
        <v>2022</v>
      </c>
      <c r="H7" s="596">
        <v>2021</v>
      </c>
      <c r="I7" s="882" t="s">
        <v>548</v>
      </c>
      <c r="J7" s="596">
        <v>2020</v>
      </c>
      <c r="K7" s="882" t="s">
        <v>467</v>
      </c>
      <c r="L7" s="13"/>
    </row>
    <row r="8" spans="1:12" ht="12.75" customHeight="1">
      <c r="A8" s="884"/>
      <c r="B8" s="451">
        <v>44670.791666666664</v>
      </c>
      <c r="C8" s="451">
        <v>44712.78125</v>
      </c>
      <c r="D8" s="451">
        <v>44727.802083333336</v>
      </c>
      <c r="E8" s="451">
        <v>44371.875</v>
      </c>
      <c r="F8" s="883"/>
      <c r="G8" s="452">
        <v>44614.822916666664</v>
      </c>
      <c r="H8" s="452">
        <v>44204.822916666664</v>
      </c>
      <c r="I8" s="883"/>
      <c r="J8" s="452">
        <v>43886.8125</v>
      </c>
      <c r="K8" s="883"/>
      <c r="L8" s="14"/>
    </row>
    <row r="9" spans="1:12" ht="12.75" customHeight="1">
      <c r="A9" s="884"/>
      <c r="B9" s="453">
        <v>44670.791666666664</v>
      </c>
      <c r="C9" s="453">
        <v>44712.78125</v>
      </c>
      <c r="D9" s="453">
        <v>44727.802083333336</v>
      </c>
      <c r="E9" s="453">
        <v>44371.875</v>
      </c>
      <c r="F9" s="883"/>
      <c r="G9" s="454">
        <v>44614.822916666664</v>
      </c>
      <c r="H9" s="454">
        <v>44204.822916666664</v>
      </c>
      <c r="I9" s="883"/>
      <c r="J9" s="454">
        <v>43886.8125</v>
      </c>
      <c r="K9" s="883"/>
      <c r="L9" s="14"/>
    </row>
    <row r="10" spans="1:12" ht="12.75" customHeight="1">
      <c r="A10" s="455" t="s">
        <v>36</v>
      </c>
      <c r="B10" s="456">
        <v>4623.0060999999987</v>
      </c>
      <c r="C10" s="457">
        <v>3789.1081299999996</v>
      </c>
      <c r="D10" s="458">
        <v>3508.7220100000004</v>
      </c>
      <c r="E10" s="456">
        <v>3253.2329099999993</v>
      </c>
      <c r="F10" s="459">
        <f>+IF(E10=0,"",D10/E10-1)</f>
        <v>7.8533909826948411E-2</v>
      </c>
      <c r="G10" s="456">
        <v>4553.9270599999991</v>
      </c>
      <c r="H10" s="457">
        <v>4594.55105</v>
      </c>
      <c r="I10" s="459">
        <f>+IF(H10=0,"",G10/H10-1)</f>
        <v>-8.8417757378059791E-3</v>
      </c>
      <c r="J10" s="456">
        <v>4604.1638600000006</v>
      </c>
      <c r="K10" s="459">
        <f t="shared" ref="K10:K18" si="0">+IF(J10=0,"",H10/J10-1)</f>
        <v>-2.0878514084857747E-3</v>
      </c>
      <c r="L10" s="14"/>
    </row>
    <row r="11" spans="1:12" ht="12.75" customHeight="1">
      <c r="A11" s="460" t="s">
        <v>37</v>
      </c>
      <c r="B11" s="461">
        <v>2110.3728599999999</v>
      </c>
      <c r="C11" s="462">
        <v>2935.4026900000003</v>
      </c>
      <c r="D11" s="463">
        <v>3258.2040699999993</v>
      </c>
      <c r="E11" s="461">
        <v>3361.2986999999998</v>
      </c>
      <c r="F11" s="464">
        <f>+IF(E11=0,"",D11/E11-1)</f>
        <v>-3.0671070678723211E-2</v>
      </c>
      <c r="G11" s="461">
        <v>2455.9372199999998</v>
      </c>
      <c r="H11" s="462">
        <v>2012.4400399999995</v>
      </c>
      <c r="I11" s="464">
        <f>+IF(H11=0,"",G11/H11-1)</f>
        <v>0.22037783545590783</v>
      </c>
      <c r="J11" s="461">
        <v>2265.9101700000001</v>
      </c>
      <c r="K11" s="464">
        <f>+IF(J11=0,"",H11/J11-1)</f>
        <v>-0.11186239126152142</v>
      </c>
      <c r="L11" s="14"/>
    </row>
    <row r="12" spans="1:12" ht="12.75" customHeight="1">
      <c r="A12" s="465" t="s">
        <v>38</v>
      </c>
      <c r="B12" s="466">
        <v>290.92526999999995</v>
      </c>
      <c r="C12" s="467">
        <v>184.44288</v>
      </c>
      <c r="D12" s="468">
        <v>302.98203999999998</v>
      </c>
      <c r="E12" s="466">
        <v>289.30723999999998</v>
      </c>
      <c r="F12" s="469">
        <f>+IF(E12=0,"",D12/E12-1)</f>
        <v>4.7267396419114815E-2</v>
      </c>
      <c r="G12" s="466">
        <v>136.90030000000002</v>
      </c>
      <c r="H12" s="467">
        <v>302.64609999999999</v>
      </c>
      <c r="I12" s="469">
        <f>+IF(H12=0,"",G12/H12-1)</f>
        <v>-0.54765549597368013</v>
      </c>
      <c r="J12" s="466">
        <v>255.22534999999999</v>
      </c>
      <c r="K12" s="469">
        <f>+IF(J12=0,"",H12/J12-1)</f>
        <v>0.18579952970972524</v>
      </c>
      <c r="L12" s="13"/>
    </row>
    <row r="13" spans="1:12" ht="12.75" customHeight="1">
      <c r="A13" s="470" t="s">
        <v>30</v>
      </c>
      <c r="B13" s="471">
        <v>0</v>
      </c>
      <c r="C13" s="472">
        <v>0</v>
      </c>
      <c r="D13" s="473">
        <v>0</v>
      </c>
      <c r="E13" s="471">
        <v>0</v>
      </c>
      <c r="F13" s="474" t="str">
        <f>+IF(E13=0,"",D13/E13-1)</f>
        <v/>
      </c>
      <c r="G13" s="471">
        <v>0</v>
      </c>
      <c r="H13" s="472">
        <v>0</v>
      </c>
      <c r="I13" s="474" t="str">
        <f>+IF(H13=0,"",G13/H13-1)</f>
        <v/>
      </c>
      <c r="J13" s="471">
        <v>0</v>
      </c>
      <c r="K13" s="474" t="str">
        <f t="shared" si="0"/>
        <v/>
      </c>
      <c r="L13" s="14"/>
    </row>
    <row r="14" spans="1:12" ht="12.75" customHeight="1">
      <c r="A14" s="475" t="s">
        <v>42</v>
      </c>
      <c r="B14" s="446">
        <f>+SUM(B10:B13)</f>
        <v>7024.3042299999979</v>
      </c>
      <c r="C14" s="447">
        <f t="shared" ref="C14:J14" si="1">+SUM(C10:C13)</f>
        <v>6908.9536999999991</v>
      </c>
      <c r="D14" s="448">
        <f t="shared" si="1"/>
        <v>7069.9081199999991</v>
      </c>
      <c r="E14" s="446">
        <f t="shared" si="1"/>
        <v>6903.8388499999992</v>
      </c>
      <c r="F14" s="502">
        <f>+IF(E14=0,"",D14/E14-1)</f>
        <v>2.405462723105134E-2</v>
      </c>
      <c r="G14" s="499">
        <f t="shared" si="1"/>
        <v>7146.7645799999991</v>
      </c>
      <c r="H14" s="447">
        <f t="shared" si="1"/>
        <v>6909.6371899999995</v>
      </c>
      <c r="I14" s="502">
        <f>+IF(H14=0,"",G14/H14-1)</f>
        <v>3.4318356156699981E-2</v>
      </c>
      <c r="J14" s="447">
        <f t="shared" si="1"/>
        <v>7125.2993800000004</v>
      </c>
      <c r="K14" s="502">
        <f>+IF(J14=0,"",H14/J14-1)</f>
        <v>-3.0267105773175373E-2</v>
      </c>
      <c r="L14" s="14"/>
    </row>
    <row r="15" spans="1:12" ht="6.75" customHeight="1">
      <c r="A15" s="476"/>
      <c r="B15" s="476"/>
      <c r="C15" s="476"/>
      <c r="D15" s="476"/>
      <c r="E15" s="476"/>
      <c r="F15" s="477"/>
      <c r="G15" s="476"/>
      <c r="H15" s="476"/>
      <c r="I15" s="477"/>
      <c r="J15" s="476"/>
      <c r="K15" s="477"/>
      <c r="L15" s="14"/>
    </row>
    <row r="16" spans="1:12" ht="12.75" customHeight="1">
      <c r="A16" s="478" t="s">
        <v>39</v>
      </c>
      <c r="B16" s="479">
        <v>0</v>
      </c>
      <c r="C16" s="480">
        <v>52.414000000000001</v>
      </c>
      <c r="D16" s="481">
        <v>0</v>
      </c>
      <c r="E16" s="479">
        <v>0</v>
      </c>
      <c r="F16" s="481">
        <v>0</v>
      </c>
      <c r="G16" s="479">
        <v>0</v>
      </c>
      <c r="H16" s="480">
        <v>0</v>
      </c>
      <c r="I16" s="481">
        <v>0</v>
      </c>
      <c r="J16" s="479">
        <v>0</v>
      </c>
      <c r="K16" s="482" t="str">
        <f t="shared" si="0"/>
        <v/>
      </c>
      <c r="L16" s="15"/>
    </row>
    <row r="17" spans="1:12" ht="12.75" customHeight="1">
      <c r="A17" s="483" t="s">
        <v>40</v>
      </c>
      <c r="B17" s="484">
        <v>0</v>
      </c>
      <c r="C17" s="485">
        <v>0</v>
      </c>
      <c r="D17" s="486">
        <v>0</v>
      </c>
      <c r="E17" s="484">
        <v>0</v>
      </c>
      <c r="F17" s="486">
        <v>0</v>
      </c>
      <c r="G17" s="484">
        <v>0</v>
      </c>
      <c r="H17" s="485">
        <v>0</v>
      </c>
      <c r="I17" s="486">
        <v>0</v>
      </c>
      <c r="J17" s="484">
        <v>0</v>
      </c>
      <c r="K17" s="487" t="str">
        <f t="shared" si="0"/>
        <v/>
      </c>
      <c r="L17" s="15"/>
    </row>
    <row r="18" spans="1:12" ht="24" customHeight="1">
      <c r="A18" s="488" t="s">
        <v>41</v>
      </c>
      <c r="B18" s="489">
        <f t="shared" ref="B18:I18" si="2">+B17-B16</f>
        <v>0</v>
      </c>
      <c r="C18" s="490">
        <f t="shared" si="2"/>
        <v>-52.414000000000001</v>
      </c>
      <c r="D18" s="491">
        <f t="shared" si="2"/>
        <v>0</v>
      </c>
      <c r="E18" s="489">
        <f t="shared" si="2"/>
        <v>0</v>
      </c>
      <c r="F18" s="491">
        <f t="shared" si="2"/>
        <v>0</v>
      </c>
      <c r="G18" s="489">
        <f t="shared" si="2"/>
        <v>0</v>
      </c>
      <c r="H18" s="490">
        <f t="shared" si="2"/>
        <v>0</v>
      </c>
      <c r="I18" s="491">
        <f t="shared" si="2"/>
        <v>0</v>
      </c>
      <c r="J18" s="489">
        <v>0</v>
      </c>
      <c r="K18" s="492" t="str">
        <f t="shared" si="0"/>
        <v/>
      </c>
      <c r="L18" s="15"/>
    </row>
    <row r="19" spans="1:12" ht="6" customHeight="1">
      <c r="A19" s="493"/>
      <c r="B19" s="493"/>
      <c r="C19" s="493"/>
      <c r="D19" s="493"/>
      <c r="E19" s="493"/>
      <c r="F19" s="494"/>
      <c r="G19" s="493"/>
      <c r="H19" s="493"/>
      <c r="I19" s="494"/>
      <c r="J19" s="493"/>
      <c r="K19" s="494"/>
      <c r="L19" s="15"/>
    </row>
    <row r="20" spans="1:12" ht="24" customHeight="1">
      <c r="A20" s="495" t="s">
        <v>245</v>
      </c>
      <c r="B20" s="496">
        <f>+B14-B18</f>
        <v>7024.3042299999979</v>
      </c>
      <c r="C20" s="497">
        <f t="shared" ref="C20" si="3">+C14-C18</f>
        <v>6961.3676999999989</v>
      </c>
      <c r="D20" s="498">
        <f>+D14-D18</f>
        <v>7069.9081199999991</v>
      </c>
      <c r="E20" s="496">
        <f>+E14-E18</f>
        <v>6903.8388499999992</v>
      </c>
      <c r="F20" s="449">
        <f>+IF(E20=0,"",D20/E20-1)</f>
        <v>2.405462723105134E-2</v>
      </c>
      <c r="G20" s="563">
        <f>+G14-G18</f>
        <v>7146.7645799999991</v>
      </c>
      <c r="H20" s="496">
        <f>+H14-H18</f>
        <v>6909.6371899999995</v>
      </c>
      <c r="I20" s="449">
        <f>+IF(H20=0,"",G20/H20-1)</f>
        <v>3.4318356156699981E-2</v>
      </c>
      <c r="J20" s="496">
        <f>+J14-J18</f>
        <v>7125.2993800000004</v>
      </c>
      <c r="K20" s="449">
        <f>+IF(J20=0,"",H20/J20-1)</f>
        <v>-3.0267105773175373E-2</v>
      </c>
      <c r="L20" s="15"/>
    </row>
    <row r="21" spans="1:12" ht="11.25" customHeight="1">
      <c r="A21" s="260" t="s">
        <v>400</v>
      </c>
      <c r="B21" s="138"/>
      <c r="C21" s="138"/>
      <c r="D21" s="138"/>
      <c r="E21" s="138"/>
      <c r="F21" s="138"/>
      <c r="G21" s="138"/>
      <c r="H21" s="138"/>
      <c r="I21" s="138"/>
      <c r="J21" s="138"/>
      <c r="K21" s="138"/>
      <c r="L21" s="16"/>
    </row>
    <row r="22" spans="1:12" ht="17.25" customHeight="1">
      <c r="A22" s="875"/>
      <c r="B22" s="875"/>
      <c r="C22" s="875"/>
      <c r="D22" s="875"/>
      <c r="E22" s="875"/>
      <c r="F22" s="875"/>
      <c r="G22" s="875"/>
      <c r="H22" s="875"/>
      <c r="I22" s="875"/>
      <c r="J22" s="875"/>
      <c r="K22" s="875"/>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s="557" customFormat="1" ht="11.25" customHeight="1">
      <c r="A35" s="136"/>
      <c r="B35" s="138"/>
      <c r="C35" s="138"/>
      <c r="D35" s="138"/>
      <c r="E35" s="138"/>
      <c r="F35" s="138"/>
      <c r="G35" s="138"/>
      <c r="H35" s="138"/>
      <c r="I35" s="138"/>
      <c r="J35" s="138"/>
      <c r="K35" s="138"/>
      <c r="L35" s="15"/>
    </row>
    <row r="36" spans="1:12" s="557" customFormat="1" ht="11.25" customHeight="1">
      <c r="A36" s="136"/>
      <c r="B36" s="138"/>
      <c r="C36" s="138"/>
      <c r="D36" s="138"/>
      <c r="E36" s="138"/>
      <c r="F36" s="138"/>
      <c r="G36" s="138"/>
      <c r="H36" s="138"/>
      <c r="I36" s="138"/>
      <c r="J36" s="138"/>
      <c r="K36" s="138"/>
      <c r="L36" s="15"/>
    </row>
    <row r="37" spans="1:12" s="557" customFormat="1" ht="11.25" customHeight="1">
      <c r="A37" s="136"/>
      <c r="B37" s="138"/>
      <c r="C37" s="138"/>
      <c r="D37" s="138"/>
      <c r="E37" s="138"/>
      <c r="F37" s="138"/>
      <c r="G37" s="138"/>
      <c r="H37" s="138"/>
      <c r="I37" s="138"/>
      <c r="J37" s="138"/>
      <c r="K37" s="138"/>
      <c r="L37" s="15"/>
    </row>
    <row r="38" spans="1:12" s="557" customFormat="1" ht="11.25" customHeight="1">
      <c r="A38" s="136"/>
      <c r="B38" s="138"/>
      <c r="C38" s="138"/>
      <c r="D38" s="138"/>
      <c r="E38" s="138"/>
      <c r="F38" s="138"/>
      <c r="G38" s="138"/>
      <c r="H38" s="138"/>
      <c r="I38" s="138"/>
      <c r="J38" s="138"/>
      <c r="K38" s="138"/>
      <c r="L38" s="15"/>
    </row>
    <row r="39" spans="1:12" s="557" customFormat="1" ht="11.25" customHeight="1">
      <c r="A39" s="136"/>
      <c r="B39" s="138"/>
      <c r="C39" s="138"/>
      <c r="D39" s="138"/>
      <c r="E39" s="138"/>
      <c r="F39" s="138"/>
      <c r="G39" s="138"/>
      <c r="H39" s="138"/>
      <c r="I39" s="138"/>
      <c r="J39" s="138"/>
      <c r="K39" s="138"/>
      <c r="L39" s="15"/>
    </row>
    <row r="40" spans="1:12" s="557" customFormat="1"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15"/>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36"/>
      <c r="B52" s="138"/>
      <c r="C52" s="138"/>
      <c r="D52" s="138"/>
      <c r="E52" s="138"/>
      <c r="F52" s="138"/>
      <c r="G52" s="138"/>
      <c r="H52" s="138"/>
      <c r="I52" s="138"/>
      <c r="J52" s="138"/>
      <c r="K52" s="138"/>
      <c r="L52" s="38"/>
    </row>
    <row r="53" spans="1:12" ht="11.25" customHeight="1">
      <c r="A53" s="136"/>
      <c r="B53" s="138"/>
      <c r="C53" s="138"/>
      <c r="D53" s="138"/>
      <c r="E53" s="138"/>
      <c r="F53" s="138"/>
      <c r="G53" s="138"/>
      <c r="H53" s="138"/>
      <c r="I53" s="138"/>
      <c r="J53" s="138"/>
      <c r="K53" s="138"/>
      <c r="L53" s="15"/>
    </row>
    <row r="54" spans="1:12" ht="11.25" customHeight="1">
      <c r="A54" s="136"/>
      <c r="B54" s="138"/>
      <c r="C54" s="138"/>
      <c r="D54" s="138"/>
      <c r="E54" s="138"/>
      <c r="F54" s="138"/>
      <c r="G54" s="138"/>
      <c r="H54" s="138"/>
      <c r="I54" s="138"/>
      <c r="J54" s="138"/>
      <c r="K54" s="138"/>
      <c r="L54" s="15"/>
    </row>
    <row r="55" spans="1:12" ht="11.25" customHeight="1">
      <c r="A55" s="136"/>
      <c r="B55" s="138"/>
      <c r="C55" s="138"/>
      <c r="D55" s="138"/>
      <c r="E55" s="138"/>
      <c r="F55" s="138"/>
      <c r="G55" s="138"/>
      <c r="H55" s="138"/>
      <c r="I55" s="138"/>
      <c r="J55" s="138"/>
      <c r="K55" s="138"/>
      <c r="L55" s="15"/>
    </row>
    <row r="56" spans="1:12" ht="11.25" customHeight="1">
      <c r="A56" s="136"/>
      <c r="B56" s="138"/>
      <c r="C56" s="138"/>
      <c r="D56" s="138"/>
      <c r="E56" s="138"/>
      <c r="F56" s="138"/>
      <c r="G56" s="138"/>
      <c r="H56" s="138"/>
      <c r="I56" s="138"/>
      <c r="J56" s="138"/>
      <c r="K56" s="138"/>
      <c r="L56" s="15"/>
    </row>
    <row r="57" spans="1:12" ht="11.25" customHeight="1">
      <c r="A57" s="136"/>
      <c r="B57" s="138"/>
      <c r="C57" s="138"/>
      <c r="D57" s="138"/>
      <c r="E57" s="138"/>
      <c r="F57" s="138"/>
      <c r="G57" s="138"/>
      <c r="H57" s="138"/>
      <c r="I57" s="138"/>
      <c r="J57" s="138"/>
      <c r="K57" s="138"/>
      <c r="L57" s="15"/>
    </row>
    <row r="58" spans="1:12" ht="11.25" customHeight="1">
      <c r="A58" s="153"/>
      <c r="B58" s="153"/>
      <c r="C58" s="153"/>
      <c r="D58" s="153"/>
      <c r="E58" s="153"/>
      <c r="F58" s="153"/>
      <c r="G58" s="153"/>
      <c r="H58" s="153"/>
      <c r="I58" s="153"/>
      <c r="J58" s="153"/>
      <c r="K58" s="153"/>
      <c r="L58" s="15"/>
    </row>
    <row r="59" spans="1:12" ht="11.25" customHeight="1">
      <c r="L59" s="11"/>
    </row>
    <row r="60" spans="1:12" ht="11.25" customHeight="1">
      <c r="A60" s="154"/>
      <c r="B60" s="138"/>
      <c r="C60" s="138"/>
      <c r="D60" s="138"/>
      <c r="E60" s="138"/>
      <c r="F60" s="138"/>
      <c r="G60" s="138"/>
      <c r="H60" s="138"/>
      <c r="I60" s="138"/>
      <c r="J60" s="138"/>
      <c r="K60" s="138"/>
      <c r="L60" s="11"/>
    </row>
    <row r="61" spans="1:12" ht="11.25" customHeight="1">
      <c r="A61" s="154"/>
      <c r="B61" s="155"/>
      <c r="C61" s="155"/>
      <c r="D61" s="155"/>
      <c r="E61" s="155"/>
      <c r="F61" s="155"/>
      <c r="G61" s="138"/>
      <c r="H61" s="138"/>
      <c r="I61" s="138"/>
      <c r="J61" s="138"/>
      <c r="K61" s="138"/>
      <c r="L61" s="11"/>
    </row>
    <row r="62" spans="1:12" ht="11.25" customHeight="1">
      <c r="A62" s="132"/>
      <c r="B62" s="156"/>
      <c r="C62" s="156"/>
      <c r="D62" s="157"/>
      <c r="E62" s="157"/>
      <c r="F62" s="157"/>
      <c r="G62" s="138"/>
      <c r="H62" s="138"/>
      <c r="I62" s="138"/>
      <c r="J62" s="138"/>
      <c r="K62" s="138"/>
      <c r="L62" s="11"/>
    </row>
    <row r="63" spans="1:12" ht="11.25" customHeight="1">
      <c r="L63" s="11"/>
    </row>
    <row r="64" spans="1:12" ht="12">
      <c r="A64" s="876" t="str">
        <f>"Gráfico N° 11: Comparación de la máxima potencia coincidente (MW) anual por tipo de generación en el SEIN."</f>
        <v>Gráfico N° 11: Comparación de la máxima potencia coincidente (MW) anual por tipo de generación en el SEIN.</v>
      </c>
      <c r="B64" s="876"/>
      <c r="C64" s="876"/>
      <c r="D64" s="876"/>
      <c r="E64" s="876"/>
      <c r="F64" s="876"/>
      <c r="G64" s="876"/>
      <c r="H64" s="876"/>
      <c r="I64" s="876"/>
      <c r="J64" s="876"/>
      <c r="K64" s="876"/>
      <c r="L64" s="11"/>
    </row>
    <row r="65" spans="1:12" ht="12">
      <c r="A65" s="132"/>
      <c r="B65" s="156"/>
      <c r="C65" s="156"/>
      <c r="D65" s="157"/>
      <c r="E65" s="157"/>
      <c r="F65" s="157"/>
      <c r="G65" s="138"/>
      <c r="H65" s="138"/>
      <c r="I65" s="138"/>
      <c r="J65" s="138"/>
      <c r="K65" s="138"/>
      <c r="L65" s="11"/>
    </row>
    <row r="66" spans="1:12" ht="12">
      <c r="A66" s="132"/>
      <c r="B66" s="156"/>
      <c r="C66" s="156"/>
      <c r="D66" s="157"/>
      <c r="E66" s="157"/>
      <c r="F66" s="157"/>
      <c r="G66" s="138"/>
      <c r="H66" s="138"/>
      <c r="I66" s="138"/>
      <c r="J66" s="138"/>
      <c r="K66" s="138"/>
      <c r="L66" s="11"/>
    </row>
    <row r="67" spans="1:12" ht="12.75">
      <c r="A67" s="17"/>
      <c r="B67" s="150"/>
      <c r="C67" s="150"/>
      <c r="D67" s="151"/>
      <c r="E67" s="151"/>
      <c r="F67" s="151"/>
      <c r="G67" s="73"/>
      <c r="H67" s="73"/>
      <c r="I67" s="73"/>
      <c r="J67" s="73"/>
      <c r="K67" s="73"/>
      <c r="L67" s="11"/>
    </row>
    <row r="68" spans="1:12" ht="12.75">
      <c r="A68" s="17"/>
      <c r="B68" s="150"/>
      <c r="C68" s="150"/>
      <c r="D68" s="151"/>
      <c r="E68" s="151"/>
      <c r="F68" s="151"/>
      <c r="G68" s="73"/>
      <c r="H68" s="73"/>
      <c r="I68" s="73"/>
      <c r="J68" s="73"/>
      <c r="K68" s="73"/>
    </row>
  </sheetData>
  <mergeCells count="11">
    <mergeCell ref="A22:K22"/>
    <mergeCell ref="A64:K64"/>
    <mergeCell ref="A2:K2"/>
    <mergeCell ref="A4:K4"/>
    <mergeCell ref="B6:D6"/>
    <mergeCell ref="E6:F6"/>
    <mergeCell ref="G6:K6"/>
    <mergeCell ref="F7:F9"/>
    <mergeCell ref="I7:I9"/>
    <mergeCell ref="K7:K9"/>
    <mergeCell ref="A6:A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Normal="100" zoomScaleSheetLayoutView="100" zoomScalePageLayoutView="115" workbookViewId="0">
      <selection activeCell="B18" sqref="M18"/>
    </sheetView>
  </sheetViews>
  <sheetFormatPr baseColWidth="10" defaultColWidth="9.33203125" defaultRowHeight="11.25"/>
  <cols>
    <col min="1" max="1" width="28.6640625" customWidth="1"/>
    <col min="2" max="2" width="11.33203125" customWidth="1"/>
    <col min="3" max="3" width="10.83203125" customWidth="1"/>
    <col min="4" max="4" width="9.1640625" customWidth="1"/>
    <col min="10" max="10" width="11.83203125" customWidth="1"/>
    <col min="11" max="11" width="9.33203125" style="506" customWidth="1"/>
    <col min="12" max="12" width="27.83203125" style="568" customWidth="1"/>
    <col min="13" max="14" width="9.33203125" style="277"/>
    <col min="15" max="17" width="9.33203125" style="692"/>
  </cols>
  <sheetData>
    <row r="1" spans="1:15" ht="25.5" customHeight="1">
      <c r="A1" s="887" t="s">
        <v>249</v>
      </c>
      <c r="B1" s="887"/>
      <c r="C1" s="887"/>
      <c r="D1" s="887"/>
      <c r="E1" s="887"/>
      <c r="F1" s="887"/>
      <c r="G1" s="887"/>
      <c r="H1" s="887"/>
      <c r="I1" s="887"/>
      <c r="J1" s="887"/>
    </row>
    <row r="2" spans="1:15" ht="7.5" customHeight="1">
      <c r="A2" s="74"/>
      <c r="B2" s="73"/>
      <c r="C2" s="73"/>
      <c r="D2" s="73"/>
      <c r="E2" s="73"/>
      <c r="F2" s="73"/>
      <c r="G2" s="73"/>
      <c r="H2" s="73"/>
      <c r="I2" s="73"/>
      <c r="J2" s="73"/>
      <c r="K2" s="298"/>
      <c r="L2" s="677"/>
    </row>
    <row r="3" spans="1:15" ht="11.25" customHeight="1">
      <c r="A3" s="888" t="s">
        <v>121</v>
      </c>
      <c r="B3" s="890" t="str">
        <f>+'1. Resumen'!Q4</f>
        <v>junio</v>
      </c>
      <c r="C3" s="891"/>
      <c r="D3" s="892"/>
      <c r="E3" s="138"/>
      <c r="F3" s="138"/>
      <c r="G3" s="893" t="s">
        <v>568</v>
      </c>
      <c r="H3" s="893"/>
      <c r="I3" s="893"/>
      <c r="J3" s="138"/>
      <c r="K3" s="725"/>
      <c r="L3" s="677"/>
    </row>
    <row r="4" spans="1:15" ht="11.25" customHeight="1">
      <c r="A4" s="888"/>
      <c r="B4" s="370">
        <v>2022</v>
      </c>
      <c r="C4" s="371">
        <v>2021</v>
      </c>
      <c r="D4" s="892" t="s">
        <v>35</v>
      </c>
      <c r="E4" s="138"/>
      <c r="F4" s="138"/>
      <c r="G4" s="138"/>
      <c r="H4" s="138"/>
      <c r="I4" s="138"/>
      <c r="J4" s="138"/>
      <c r="K4" s="528"/>
      <c r="L4" s="678"/>
    </row>
    <row r="5" spans="1:15" ht="11.25" customHeight="1">
      <c r="A5" s="888"/>
      <c r="B5" s="372">
        <f>+'8. Max Potencia'!D8</f>
        <v>44727.802083333336</v>
      </c>
      <c r="C5" s="372">
        <f>+'8. Max Potencia'!E8</f>
        <v>44371.875</v>
      </c>
      <c r="D5" s="892"/>
      <c r="E5" s="138"/>
      <c r="F5" s="138"/>
      <c r="G5" s="138"/>
      <c r="H5" s="138"/>
      <c r="I5" s="138"/>
      <c r="J5" s="138"/>
      <c r="K5" s="528"/>
      <c r="L5" s="679"/>
    </row>
    <row r="6" spans="1:15" ht="11.25" customHeight="1" thickBot="1">
      <c r="A6" s="889"/>
      <c r="B6" s="373">
        <f>+'8. Max Potencia'!D9</f>
        <v>44727.802083333336</v>
      </c>
      <c r="C6" s="373">
        <f>+'8. Max Potencia'!E9</f>
        <v>44371.875</v>
      </c>
      <c r="D6" s="894"/>
      <c r="E6" s="138"/>
      <c r="F6" s="138"/>
      <c r="G6" s="138"/>
      <c r="H6" s="138"/>
      <c r="I6" s="138"/>
      <c r="J6" s="138"/>
      <c r="L6" s="678" t="s">
        <v>248</v>
      </c>
      <c r="M6" s="568">
        <v>2022</v>
      </c>
      <c r="N6" s="568">
        <v>2021</v>
      </c>
    </row>
    <row r="7" spans="1:15" ht="9.75" customHeight="1">
      <c r="A7" s="623" t="s">
        <v>88</v>
      </c>
      <c r="B7" s="775">
        <v>1108.1760000000002</v>
      </c>
      <c r="C7" s="775">
        <v>1060.53989</v>
      </c>
      <c r="D7" s="624">
        <f>IF(C7=0,"",B7/C7-1)</f>
        <v>4.4916848907965212E-2</v>
      </c>
      <c r="E7" s="138"/>
      <c r="F7" s="138"/>
      <c r="G7" s="138"/>
      <c r="H7" s="138"/>
      <c r="I7" s="138"/>
      <c r="J7" s="138"/>
      <c r="K7" s="721"/>
      <c r="L7" s="680" t="s">
        <v>416</v>
      </c>
      <c r="M7" s="681"/>
      <c r="N7" s="681">
        <v>11.201129999999999</v>
      </c>
      <c r="O7" s="753"/>
    </row>
    <row r="8" spans="1:15" ht="9.75" customHeight="1">
      <c r="A8" s="625" t="s">
        <v>405</v>
      </c>
      <c r="B8" s="776">
        <v>1072.6349999999998</v>
      </c>
      <c r="C8" s="776">
        <v>785.20920999999987</v>
      </c>
      <c r="D8" s="626">
        <f t="shared" ref="D8:D70" si="0">IF(C8=0,"",B8/C8-1)</f>
        <v>0.36604994737644492</v>
      </c>
      <c r="E8" s="138"/>
      <c r="F8" s="138"/>
      <c r="G8" s="138"/>
      <c r="H8" s="138"/>
      <c r="I8" s="138"/>
      <c r="J8" s="138"/>
      <c r="K8" s="722"/>
      <c r="L8" s="680" t="s">
        <v>541</v>
      </c>
      <c r="M8" s="679">
        <v>0</v>
      </c>
      <c r="N8" s="679"/>
      <c r="O8" s="753"/>
    </row>
    <row r="9" spans="1:15" ht="9.75" customHeight="1">
      <c r="A9" s="627" t="s">
        <v>89</v>
      </c>
      <c r="B9" s="777">
        <v>851.00735999999995</v>
      </c>
      <c r="C9" s="777">
        <v>853.06079999999986</v>
      </c>
      <c r="D9" s="628">
        <f t="shared" si="0"/>
        <v>-2.4071437815451624E-3</v>
      </c>
      <c r="E9" s="322"/>
      <c r="F9" s="138"/>
      <c r="G9" s="138"/>
      <c r="H9" s="138"/>
      <c r="I9" s="138"/>
      <c r="J9" s="138"/>
      <c r="L9" s="680" t="s">
        <v>464</v>
      </c>
      <c r="M9" s="679">
        <v>0</v>
      </c>
      <c r="N9" s="679">
        <v>0</v>
      </c>
      <c r="O9" s="753"/>
    </row>
    <row r="10" spans="1:15" ht="9.75" customHeight="1">
      <c r="A10" s="625" t="s">
        <v>87</v>
      </c>
      <c r="B10" s="776">
        <v>805.27653000000009</v>
      </c>
      <c r="C10" s="776">
        <v>972.13833000000011</v>
      </c>
      <c r="D10" s="626">
        <f t="shared" si="0"/>
        <v>-0.1716440910214907</v>
      </c>
      <c r="E10" s="138"/>
      <c r="F10" s="138"/>
      <c r="G10" s="138"/>
      <c r="H10" s="138"/>
      <c r="I10" s="138"/>
      <c r="J10" s="138"/>
      <c r="L10" s="680" t="s">
        <v>461</v>
      </c>
      <c r="M10" s="681">
        <v>0</v>
      </c>
      <c r="N10" s="681">
        <v>0</v>
      </c>
      <c r="O10" s="753"/>
    </row>
    <row r="11" spans="1:15" ht="9.75" customHeight="1">
      <c r="A11" s="627" t="s">
        <v>237</v>
      </c>
      <c r="B11" s="777">
        <v>559.52296000000001</v>
      </c>
      <c r="C11" s="777">
        <v>540.08069</v>
      </c>
      <c r="D11" s="628">
        <f t="shared" si="0"/>
        <v>3.5998824546013664E-2</v>
      </c>
      <c r="E11" s="138"/>
      <c r="F11" s="138"/>
      <c r="G11" s="138"/>
      <c r="H11" s="138"/>
      <c r="I11" s="138"/>
      <c r="J11" s="138"/>
      <c r="L11" s="680" t="s">
        <v>460</v>
      </c>
      <c r="M11" s="679">
        <v>0</v>
      </c>
      <c r="N11" s="679">
        <v>0</v>
      </c>
      <c r="O11" s="753"/>
    </row>
    <row r="12" spans="1:15" ht="9.75" customHeight="1">
      <c r="A12" s="625" t="s">
        <v>90</v>
      </c>
      <c r="B12" s="776">
        <v>298.49910999999997</v>
      </c>
      <c r="C12" s="776">
        <v>256.80173000000002</v>
      </c>
      <c r="D12" s="626">
        <f t="shared" si="0"/>
        <v>0.1623718812174666</v>
      </c>
      <c r="E12" s="138"/>
      <c r="F12" s="138"/>
      <c r="G12" s="138"/>
      <c r="H12" s="138"/>
      <c r="I12" s="138"/>
      <c r="J12" s="138"/>
      <c r="K12" s="721"/>
      <c r="L12" s="680" t="s">
        <v>453</v>
      </c>
      <c r="M12" s="679">
        <v>0</v>
      </c>
      <c r="N12" s="679">
        <v>9.2861399999999996</v>
      </c>
      <c r="O12" s="753"/>
    </row>
    <row r="13" spans="1:15" ht="9.75" customHeight="1">
      <c r="A13" s="627" t="s">
        <v>100</v>
      </c>
      <c r="B13" s="777">
        <v>290.59153000000003</v>
      </c>
      <c r="C13" s="777">
        <v>290.87457999999998</v>
      </c>
      <c r="D13" s="628">
        <f t="shared" si="0"/>
        <v>-9.730998150472292E-4</v>
      </c>
      <c r="E13" s="138"/>
      <c r="F13" s="138"/>
      <c r="G13" s="138"/>
      <c r="H13" s="138"/>
      <c r="I13" s="138"/>
      <c r="J13" s="138"/>
      <c r="K13" s="722"/>
      <c r="L13" s="680" t="s">
        <v>109</v>
      </c>
      <c r="M13" s="679">
        <v>0</v>
      </c>
      <c r="N13" s="679">
        <v>0</v>
      </c>
      <c r="O13" s="753"/>
    </row>
    <row r="14" spans="1:15" ht="9.75" customHeight="1">
      <c r="A14" s="625" t="s">
        <v>239</v>
      </c>
      <c r="B14" s="776">
        <v>253.20999999999998</v>
      </c>
      <c r="C14" s="776">
        <v>205.41876000000005</v>
      </c>
      <c r="D14" s="626">
        <f t="shared" si="0"/>
        <v>0.23265275284496867</v>
      </c>
      <c r="E14" s="138"/>
      <c r="F14" s="138"/>
      <c r="G14" s="138"/>
      <c r="H14" s="138"/>
      <c r="I14" s="138"/>
      <c r="J14" s="138"/>
      <c r="K14" s="722"/>
      <c r="L14" s="680" t="s">
        <v>117</v>
      </c>
      <c r="M14" s="679">
        <v>0</v>
      </c>
      <c r="N14" s="679">
        <v>0</v>
      </c>
      <c r="O14" s="753"/>
    </row>
    <row r="15" spans="1:15" ht="9.75" customHeight="1">
      <c r="A15" s="627" t="s">
        <v>94</v>
      </c>
      <c r="B15" s="777">
        <v>205.43982</v>
      </c>
      <c r="C15" s="777">
        <v>157.25013999999999</v>
      </c>
      <c r="D15" s="628">
        <f t="shared" si="0"/>
        <v>0.30645238217276005</v>
      </c>
      <c r="E15" s="138"/>
      <c r="F15" s="138"/>
      <c r="G15" s="138"/>
      <c r="H15" s="138"/>
      <c r="I15" s="138"/>
      <c r="J15" s="138"/>
      <c r="K15" s="722"/>
      <c r="L15" s="680" t="s">
        <v>102</v>
      </c>
      <c r="M15" s="681">
        <v>0</v>
      </c>
      <c r="N15" s="681">
        <v>28.000039999999998</v>
      </c>
      <c r="O15" s="753"/>
    </row>
    <row r="16" spans="1:15" ht="9.75" customHeight="1">
      <c r="A16" s="625" t="s">
        <v>235</v>
      </c>
      <c r="B16" s="776">
        <v>183.06565000000001</v>
      </c>
      <c r="C16" s="776">
        <v>315.66933</v>
      </c>
      <c r="D16" s="626">
        <f t="shared" si="0"/>
        <v>-0.42007147162507041</v>
      </c>
      <c r="E16" s="138"/>
      <c r="F16" s="138"/>
      <c r="G16" s="138"/>
      <c r="H16" s="138"/>
      <c r="I16" s="138"/>
      <c r="J16" s="138"/>
      <c r="K16" s="722"/>
      <c r="L16" s="680" t="s">
        <v>242</v>
      </c>
      <c r="M16" s="679">
        <v>0</v>
      </c>
      <c r="N16" s="679">
        <v>0</v>
      </c>
      <c r="O16" s="753"/>
    </row>
    <row r="17" spans="1:15" ht="9.75" customHeight="1">
      <c r="A17" s="627" t="s">
        <v>93</v>
      </c>
      <c r="B17" s="777">
        <v>154.065</v>
      </c>
      <c r="C17" s="777">
        <v>166.60892999999999</v>
      </c>
      <c r="D17" s="628">
        <f t="shared" si="0"/>
        <v>-7.5289661844656131E-2</v>
      </c>
      <c r="E17" s="138"/>
      <c r="F17" s="138"/>
      <c r="G17" s="138"/>
      <c r="H17" s="138"/>
      <c r="I17" s="138"/>
      <c r="J17" s="138"/>
      <c r="K17" s="722"/>
      <c r="L17" s="680" t="s">
        <v>241</v>
      </c>
      <c r="M17" s="679">
        <v>0</v>
      </c>
      <c r="N17" s="679">
        <v>0</v>
      </c>
      <c r="O17" s="753"/>
    </row>
    <row r="18" spans="1:15" ht="9.75" customHeight="1">
      <c r="A18" s="625" t="s">
        <v>92</v>
      </c>
      <c r="B18" s="776">
        <v>153.43099999999998</v>
      </c>
      <c r="C18" s="776">
        <v>125.73308</v>
      </c>
      <c r="D18" s="626">
        <f t="shared" si="0"/>
        <v>0.22029143006756846</v>
      </c>
      <c r="E18" s="138"/>
      <c r="F18" s="138"/>
      <c r="G18" s="138"/>
      <c r="H18" s="138"/>
      <c r="I18" s="138"/>
      <c r="J18" s="138"/>
      <c r="K18" s="722"/>
      <c r="L18" s="680" t="s">
        <v>107</v>
      </c>
      <c r="M18" s="679">
        <v>0</v>
      </c>
      <c r="N18" s="679">
        <v>0</v>
      </c>
      <c r="O18" s="753"/>
    </row>
    <row r="19" spans="1:15" ht="9.75" customHeight="1">
      <c r="A19" s="627" t="s">
        <v>98</v>
      </c>
      <c r="B19" s="777">
        <v>125.508</v>
      </c>
      <c r="C19" s="777">
        <v>119.07773</v>
      </c>
      <c r="D19" s="628">
        <f t="shared" si="0"/>
        <v>5.4000609517833364E-2</v>
      </c>
      <c r="E19" s="138"/>
      <c r="F19" s="138"/>
      <c r="G19" s="138"/>
      <c r="H19" s="138"/>
      <c r="I19" s="138"/>
      <c r="J19" s="138"/>
      <c r="K19" s="722"/>
      <c r="L19" s="680" t="s">
        <v>110</v>
      </c>
      <c r="M19" s="681">
        <v>0</v>
      </c>
      <c r="N19" s="681">
        <v>0</v>
      </c>
      <c r="O19" s="753"/>
    </row>
    <row r="20" spans="1:15" ht="9.75" customHeight="1">
      <c r="A20" s="625" t="s">
        <v>91</v>
      </c>
      <c r="B20" s="776">
        <v>118.81665</v>
      </c>
      <c r="C20" s="776">
        <v>145.75068999999999</v>
      </c>
      <c r="D20" s="626">
        <f t="shared" si="0"/>
        <v>-0.18479528295886627</v>
      </c>
      <c r="E20" s="138"/>
      <c r="F20" s="138"/>
      <c r="G20" s="138"/>
      <c r="H20" s="138"/>
      <c r="I20" s="138"/>
      <c r="J20" s="138"/>
      <c r="K20" s="723"/>
      <c r="L20" s="680" t="s">
        <v>116</v>
      </c>
      <c r="M20" s="681">
        <v>0</v>
      </c>
      <c r="N20" s="681">
        <v>0</v>
      </c>
      <c r="O20" s="753"/>
    </row>
    <row r="21" spans="1:15" ht="9.75" customHeight="1">
      <c r="A21" s="627" t="s">
        <v>95</v>
      </c>
      <c r="B21" s="777">
        <v>97.51715999999999</v>
      </c>
      <c r="C21" s="777">
        <v>53.209540000000004</v>
      </c>
      <c r="D21" s="628">
        <f t="shared" si="0"/>
        <v>0.8327006773597363</v>
      </c>
      <c r="E21" s="138"/>
      <c r="F21" s="138"/>
      <c r="G21" s="138"/>
      <c r="H21" s="138"/>
      <c r="I21" s="138"/>
      <c r="J21" s="138"/>
      <c r="K21" s="722"/>
      <c r="L21" s="680" t="s">
        <v>407</v>
      </c>
      <c r="M21" s="679">
        <v>0</v>
      </c>
      <c r="N21" s="679">
        <v>0.52800000000000002</v>
      </c>
      <c r="O21" s="753"/>
    </row>
    <row r="22" spans="1:15" ht="9.75" customHeight="1">
      <c r="A22" s="625" t="s">
        <v>105</v>
      </c>
      <c r="B22" s="776">
        <v>87.43</v>
      </c>
      <c r="C22" s="776">
        <v>89.145039999999995</v>
      </c>
      <c r="D22" s="626">
        <f t="shared" si="0"/>
        <v>-1.9238759666269534E-2</v>
      </c>
      <c r="E22" s="138"/>
      <c r="F22" s="138"/>
      <c r="G22" s="138"/>
      <c r="H22" s="138"/>
      <c r="I22" s="138"/>
      <c r="J22" s="138"/>
      <c r="K22" s="722"/>
      <c r="L22" s="680" t="s">
        <v>234</v>
      </c>
      <c r="M22" s="679">
        <v>0</v>
      </c>
      <c r="N22" s="679">
        <v>0</v>
      </c>
      <c r="O22" s="753"/>
    </row>
    <row r="23" spans="1:15" ht="9.75" customHeight="1">
      <c r="A23" s="627" t="s">
        <v>97</v>
      </c>
      <c r="B23" s="777">
        <v>85.439599999999999</v>
      </c>
      <c r="C23" s="777">
        <v>51.912120000000002</v>
      </c>
      <c r="D23" s="628">
        <f t="shared" si="0"/>
        <v>0.64585071848346765</v>
      </c>
      <c r="E23" s="138"/>
      <c r="F23" s="138"/>
      <c r="G23" s="138"/>
      <c r="H23" s="138"/>
      <c r="I23" s="138"/>
      <c r="J23" s="138"/>
      <c r="K23" s="722"/>
      <c r="L23" s="680" t="s">
        <v>119</v>
      </c>
      <c r="M23" s="681">
        <v>0</v>
      </c>
      <c r="N23" s="681">
        <v>12.644590000000001</v>
      </c>
      <c r="O23" s="753"/>
    </row>
    <row r="24" spans="1:15" ht="9.75" customHeight="1">
      <c r="A24" s="625" t="s">
        <v>422</v>
      </c>
      <c r="B24" s="776">
        <v>82.535640000000001</v>
      </c>
      <c r="C24" s="776">
        <v>67.226389999999995</v>
      </c>
      <c r="D24" s="626">
        <f t="shared" si="0"/>
        <v>0.22772679002992735</v>
      </c>
      <c r="E24" s="138"/>
      <c r="F24" s="138"/>
      <c r="G24" s="138"/>
      <c r="H24" s="138"/>
      <c r="I24" s="138"/>
      <c r="J24" s="138"/>
      <c r="K24" s="723"/>
      <c r="L24" s="680" t="s">
        <v>112</v>
      </c>
      <c r="M24" s="679">
        <v>1.5634600000000001</v>
      </c>
      <c r="N24" s="679">
        <v>2.5543200000000001</v>
      </c>
      <c r="O24" s="753"/>
    </row>
    <row r="25" spans="1:15" ht="9.75" customHeight="1">
      <c r="A25" s="627" t="s">
        <v>99</v>
      </c>
      <c r="B25" s="777">
        <v>60.343629999999997</v>
      </c>
      <c r="C25" s="777">
        <v>90.099869999999996</v>
      </c>
      <c r="D25" s="628">
        <f t="shared" si="0"/>
        <v>-0.33025841213755358</v>
      </c>
      <c r="E25" s="138"/>
      <c r="F25" s="138"/>
      <c r="G25" s="138"/>
      <c r="H25" s="138"/>
      <c r="I25" s="138"/>
      <c r="J25" s="138"/>
      <c r="K25" s="722"/>
      <c r="L25" s="680" t="s">
        <v>115</v>
      </c>
      <c r="M25" s="679">
        <v>1.8420000000000001</v>
      </c>
      <c r="N25" s="679">
        <v>1.9338599999999999</v>
      </c>
      <c r="O25" s="753"/>
    </row>
    <row r="26" spans="1:15" ht="9.75" customHeight="1">
      <c r="A26" s="625" t="s">
        <v>96</v>
      </c>
      <c r="B26" s="776">
        <v>49.036999999999999</v>
      </c>
      <c r="C26" s="776">
        <v>91.749669999999995</v>
      </c>
      <c r="D26" s="626">
        <f t="shared" si="0"/>
        <v>-0.46553486241421904</v>
      </c>
      <c r="E26" s="138"/>
      <c r="F26" s="138"/>
      <c r="G26" s="138"/>
      <c r="H26" s="138"/>
      <c r="I26" s="138"/>
      <c r="J26" s="138"/>
      <c r="K26" s="722"/>
      <c r="L26" s="680" t="s">
        <v>540</v>
      </c>
      <c r="M26" s="679">
        <v>2.0041799999999999</v>
      </c>
      <c r="N26" s="679"/>
      <c r="O26" s="753"/>
    </row>
    <row r="27" spans="1:15" ht="9.75" customHeight="1">
      <c r="A27" s="627" t="s">
        <v>101</v>
      </c>
      <c r="B27" s="777">
        <v>48.037640000000003</v>
      </c>
      <c r="C27" s="777">
        <v>28.084899999999998</v>
      </c>
      <c r="D27" s="628">
        <f t="shared" si="0"/>
        <v>0.71044369038166444</v>
      </c>
      <c r="E27" s="138"/>
      <c r="F27" s="138"/>
      <c r="G27" s="138"/>
      <c r="H27" s="138"/>
      <c r="I27" s="138"/>
      <c r="J27" s="138"/>
      <c r="K27" s="722"/>
      <c r="L27" s="680" t="s">
        <v>113</v>
      </c>
      <c r="M27" s="679">
        <v>2.5990000000000002</v>
      </c>
      <c r="N27" s="679">
        <v>2.6180699999999999</v>
      </c>
      <c r="O27" s="753"/>
    </row>
    <row r="28" spans="1:15" ht="9.75" customHeight="1">
      <c r="A28" s="625" t="s">
        <v>236</v>
      </c>
      <c r="B28" s="776">
        <v>47.774459999999998</v>
      </c>
      <c r="C28" s="776">
        <v>72.859000000000009</v>
      </c>
      <c r="D28" s="626">
        <f t="shared" si="0"/>
        <v>-0.34428883185330583</v>
      </c>
      <c r="E28" s="138"/>
      <c r="F28" s="138"/>
      <c r="G28" s="138"/>
      <c r="H28" s="138"/>
      <c r="I28" s="138"/>
      <c r="J28" s="138"/>
      <c r="K28" s="722"/>
      <c r="L28" s="680" t="s">
        <v>114</v>
      </c>
      <c r="M28" s="679">
        <v>3.6</v>
      </c>
      <c r="N28" s="679">
        <v>3.2</v>
      </c>
      <c r="O28" s="753"/>
    </row>
    <row r="29" spans="1:15" ht="9.75" customHeight="1">
      <c r="A29" s="629" t="s">
        <v>472</v>
      </c>
      <c r="B29" s="778">
        <v>34.318089999999998</v>
      </c>
      <c r="C29" s="778">
        <v>28.0063</v>
      </c>
      <c r="D29" s="630">
        <f t="shared" si="0"/>
        <v>0.22537036309687464</v>
      </c>
      <c r="E29" s="138"/>
      <c r="F29" s="138"/>
      <c r="G29" s="138"/>
      <c r="H29" s="138"/>
      <c r="I29" s="138"/>
      <c r="J29" s="138"/>
      <c r="K29" s="722"/>
      <c r="L29" s="680" t="s">
        <v>462</v>
      </c>
      <c r="M29" s="679">
        <v>4.91343</v>
      </c>
      <c r="N29" s="679">
        <v>0</v>
      </c>
      <c r="O29" s="753"/>
    </row>
    <row r="30" spans="1:15" ht="9.75" customHeight="1">
      <c r="A30" s="631" t="s">
        <v>108</v>
      </c>
      <c r="B30" s="779">
        <v>24.358339999999998</v>
      </c>
      <c r="C30" s="779">
        <v>27.15512</v>
      </c>
      <c r="D30" s="632">
        <f t="shared" si="0"/>
        <v>-0.10299273212565441</v>
      </c>
      <c r="E30" s="138"/>
      <c r="F30" s="138"/>
      <c r="G30" s="138"/>
      <c r="H30" s="138"/>
      <c r="I30" s="138"/>
      <c r="J30" s="138"/>
      <c r="K30" s="722"/>
      <c r="L30" s="680" t="s">
        <v>423</v>
      </c>
      <c r="M30" s="679">
        <v>6.8490399999999996</v>
      </c>
      <c r="N30" s="679">
        <v>0</v>
      </c>
      <c r="O30" s="753"/>
    </row>
    <row r="31" spans="1:15" ht="9.75" customHeight="1">
      <c r="A31" s="633" t="s">
        <v>465</v>
      </c>
      <c r="B31" s="780">
        <v>23.914439999999999</v>
      </c>
      <c r="C31" s="780">
        <v>20.379280000000001</v>
      </c>
      <c r="D31" s="634">
        <f t="shared" si="0"/>
        <v>0.17346834628112462</v>
      </c>
      <c r="E31" s="138"/>
      <c r="F31" s="138"/>
      <c r="G31" s="138"/>
      <c r="H31" s="138"/>
      <c r="I31" s="138"/>
      <c r="J31" s="138"/>
      <c r="K31" s="722"/>
      <c r="L31" s="680" t="s">
        <v>463</v>
      </c>
      <c r="M31" s="679">
        <v>7.09903</v>
      </c>
      <c r="N31" s="679">
        <v>0.30436000000000002</v>
      </c>
      <c r="O31" s="753"/>
    </row>
    <row r="32" spans="1:15" ht="9.75" customHeight="1">
      <c r="A32" s="631" t="s">
        <v>111</v>
      </c>
      <c r="B32" s="779">
        <v>22.876190000000001</v>
      </c>
      <c r="C32" s="779">
        <v>21.567419999999998</v>
      </c>
      <c r="D32" s="632">
        <f t="shared" si="0"/>
        <v>6.0682733493389707E-2</v>
      </c>
      <c r="E32" s="138"/>
      <c r="F32" s="138"/>
      <c r="G32" s="138"/>
      <c r="H32" s="138"/>
      <c r="I32" s="138"/>
      <c r="J32" s="138"/>
      <c r="K32" s="722"/>
      <c r="L32" s="680" t="s">
        <v>406</v>
      </c>
      <c r="M32" s="679">
        <v>8.0152000000000001</v>
      </c>
      <c r="N32" s="679">
        <v>9.6158000000000001</v>
      </c>
      <c r="O32" s="753"/>
    </row>
    <row r="33" spans="1:17" ht="13.5" customHeight="1">
      <c r="A33" s="635" t="s">
        <v>397</v>
      </c>
      <c r="B33" s="780">
        <v>20.08079</v>
      </c>
      <c r="C33" s="780">
        <v>20.099779999999999</v>
      </c>
      <c r="D33" s="634">
        <f t="shared" si="0"/>
        <v>-9.4478646034923397E-4</v>
      </c>
      <c r="E33" s="138"/>
      <c r="F33" s="138"/>
      <c r="G33" s="138"/>
      <c r="H33" s="138"/>
      <c r="I33" s="138"/>
      <c r="J33" s="138"/>
      <c r="K33" s="722"/>
      <c r="L33" s="680" t="s">
        <v>444</v>
      </c>
      <c r="M33" s="679">
        <v>9.5087200000000003</v>
      </c>
      <c r="N33" s="679">
        <v>11.875</v>
      </c>
      <c r="O33" s="753"/>
    </row>
    <row r="34" spans="1:17" s="557" customFormat="1" ht="13.5" customHeight="1">
      <c r="A34" s="631" t="s">
        <v>240</v>
      </c>
      <c r="B34" s="779">
        <v>19.678349999999998</v>
      </c>
      <c r="C34" s="779">
        <v>27.913160000000001</v>
      </c>
      <c r="D34" s="632">
        <f t="shared" si="0"/>
        <v>-0.2950153261042463</v>
      </c>
      <c r="E34" s="138"/>
      <c r="F34" s="138"/>
      <c r="G34" s="138"/>
      <c r="H34" s="138"/>
      <c r="I34" s="138"/>
      <c r="J34" s="138"/>
      <c r="K34" s="722"/>
      <c r="L34" s="680" t="s">
        <v>436</v>
      </c>
      <c r="M34" s="679">
        <v>9.8667400000000001</v>
      </c>
      <c r="N34" s="679">
        <v>9.8742999999999999</v>
      </c>
      <c r="O34" s="753"/>
      <c r="P34" s="692"/>
      <c r="Q34" s="692"/>
    </row>
    <row r="35" spans="1:17" s="557" customFormat="1" ht="13.5" customHeight="1">
      <c r="A35" s="635" t="s">
        <v>103</v>
      </c>
      <c r="B35" s="780">
        <v>19.031759999999998</v>
      </c>
      <c r="C35" s="780">
        <v>15.986270000000001</v>
      </c>
      <c r="D35" s="634">
        <f t="shared" si="0"/>
        <v>0.1905066034791103</v>
      </c>
      <c r="E35" s="138"/>
      <c r="F35" s="138"/>
      <c r="G35" s="138"/>
      <c r="H35" s="138"/>
      <c r="I35" s="138"/>
      <c r="J35" s="138"/>
      <c r="K35" s="722"/>
      <c r="L35" s="680" t="s">
        <v>413</v>
      </c>
      <c r="M35" s="679">
        <v>11.82414</v>
      </c>
      <c r="N35" s="679">
        <v>18.254339999999999</v>
      </c>
      <c r="O35" s="753"/>
      <c r="P35" s="692"/>
      <c r="Q35" s="692"/>
    </row>
    <row r="36" spans="1:17" ht="10.15" customHeight="1">
      <c r="A36" s="636" t="s">
        <v>118</v>
      </c>
      <c r="B36" s="779">
        <v>18.584409999999998</v>
      </c>
      <c r="C36" s="779">
        <v>8.1507699999999996</v>
      </c>
      <c r="D36" s="632">
        <f t="shared" si="0"/>
        <v>1.2800802868931402</v>
      </c>
      <c r="E36" s="138"/>
      <c r="F36" s="138"/>
      <c r="G36" s="138"/>
      <c r="H36" s="138"/>
      <c r="I36" s="138"/>
      <c r="J36" s="138"/>
      <c r="K36" s="722"/>
      <c r="L36" s="680" t="s">
        <v>445</v>
      </c>
      <c r="M36" s="679">
        <v>13.42886</v>
      </c>
      <c r="N36" s="679">
        <v>11.10547</v>
      </c>
      <c r="O36" s="753"/>
    </row>
    <row r="37" spans="1:17" ht="13.5" customHeight="1">
      <c r="A37" s="635" t="s">
        <v>466</v>
      </c>
      <c r="B37" s="780">
        <v>17.91086</v>
      </c>
      <c r="C37" s="780">
        <v>16.12743</v>
      </c>
      <c r="D37" s="634">
        <f t="shared" si="0"/>
        <v>0.11058364537933185</v>
      </c>
      <c r="E37" s="138"/>
      <c r="F37" s="138"/>
      <c r="G37" s="138"/>
      <c r="H37" s="138"/>
      <c r="I37" s="138"/>
      <c r="J37" s="138"/>
      <c r="K37" s="722"/>
      <c r="L37" s="680" t="s">
        <v>106</v>
      </c>
      <c r="M37" s="681">
        <v>15.379</v>
      </c>
      <c r="N37" s="681">
        <v>16.507770000000001</v>
      </c>
      <c r="O37" s="753"/>
    </row>
    <row r="38" spans="1:17" ht="11.25" customHeight="1">
      <c r="A38" s="631" t="s">
        <v>238</v>
      </c>
      <c r="B38" s="779">
        <v>17.332999999999998</v>
      </c>
      <c r="C38" s="779">
        <v>15.518419999999999</v>
      </c>
      <c r="D38" s="632">
        <f t="shared" si="0"/>
        <v>0.11693071846231762</v>
      </c>
      <c r="E38" s="138"/>
      <c r="F38" s="138"/>
      <c r="G38" s="138"/>
      <c r="H38" s="138"/>
      <c r="I38" s="138"/>
      <c r="J38" s="138"/>
      <c r="K38" s="724"/>
      <c r="L38" s="680" t="s">
        <v>104</v>
      </c>
      <c r="M38" s="679">
        <v>15.969349999999999</v>
      </c>
      <c r="N38" s="679">
        <v>14.931290000000001</v>
      </c>
      <c r="O38" s="753"/>
    </row>
    <row r="39" spans="1:17" ht="11.25" customHeight="1">
      <c r="A39" s="635" t="s">
        <v>104</v>
      </c>
      <c r="B39" s="780">
        <v>15.969349999999999</v>
      </c>
      <c r="C39" s="780">
        <v>14.931290000000001</v>
      </c>
      <c r="D39" s="634">
        <f t="shared" si="0"/>
        <v>6.9522459211494692E-2</v>
      </c>
      <c r="E39" s="138"/>
      <c r="F39" s="138"/>
      <c r="G39" s="138"/>
      <c r="H39" s="138"/>
      <c r="I39" s="138"/>
      <c r="J39" s="138"/>
      <c r="K39" s="724"/>
      <c r="L39" s="680" t="s">
        <v>238</v>
      </c>
      <c r="M39" s="679">
        <v>17.332999999999998</v>
      </c>
      <c r="N39" s="679">
        <v>15.518419999999999</v>
      </c>
      <c r="O39" s="753"/>
    </row>
    <row r="40" spans="1:17" ht="11.45" customHeight="1">
      <c r="A40" s="636" t="s">
        <v>106</v>
      </c>
      <c r="B40" s="779">
        <v>15.379</v>
      </c>
      <c r="C40" s="779">
        <v>16.507770000000001</v>
      </c>
      <c r="D40" s="632">
        <f t="shared" si="0"/>
        <v>-6.8378103159906001E-2</v>
      </c>
      <c r="E40" s="138"/>
      <c r="F40" s="138"/>
      <c r="G40" s="138"/>
      <c r="H40" s="138"/>
      <c r="I40" s="138"/>
      <c r="J40" s="138"/>
      <c r="K40" s="723"/>
      <c r="L40" s="680" t="s">
        <v>466</v>
      </c>
      <c r="M40" s="679">
        <v>17.91086</v>
      </c>
      <c r="N40" s="679">
        <v>16.12743</v>
      </c>
      <c r="O40" s="753"/>
    </row>
    <row r="41" spans="1:17" ht="11.25" customHeight="1">
      <c r="A41" s="635" t="s">
        <v>445</v>
      </c>
      <c r="B41" s="780">
        <v>13.42886</v>
      </c>
      <c r="C41" s="780">
        <v>11.10547</v>
      </c>
      <c r="D41" s="634">
        <f t="shared" si="0"/>
        <v>0.20921131658543035</v>
      </c>
      <c r="E41" s="138"/>
      <c r="F41" s="138"/>
      <c r="G41" s="138"/>
      <c r="H41" s="138"/>
      <c r="I41" s="138"/>
      <c r="J41" s="138"/>
      <c r="K41" s="723"/>
      <c r="L41" s="680" t="s">
        <v>118</v>
      </c>
      <c r="M41" s="679">
        <v>18.584409999999998</v>
      </c>
      <c r="N41" s="679">
        <v>8.1507699999999996</v>
      </c>
      <c r="O41" s="753"/>
    </row>
    <row r="42" spans="1:17" ht="11.25" customHeight="1">
      <c r="A42" s="637" t="s">
        <v>413</v>
      </c>
      <c r="B42" s="779">
        <v>11.82414</v>
      </c>
      <c r="C42" s="779">
        <v>18.254339999999999</v>
      </c>
      <c r="D42" s="632">
        <f t="shared" si="0"/>
        <v>-0.35225595666564768</v>
      </c>
      <c r="E42" s="138"/>
      <c r="F42" s="138"/>
      <c r="G42" s="138"/>
      <c r="H42" s="138"/>
      <c r="I42" s="138"/>
      <c r="J42" s="138"/>
      <c r="K42" s="723"/>
      <c r="L42" s="680" t="s">
        <v>103</v>
      </c>
      <c r="M42" s="679">
        <v>19.031759999999998</v>
      </c>
      <c r="N42" s="679">
        <v>15.986270000000001</v>
      </c>
      <c r="O42" s="753"/>
    </row>
    <row r="43" spans="1:17" ht="9.75" customHeight="1">
      <c r="A43" s="633" t="s">
        <v>436</v>
      </c>
      <c r="B43" s="780">
        <v>9.8667400000000001</v>
      </c>
      <c r="C43" s="780">
        <v>9.8742999999999999</v>
      </c>
      <c r="D43" s="634">
        <f t="shared" si="0"/>
        <v>-7.6562389232648353E-4</v>
      </c>
      <c r="E43" s="138"/>
      <c r="F43" s="138"/>
      <c r="G43" s="138"/>
      <c r="H43" s="138"/>
      <c r="I43" s="138"/>
      <c r="J43" s="138"/>
      <c r="K43" s="724"/>
      <c r="L43" s="680" t="s">
        <v>240</v>
      </c>
      <c r="M43" s="679">
        <v>19.678349999999998</v>
      </c>
      <c r="N43" s="679">
        <v>27.913160000000001</v>
      </c>
      <c r="O43" s="753"/>
    </row>
    <row r="44" spans="1:17" ht="9.75" customHeight="1">
      <c r="A44" s="631" t="s">
        <v>444</v>
      </c>
      <c r="B44" s="779">
        <v>9.5087200000000003</v>
      </c>
      <c r="C44" s="779">
        <v>11.875</v>
      </c>
      <c r="D44" s="632">
        <f t="shared" si="0"/>
        <v>-0.19926568421052626</v>
      </c>
      <c r="E44" s="138"/>
      <c r="F44" s="138"/>
      <c r="G44" s="138"/>
      <c r="H44" s="138"/>
      <c r="I44" s="138"/>
      <c r="J44" s="138"/>
      <c r="K44" s="724"/>
      <c r="L44" s="680" t="s">
        <v>397</v>
      </c>
      <c r="M44" s="679">
        <v>20.08079</v>
      </c>
      <c r="N44" s="679">
        <v>20.099779999999999</v>
      </c>
      <c r="O44" s="753"/>
    </row>
    <row r="45" spans="1:17" ht="9.75" customHeight="1">
      <c r="A45" s="633" t="s">
        <v>406</v>
      </c>
      <c r="B45" s="780">
        <v>8.0152000000000001</v>
      </c>
      <c r="C45" s="780">
        <v>9.6158000000000001</v>
      </c>
      <c r="D45" s="634">
        <f t="shared" si="0"/>
        <v>-0.16645520913496537</v>
      </c>
      <c r="E45" s="138"/>
      <c r="F45" s="138"/>
      <c r="G45" s="138"/>
      <c r="H45" s="138"/>
      <c r="I45" s="138"/>
      <c r="J45" s="138"/>
      <c r="K45" s="724"/>
      <c r="L45" s="680" t="s">
        <v>111</v>
      </c>
      <c r="M45" s="679">
        <v>22.876190000000001</v>
      </c>
      <c r="N45" s="679">
        <v>21.567419999999998</v>
      </c>
      <c r="O45" s="753"/>
    </row>
    <row r="46" spans="1:17" ht="9.75" customHeight="1">
      <c r="A46" s="631" t="s">
        <v>463</v>
      </c>
      <c r="B46" s="779">
        <v>7.09903</v>
      </c>
      <c r="C46" s="779">
        <v>0.30436000000000002</v>
      </c>
      <c r="D46" s="632">
        <f t="shared" si="0"/>
        <v>22.324451307661977</v>
      </c>
      <c r="E46" s="138"/>
      <c r="F46" s="138"/>
      <c r="G46" s="138"/>
      <c r="H46" s="138"/>
      <c r="I46" s="138"/>
      <c r="J46" s="138"/>
      <c r="L46" s="680" t="s">
        <v>465</v>
      </c>
      <c r="M46" s="679">
        <v>23.914439999999999</v>
      </c>
      <c r="N46" s="679">
        <v>20.379280000000001</v>
      </c>
      <c r="O46" s="753"/>
    </row>
    <row r="47" spans="1:17" ht="9.75" customHeight="1">
      <c r="A47" s="633" t="s">
        <v>423</v>
      </c>
      <c r="B47" s="780">
        <v>6.8490399999999996</v>
      </c>
      <c r="C47" s="780">
        <v>0</v>
      </c>
      <c r="D47" s="634" t="str">
        <f t="shared" si="0"/>
        <v/>
      </c>
      <c r="E47" s="138"/>
      <c r="F47" s="138"/>
      <c r="G47" s="138"/>
      <c r="H47" s="138"/>
      <c r="I47" s="138"/>
      <c r="J47" s="138"/>
      <c r="L47" s="680" t="s">
        <v>108</v>
      </c>
      <c r="M47" s="679">
        <v>24.358339999999998</v>
      </c>
      <c r="N47" s="679">
        <v>27.15512</v>
      </c>
      <c r="O47" s="753"/>
    </row>
    <row r="48" spans="1:17" ht="9.6" customHeight="1">
      <c r="A48" s="636" t="s">
        <v>462</v>
      </c>
      <c r="B48" s="779">
        <v>4.91343</v>
      </c>
      <c r="C48" s="779">
        <v>0</v>
      </c>
      <c r="D48" s="632"/>
      <c r="E48" s="138"/>
      <c r="F48" s="138"/>
      <c r="G48" s="138"/>
      <c r="H48" s="138"/>
      <c r="I48" s="138"/>
      <c r="J48" s="138"/>
      <c r="L48" s="680" t="s">
        <v>472</v>
      </c>
      <c r="M48" s="679">
        <v>34.318089999999998</v>
      </c>
      <c r="N48" s="679">
        <v>28.0063</v>
      </c>
      <c r="O48" s="753"/>
    </row>
    <row r="49" spans="1:15" ht="9.75" customHeight="1">
      <c r="A49" s="633" t="s">
        <v>114</v>
      </c>
      <c r="B49" s="780">
        <v>3.6</v>
      </c>
      <c r="C49" s="780">
        <v>3.2</v>
      </c>
      <c r="D49" s="634">
        <f t="shared" si="0"/>
        <v>0.125</v>
      </c>
      <c r="E49" s="138"/>
      <c r="F49" s="138"/>
      <c r="G49" s="138"/>
      <c r="H49" s="138"/>
      <c r="I49" s="138"/>
      <c r="J49" s="138"/>
      <c r="L49" s="680" t="s">
        <v>236</v>
      </c>
      <c r="M49" s="679">
        <v>47.774459999999998</v>
      </c>
      <c r="N49" s="679">
        <v>72.859000000000009</v>
      </c>
      <c r="O49" s="753"/>
    </row>
    <row r="50" spans="1:15" ht="10.9" customHeight="1">
      <c r="A50" s="636" t="s">
        <v>113</v>
      </c>
      <c r="B50" s="779">
        <v>2.5990000000000002</v>
      </c>
      <c r="C50" s="779">
        <v>2.6180699999999999</v>
      </c>
      <c r="D50" s="632">
        <f t="shared" si="0"/>
        <v>-7.2839916426985507E-3</v>
      </c>
      <c r="E50" s="138"/>
      <c r="F50" s="138"/>
      <c r="G50" s="138"/>
      <c r="H50" s="138"/>
      <c r="I50" s="138"/>
      <c r="J50" s="138"/>
      <c r="L50" s="680" t="s">
        <v>101</v>
      </c>
      <c r="M50" s="679">
        <v>48.037640000000003</v>
      </c>
      <c r="N50" s="679">
        <v>28.084899999999998</v>
      </c>
      <c r="O50" s="753"/>
    </row>
    <row r="51" spans="1:15" ht="11.25" customHeight="1">
      <c r="A51" s="635" t="s">
        <v>540</v>
      </c>
      <c r="B51" s="780">
        <v>2.0041799999999999</v>
      </c>
      <c r="C51" s="780"/>
      <c r="D51" s="634" t="str">
        <f t="shared" si="0"/>
        <v/>
      </c>
      <c r="E51" s="138"/>
      <c r="F51" s="138"/>
      <c r="G51" s="138"/>
      <c r="H51" s="138"/>
      <c r="I51" s="138"/>
      <c r="J51" s="138"/>
      <c r="L51" s="680" t="s">
        <v>96</v>
      </c>
      <c r="M51" s="679">
        <v>49.036999999999999</v>
      </c>
      <c r="N51" s="679">
        <v>91.749669999999995</v>
      </c>
      <c r="O51" s="753"/>
    </row>
    <row r="52" spans="1:15" ht="12" customHeight="1">
      <c r="A52" s="636" t="s">
        <v>115</v>
      </c>
      <c r="B52" s="779">
        <v>1.8420000000000001</v>
      </c>
      <c r="C52" s="779">
        <v>1.9338599999999999</v>
      </c>
      <c r="D52" s="632">
        <f t="shared" si="0"/>
        <v>-4.750085321584796E-2</v>
      </c>
      <c r="E52" s="138"/>
      <c r="F52" s="138"/>
      <c r="G52" s="138"/>
      <c r="H52" s="138"/>
      <c r="I52" s="138"/>
      <c r="J52" s="138"/>
      <c r="L52" s="680" t="s">
        <v>99</v>
      </c>
      <c r="M52" s="679">
        <v>60.343629999999997</v>
      </c>
      <c r="N52" s="679">
        <v>90.099869999999996</v>
      </c>
      <c r="O52" s="753"/>
    </row>
    <row r="53" spans="1:15" ht="9.75" customHeight="1">
      <c r="A53" s="635" t="s">
        <v>112</v>
      </c>
      <c r="B53" s="780">
        <v>1.5634600000000001</v>
      </c>
      <c r="C53" s="780">
        <v>2.5543200000000001</v>
      </c>
      <c r="D53" s="634">
        <f t="shared" si="0"/>
        <v>-0.38791537473769933</v>
      </c>
      <c r="E53" s="138"/>
      <c r="F53" s="138"/>
      <c r="G53" s="138"/>
      <c r="H53" s="138"/>
      <c r="I53" s="138"/>
      <c r="J53" s="138"/>
      <c r="L53" s="680" t="s">
        <v>422</v>
      </c>
      <c r="M53" s="679">
        <v>82.535640000000001</v>
      </c>
      <c r="N53" s="679">
        <v>67.226389999999995</v>
      </c>
      <c r="O53" s="753"/>
    </row>
    <row r="54" spans="1:15" ht="9.75" customHeight="1">
      <c r="A54" s="631" t="s">
        <v>119</v>
      </c>
      <c r="B54" s="779">
        <v>0</v>
      </c>
      <c r="C54" s="779">
        <v>12.644590000000001</v>
      </c>
      <c r="D54" s="632">
        <f t="shared" si="0"/>
        <v>-1</v>
      </c>
      <c r="E54" s="138"/>
      <c r="F54" s="138"/>
      <c r="G54" s="138"/>
      <c r="H54" s="138"/>
      <c r="I54" s="138"/>
      <c r="J54" s="138"/>
      <c r="L54" s="680" t="s">
        <v>97</v>
      </c>
      <c r="M54" s="679">
        <v>85.439599999999999</v>
      </c>
      <c r="N54" s="679">
        <v>51.912120000000002</v>
      </c>
      <c r="O54" s="753"/>
    </row>
    <row r="55" spans="1:15" ht="9.75" customHeight="1">
      <c r="A55" s="633" t="s">
        <v>234</v>
      </c>
      <c r="B55" s="780">
        <v>0</v>
      </c>
      <c r="C55" s="780">
        <v>0</v>
      </c>
      <c r="D55" s="634" t="str">
        <f t="shared" si="0"/>
        <v/>
      </c>
      <c r="E55" s="138"/>
      <c r="F55" s="138"/>
      <c r="G55" s="138"/>
      <c r="H55" s="138"/>
      <c r="I55" s="138"/>
      <c r="J55" s="138"/>
      <c r="L55" s="680" t="s">
        <v>105</v>
      </c>
      <c r="M55" s="679">
        <v>87.43</v>
      </c>
      <c r="N55" s="679">
        <v>89.145039999999995</v>
      </c>
      <c r="O55" s="753"/>
    </row>
    <row r="56" spans="1:15" ht="9.75" customHeight="1">
      <c r="A56" s="631" t="s">
        <v>407</v>
      </c>
      <c r="B56" s="779">
        <v>0</v>
      </c>
      <c r="C56" s="779">
        <v>0.52800000000000002</v>
      </c>
      <c r="D56" s="632">
        <f t="shared" si="0"/>
        <v>-1</v>
      </c>
      <c r="E56" s="138"/>
      <c r="F56" s="138"/>
      <c r="G56" s="138"/>
      <c r="H56" s="138"/>
      <c r="I56" s="138"/>
      <c r="J56" s="138"/>
      <c r="L56" s="680" t="s">
        <v>95</v>
      </c>
      <c r="M56" s="679">
        <v>97.51715999999999</v>
      </c>
      <c r="N56" s="679">
        <v>53.209540000000004</v>
      </c>
      <c r="O56" s="753"/>
    </row>
    <row r="57" spans="1:15" ht="9.75" customHeight="1">
      <c r="A57" s="633" t="s">
        <v>116</v>
      </c>
      <c r="B57" s="780">
        <v>0</v>
      </c>
      <c r="C57" s="780">
        <v>0</v>
      </c>
      <c r="D57" s="634" t="str">
        <f t="shared" si="0"/>
        <v/>
      </c>
      <c r="E57" s="138"/>
      <c r="F57" s="138"/>
      <c r="G57" s="138"/>
      <c r="H57" s="138"/>
      <c r="I57" s="138"/>
      <c r="J57" s="138"/>
      <c r="L57" s="680" t="s">
        <v>91</v>
      </c>
      <c r="M57" s="679">
        <v>118.81665</v>
      </c>
      <c r="N57" s="679">
        <v>145.75068999999999</v>
      </c>
      <c r="O57" s="753"/>
    </row>
    <row r="58" spans="1:15" ht="9.75" customHeight="1">
      <c r="A58" s="631" t="s">
        <v>110</v>
      </c>
      <c r="B58" s="779">
        <v>0</v>
      </c>
      <c r="C58" s="779">
        <v>0</v>
      </c>
      <c r="D58" s="632" t="str">
        <f t="shared" si="0"/>
        <v/>
      </c>
      <c r="E58" s="138"/>
      <c r="F58" s="138"/>
      <c r="G58" s="138"/>
      <c r="H58" s="138"/>
      <c r="I58" s="138"/>
      <c r="J58" s="138"/>
      <c r="L58" s="680" t="s">
        <v>98</v>
      </c>
      <c r="M58" s="679">
        <v>125.508</v>
      </c>
      <c r="N58" s="679">
        <v>119.07773</v>
      </c>
      <c r="O58" s="753"/>
    </row>
    <row r="59" spans="1:15" ht="9.75" customHeight="1">
      <c r="A59" s="633" t="s">
        <v>107</v>
      </c>
      <c r="B59" s="780">
        <v>0</v>
      </c>
      <c r="C59" s="780">
        <v>0</v>
      </c>
      <c r="D59" s="634" t="str">
        <f t="shared" si="0"/>
        <v/>
      </c>
      <c r="E59" s="138"/>
      <c r="F59" s="138"/>
      <c r="G59" s="138"/>
      <c r="H59" s="138"/>
      <c r="I59" s="138"/>
      <c r="J59" s="138"/>
      <c r="L59" s="680" t="s">
        <v>92</v>
      </c>
      <c r="M59" s="679">
        <v>153.43099999999998</v>
      </c>
      <c r="N59" s="679">
        <v>125.73308</v>
      </c>
      <c r="O59" s="753"/>
    </row>
    <row r="60" spans="1:15" ht="9.75" customHeight="1">
      <c r="A60" s="631" t="s">
        <v>241</v>
      </c>
      <c r="B60" s="779">
        <v>0</v>
      </c>
      <c r="C60" s="779">
        <v>0</v>
      </c>
      <c r="D60" s="632" t="str">
        <f t="shared" si="0"/>
        <v/>
      </c>
      <c r="E60" s="138"/>
      <c r="F60" s="138"/>
      <c r="G60" s="138"/>
      <c r="H60" s="138"/>
      <c r="I60" s="138"/>
      <c r="J60" s="138"/>
      <c r="L60" s="680" t="s">
        <v>93</v>
      </c>
      <c r="M60" s="679">
        <v>154.065</v>
      </c>
      <c r="N60" s="679">
        <v>166.60892999999999</v>
      </c>
      <c r="O60" s="753"/>
    </row>
    <row r="61" spans="1:15" ht="9.75" customHeight="1">
      <c r="A61" s="638" t="s">
        <v>242</v>
      </c>
      <c r="B61" s="781">
        <v>0</v>
      </c>
      <c r="C61" s="781">
        <v>0</v>
      </c>
      <c r="D61" s="634" t="str">
        <f t="shared" si="0"/>
        <v/>
      </c>
      <c r="E61" s="138"/>
      <c r="F61" s="138"/>
      <c r="G61" s="138"/>
      <c r="H61" s="138"/>
      <c r="I61" s="138"/>
      <c r="J61" s="138"/>
      <c r="L61" s="680" t="s">
        <v>235</v>
      </c>
      <c r="M61" s="679">
        <v>183.06565000000001</v>
      </c>
      <c r="N61" s="679">
        <v>315.66933</v>
      </c>
      <c r="O61" s="753"/>
    </row>
    <row r="62" spans="1:15" ht="9.75" customHeight="1">
      <c r="A62" s="639" t="s">
        <v>102</v>
      </c>
      <c r="B62" s="782">
        <v>0</v>
      </c>
      <c r="C62" s="782">
        <v>28.000039999999998</v>
      </c>
      <c r="D62" s="640">
        <f t="shared" si="0"/>
        <v>-1</v>
      </c>
      <c r="E62" s="138"/>
      <c r="F62" s="138"/>
      <c r="G62" s="138"/>
      <c r="H62" s="138"/>
      <c r="I62" s="138"/>
      <c r="J62" s="138"/>
      <c r="L62" s="680" t="s">
        <v>94</v>
      </c>
      <c r="M62" s="679">
        <v>205.43982</v>
      </c>
      <c r="N62" s="679">
        <v>157.25013999999999</v>
      </c>
      <c r="O62" s="753"/>
    </row>
    <row r="63" spans="1:15" ht="9.75" customHeight="1">
      <c r="A63" s="638" t="s">
        <v>117</v>
      </c>
      <c r="B63" s="781">
        <v>0</v>
      </c>
      <c r="C63" s="781">
        <v>0</v>
      </c>
      <c r="D63" s="628" t="str">
        <f t="shared" si="0"/>
        <v/>
      </c>
      <c r="E63" s="138"/>
      <c r="F63" s="138"/>
      <c r="G63" s="138"/>
      <c r="H63" s="138"/>
      <c r="I63" s="138"/>
      <c r="J63" s="138"/>
      <c r="L63" s="680" t="s">
        <v>239</v>
      </c>
      <c r="M63" s="679">
        <v>253.20999999999998</v>
      </c>
      <c r="N63" s="679">
        <v>205.41876000000005</v>
      </c>
      <c r="O63" s="753"/>
    </row>
    <row r="64" spans="1:15" ht="9.75" customHeight="1">
      <c r="A64" s="639" t="s">
        <v>109</v>
      </c>
      <c r="B64" s="782">
        <v>0</v>
      </c>
      <c r="C64" s="782">
        <v>0</v>
      </c>
      <c r="D64" s="640" t="str">
        <f t="shared" si="0"/>
        <v/>
      </c>
      <c r="E64" s="138"/>
      <c r="F64" s="138"/>
      <c r="G64" s="138"/>
      <c r="H64" s="138"/>
      <c r="I64" s="138"/>
      <c r="J64" s="138"/>
      <c r="L64" s="680" t="s">
        <v>100</v>
      </c>
      <c r="M64" s="679">
        <v>290.59153000000003</v>
      </c>
      <c r="N64" s="679">
        <v>290.87457999999998</v>
      </c>
      <c r="O64" s="753"/>
    </row>
    <row r="65" spans="1:17" s="557" customFormat="1" ht="9.75" customHeight="1">
      <c r="A65" s="638" t="s">
        <v>453</v>
      </c>
      <c r="B65" s="781">
        <v>0</v>
      </c>
      <c r="C65" s="781">
        <v>9.2861399999999996</v>
      </c>
      <c r="D65" s="628">
        <f t="shared" si="0"/>
        <v>-1</v>
      </c>
      <c r="E65" s="138"/>
      <c r="F65" s="138"/>
      <c r="G65" s="138"/>
      <c r="H65" s="138"/>
      <c r="I65" s="138"/>
      <c r="J65" s="138"/>
      <c r="K65" s="506"/>
      <c r="L65" s="680" t="s">
        <v>90</v>
      </c>
      <c r="M65" s="679">
        <v>298.49910999999997</v>
      </c>
      <c r="N65" s="679">
        <v>256.80173000000002</v>
      </c>
      <c r="O65" s="753"/>
      <c r="P65" s="692"/>
      <c r="Q65" s="692"/>
    </row>
    <row r="66" spans="1:17" s="557" customFormat="1" ht="9.75" customHeight="1">
      <c r="A66" s="639" t="s">
        <v>460</v>
      </c>
      <c r="B66" s="782">
        <v>0</v>
      </c>
      <c r="C66" s="782">
        <v>0</v>
      </c>
      <c r="D66" s="640" t="str">
        <f t="shared" si="0"/>
        <v/>
      </c>
      <c r="E66" s="138"/>
      <c r="F66" s="138"/>
      <c r="G66" s="138"/>
      <c r="H66" s="138"/>
      <c r="I66" s="138"/>
      <c r="J66" s="138"/>
      <c r="K66" s="506"/>
      <c r="L66" s="680" t="s">
        <v>237</v>
      </c>
      <c r="M66" s="679">
        <v>559.52296000000001</v>
      </c>
      <c r="N66" s="679">
        <v>540.08069</v>
      </c>
      <c r="O66" s="753"/>
      <c r="P66" s="692"/>
      <c r="Q66" s="692"/>
    </row>
    <row r="67" spans="1:17" s="557" customFormat="1" ht="9.75" customHeight="1">
      <c r="A67" s="638" t="s">
        <v>461</v>
      </c>
      <c r="B67" s="781">
        <v>0</v>
      </c>
      <c r="C67" s="781">
        <v>0</v>
      </c>
      <c r="D67" s="628" t="str">
        <f t="shared" si="0"/>
        <v/>
      </c>
      <c r="E67" s="138"/>
      <c r="F67" s="138"/>
      <c r="G67" s="138"/>
      <c r="H67" s="138"/>
      <c r="I67" s="138"/>
      <c r="J67" s="138"/>
      <c r="K67" s="506"/>
      <c r="L67" s="680" t="s">
        <v>87</v>
      </c>
      <c r="M67" s="682">
        <v>805.27653000000009</v>
      </c>
      <c r="N67" s="682">
        <v>972.13833000000011</v>
      </c>
      <c r="O67" s="753"/>
      <c r="P67" s="692"/>
      <c r="Q67" s="692"/>
    </row>
    <row r="68" spans="1:17" s="557" customFormat="1" ht="9.75" customHeight="1">
      <c r="A68" s="639" t="s">
        <v>464</v>
      </c>
      <c r="B68" s="782">
        <v>0</v>
      </c>
      <c r="C68" s="782">
        <v>0</v>
      </c>
      <c r="D68" s="640" t="str">
        <f t="shared" si="0"/>
        <v/>
      </c>
      <c r="E68" s="138"/>
      <c r="F68" s="138"/>
      <c r="G68" s="138"/>
      <c r="H68" s="138"/>
      <c r="I68" s="138"/>
      <c r="J68" s="138"/>
      <c r="K68" s="506"/>
      <c r="L68" s="680" t="s">
        <v>89</v>
      </c>
      <c r="M68" s="682">
        <v>851.00735999999995</v>
      </c>
      <c r="N68" s="682">
        <v>853.06079999999986</v>
      </c>
      <c r="O68" s="753"/>
      <c r="P68" s="692"/>
      <c r="Q68" s="692"/>
    </row>
    <row r="69" spans="1:17" s="557" customFormat="1" ht="9.75" customHeight="1">
      <c r="A69" s="638" t="s">
        <v>541</v>
      </c>
      <c r="B69" s="781">
        <v>0</v>
      </c>
      <c r="C69" s="781"/>
      <c r="D69" s="628" t="str">
        <f t="shared" si="0"/>
        <v/>
      </c>
      <c r="E69" s="138"/>
      <c r="F69" s="138"/>
      <c r="G69" s="138"/>
      <c r="H69" s="138"/>
      <c r="I69" s="138"/>
      <c r="J69" s="138"/>
      <c r="K69" s="506"/>
      <c r="L69" s="680" t="s">
        <v>405</v>
      </c>
      <c r="M69" s="682">
        <v>1072.6349999999998</v>
      </c>
      <c r="N69" s="682">
        <v>785.20920999999987</v>
      </c>
      <c r="O69" s="753"/>
      <c r="P69" s="692"/>
      <c r="Q69" s="692"/>
    </row>
    <row r="70" spans="1:17" s="557" customFormat="1" ht="9.75" customHeight="1">
      <c r="A70" s="639" t="s">
        <v>416</v>
      </c>
      <c r="B70" s="782"/>
      <c r="C70" s="782">
        <v>11.201129999999999</v>
      </c>
      <c r="D70" s="640">
        <f t="shared" si="0"/>
        <v>-1</v>
      </c>
      <c r="E70" s="138"/>
      <c r="F70" s="138"/>
      <c r="G70" s="138"/>
      <c r="H70" s="138"/>
      <c r="I70" s="138"/>
      <c r="J70" s="138"/>
      <c r="K70" s="506"/>
      <c r="L70" s="680" t="s">
        <v>88</v>
      </c>
      <c r="M70" s="682">
        <v>1108.1760000000002</v>
      </c>
      <c r="N70" s="682">
        <v>1060.53989</v>
      </c>
      <c r="O70" s="753"/>
      <c r="P70" s="692"/>
      <c r="Q70" s="692"/>
    </row>
    <row r="71" spans="1:17" ht="9.75" customHeight="1">
      <c r="A71" s="641" t="s">
        <v>42</v>
      </c>
      <c r="B71" s="642">
        <f>SUM(B7:B70)</f>
        <v>7069.9081199999964</v>
      </c>
      <c r="C71" s="642">
        <f>SUM(C7:C70)</f>
        <v>6903.8388500000037</v>
      </c>
      <c r="D71" s="643">
        <f>IF(C71=0,"",B71/C71-1)</f>
        <v>2.405462723105023E-2</v>
      </c>
      <c r="E71" s="138"/>
      <c r="F71" s="138"/>
      <c r="G71" s="138"/>
      <c r="H71" s="138"/>
      <c r="I71" s="138"/>
      <c r="J71" s="138"/>
      <c r="O71" s="753"/>
    </row>
    <row r="72" spans="1:17" ht="31.15" customHeight="1">
      <c r="A72" s="873" t="str">
        <f>"Cuadro N° 8: Participación de las empresas generadoras del COES en la máxima potencia coincidente (MW) en "&amp;'1. Resumen'!Q4</f>
        <v>Cuadro N° 8: Participación de las empresas generadoras del COES en la máxima potencia coincidente (MW) en junio</v>
      </c>
      <c r="B72" s="873"/>
      <c r="C72" s="873"/>
      <c r="D72" s="873"/>
      <c r="E72" s="132"/>
      <c r="F72" s="873" t="str">
        <f>"Gráfico N° 12: Comparación de la máxima potencia coincidente  (MW) de las empresas generadoras del COES en "&amp;'1. Resumen'!Q4</f>
        <v>Gráfico N° 12: Comparación de la máxima potencia coincidente  (MW) de las empresas generadoras del COES en junio</v>
      </c>
      <c r="G72" s="873"/>
      <c r="H72" s="873"/>
      <c r="I72" s="873"/>
      <c r="J72" s="873"/>
    </row>
    <row r="73" spans="1:17">
      <c r="A73" s="886"/>
      <c r="B73" s="886"/>
      <c r="C73" s="886"/>
      <c r="D73" s="886"/>
      <c r="E73" s="886"/>
      <c r="F73" s="886"/>
      <c r="G73" s="886"/>
      <c r="H73" s="886"/>
      <c r="I73" s="886"/>
      <c r="J73" s="886"/>
    </row>
    <row r="74" spans="1:17">
      <c r="A74" s="885"/>
      <c r="B74" s="885"/>
      <c r="C74" s="885"/>
      <c r="D74" s="885"/>
      <c r="E74" s="885"/>
      <c r="F74" s="885"/>
      <c r="G74" s="885"/>
      <c r="H74" s="885"/>
      <c r="I74" s="885"/>
      <c r="J74" s="885"/>
    </row>
  </sheetData>
  <mergeCells count="9">
    <mergeCell ref="A74:J74"/>
    <mergeCell ref="A73:J73"/>
    <mergeCell ref="A72:D72"/>
    <mergeCell ref="F72:J72"/>
    <mergeCell ref="A1:J1"/>
    <mergeCell ref="A3:A6"/>
    <mergeCell ref="B3:D3"/>
    <mergeCell ref="G3:I3"/>
    <mergeCell ref="D4:D6"/>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B18" sqref="M18"/>
    </sheetView>
  </sheetViews>
  <sheetFormatPr baseColWidth="10" defaultColWidth="9.33203125" defaultRowHeight="11.25"/>
  <cols>
    <col min="1" max="1" width="7.6640625" style="46" customWidth="1"/>
    <col min="2" max="2" width="9.83203125" style="46" customWidth="1"/>
    <col min="3" max="3" width="31.5" style="46" customWidth="1"/>
    <col min="4" max="5" width="12.6640625" style="46" customWidth="1"/>
    <col min="6" max="6" width="12.1640625" style="46" customWidth="1"/>
    <col min="7" max="8" width="9.33203125" style="46"/>
    <col min="9" max="9" width="10.5" style="46" customWidth="1"/>
    <col min="10" max="10" width="9.33203125" style="695" customWidth="1"/>
    <col min="11" max="11" width="9.33203125" style="533" customWidth="1"/>
    <col min="12" max="12" width="9.33203125" style="533"/>
    <col min="13" max="18" width="9.33203125" style="276"/>
    <col min="19" max="21" width="9.33203125" style="533"/>
    <col min="22" max="25" width="9.33203125" style="695"/>
    <col min="26" max="31" width="9.33203125" style="296"/>
    <col min="32" max="16384" width="9.33203125" style="46"/>
  </cols>
  <sheetData>
    <row r="1" spans="1:38" ht="11.25" customHeight="1"/>
    <row r="2" spans="1:38" ht="17.25" customHeight="1">
      <c r="A2" s="877" t="s">
        <v>250</v>
      </c>
      <c r="B2" s="877"/>
      <c r="C2" s="877"/>
      <c r="D2" s="877"/>
      <c r="E2" s="877"/>
      <c r="F2" s="877"/>
      <c r="G2" s="877"/>
      <c r="H2" s="877"/>
    </row>
    <row r="3" spans="1:38" ht="11.25" customHeight="1">
      <c r="A3" s="77"/>
      <c r="B3" s="77"/>
      <c r="C3" s="77"/>
      <c r="D3" s="77"/>
      <c r="E3" s="77"/>
      <c r="F3" s="82"/>
      <c r="G3" s="82"/>
      <c r="H3" s="82"/>
      <c r="I3" s="36"/>
      <c r="J3" s="694"/>
    </row>
    <row r="4" spans="1:38" ht="15.75" customHeight="1">
      <c r="A4" s="895" t="s">
        <v>431</v>
      </c>
      <c r="B4" s="895"/>
      <c r="C4" s="895"/>
      <c r="D4" s="895"/>
      <c r="E4" s="895"/>
      <c r="F4" s="895"/>
      <c r="G4" s="895"/>
      <c r="H4" s="895"/>
      <c r="I4" s="36"/>
      <c r="J4" s="694"/>
    </row>
    <row r="5" spans="1:38" ht="11.25" customHeight="1">
      <c r="A5" s="77"/>
      <c r="B5" s="164"/>
      <c r="C5" s="79"/>
      <c r="D5" s="79"/>
      <c r="E5" s="80"/>
      <c r="F5" s="76"/>
      <c r="G5" s="76"/>
      <c r="H5" s="81"/>
      <c r="I5" s="165"/>
      <c r="J5" s="726"/>
    </row>
    <row r="6" spans="1:38" ht="42.75" customHeight="1">
      <c r="A6" s="77"/>
      <c r="C6" s="374" t="s">
        <v>122</v>
      </c>
      <c r="D6" s="375" t="s">
        <v>666</v>
      </c>
      <c r="E6" s="375" t="s">
        <v>667</v>
      </c>
      <c r="F6" s="376" t="s">
        <v>123</v>
      </c>
      <c r="G6" s="169"/>
      <c r="H6" s="170"/>
    </row>
    <row r="7" spans="1:38" ht="11.25" customHeight="1">
      <c r="A7" s="77"/>
      <c r="C7" s="414" t="s">
        <v>124</v>
      </c>
      <c r="D7" s="415">
        <v>29.655000686645501</v>
      </c>
      <c r="E7" s="564">
        <v>23.1410007476806</v>
      </c>
      <c r="F7" s="416">
        <f>IF(E7=0,"",(D7-E7)/E7)</f>
        <v>0.2814917129121044</v>
      </c>
      <c r="G7" s="137"/>
      <c r="H7" s="264"/>
    </row>
    <row r="8" spans="1:38" ht="11.25" customHeight="1">
      <c r="A8" s="77"/>
      <c r="C8" s="417" t="s">
        <v>125</v>
      </c>
      <c r="D8" s="418">
        <v>96.861000061035099</v>
      </c>
      <c r="E8" s="419">
        <v>131.18699645996</v>
      </c>
      <c r="F8" s="420">
        <f t="shared" ref="F8:F20" si="0">IF(E8=0,"",(D8-E8)/E8)</f>
        <v>-0.26165700355371463</v>
      </c>
      <c r="G8" s="137"/>
      <c r="H8" s="264"/>
    </row>
    <row r="9" spans="1:38" ht="11.25" customHeight="1">
      <c r="A9" s="77"/>
      <c r="C9" s="421" t="s">
        <v>126</v>
      </c>
      <c r="D9" s="422">
        <v>84.786003112792898</v>
      </c>
      <c r="E9" s="423">
        <v>82.654998779296804</v>
      </c>
      <c r="F9" s="424">
        <f t="shared" si="0"/>
        <v>2.5781917185507985E-2</v>
      </c>
      <c r="G9" s="137"/>
      <c r="H9" s="264"/>
      <c r="M9" s="649" t="s">
        <v>256</v>
      </c>
      <c r="N9" s="277"/>
      <c r="O9" s="277"/>
      <c r="P9" s="277"/>
      <c r="Q9" s="277"/>
      <c r="R9" s="277"/>
      <c r="S9" s="506"/>
      <c r="T9" s="506"/>
      <c r="U9" s="506"/>
      <c r="V9" s="692"/>
      <c r="W9" s="692"/>
      <c r="X9" s="692"/>
      <c r="Y9" s="692"/>
      <c r="Z9" s="297"/>
      <c r="AA9" s="297"/>
      <c r="AB9" s="297"/>
      <c r="AC9" s="297"/>
      <c r="AD9" s="297"/>
      <c r="AE9" s="297"/>
      <c r="AF9" s="215"/>
      <c r="AG9" s="215"/>
      <c r="AH9" s="215"/>
      <c r="AI9" s="215"/>
      <c r="AJ9" s="215"/>
      <c r="AK9" s="215"/>
      <c r="AL9" s="215"/>
    </row>
    <row r="10" spans="1:38" ht="11.25" customHeight="1">
      <c r="A10" s="77"/>
      <c r="C10" s="417" t="s">
        <v>127</v>
      </c>
      <c r="D10" s="418">
        <v>76.213996887207003</v>
      </c>
      <c r="E10" s="419">
        <v>70.005996704101506</v>
      </c>
      <c r="F10" s="420">
        <f t="shared" si="0"/>
        <v>8.8678120095128696E-2</v>
      </c>
      <c r="G10" s="137"/>
      <c r="H10" s="264"/>
      <c r="M10" s="649" t="s">
        <v>257</v>
      </c>
      <c r="N10" s="277"/>
      <c r="O10" s="277"/>
      <c r="P10" s="277"/>
      <c r="Q10" s="277"/>
      <c r="R10" s="277"/>
      <c r="S10" s="506"/>
      <c r="T10" s="506"/>
      <c r="AD10" s="297"/>
      <c r="AE10" s="297"/>
      <c r="AF10" s="215"/>
      <c r="AG10" s="215"/>
      <c r="AH10" s="215"/>
      <c r="AI10" s="215"/>
      <c r="AJ10" s="215"/>
      <c r="AK10" s="215"/>
      <c r="AL10" s="215"/>
    </row>
    <row r="11" spans="1:38" ht="11.25" customHeight="1">
      <c r="A11" s="77"/>
      <c r="C11" s="421" t="s">
        <v>128</v>
      </c>
      <c r="D11" s="422">
        <v>28.7560005187988</v>
      </c>
      <c r="E11" s="423">
        <v>32.75</v>
      </c>
      <c r="F11" s="424">
        <f>IF(E11=0,"",(D11-E11)/E11)</f>
        <v>-0.12195418263209772</v>
      </c>
      <c r="G11" s="137"/>
      <c r="H11" s="264"/>
      <c r="M11" s="277"/>
      <c r="N11" s="650">
        <v>2019</v>
      </c>
      <c r="O11" s="650">
        <v>2020</v>
      </c>
      <c r="P11" s="650">
        <v>2021</v>
      </c>
      <c r="Q11" s="650">
        <v>2022</v>
      </c>
      <c r="R11" s="277"/>
      <c r="S11" s="506"/>
      <c r="T11" s="506"/>
      <c r="AD11" s="297"/>
      <c r="AE11" s="297"/>
      <c r="AF11" s="215"/>
      <c r="AG11" s="215"/>
      <c r="AH11" s="215"/>
      <c r="AI11" s="215"/>
      <c r="AJ11" s="215"/>
      <c r="AK11" s="215"/>
      <c r="AL11" s="215"/>
    </row>
    <row r="12" spans="1:38" ht="11.25" customHeight="1">
      <c r="A12" s="77"/>
      <c r="C12" s="417" t="s">
        <v>129</v>
      </c>
      <c r="D12" s="418">
        <v>15.25</v>
      </c>
      <c r="E12" s="419">
        <v>25.799999237060501</v>
      </c>
      <c r="F12" s="420">
        <f t="shared" si="0"/>
        <v>-0.40891471120301109</v>
      </c>
      <c r="G12" s="137"/>
      <c r="H12" s="264"/>
      <c r="M12" s="651">
        <v>1</v>
      </c>
      <c r="N12" s="652">
        <v>117.2900009</v>
      </c>
      <c r="O12" s="652">
        <v>117.290000915527</v>
      </c>
      <c r="P12" s="652">
        <v>129.00799559999999</v>
      </c>
      <c r="Q12" s="604">
        <v>126.9000015</v>
      </c>
      <c r="R12" s="277"/>
      <c r="S12" s="506"/>
      <c r="T12" s="506"/>
      <c r="AD12" s="297"/>
      <c r="AE12" s="297"/>
      <c r="AF12" s="215"/>
      <c r="AG12" s="215"/>
      <c r="AH12" s="215"/>
      <c r="AI12" s="215"/>
      <c r="AJ12" s="215"/>
      <c r="AK12" s="215"/>
      <c r="AL12" s="215"/>
    </row>
    <row r="13" spans="1:38" ht="11.25" customHeight="1">
      <c r="A13" s="77"/>
      <c r="C13" s="421" t="s">
        <v>130</v>
      </c>
      <c r="D13" s="422">
        <v>94.019996643066406</v>
      </c>
      <c r="E13" s="423">
        <v>98.089996337890597</v>
      </c>
      <c r="F13" s="424">
        <f t="shared" si="0"/>
        <v>-4.1492505319342281E-2</v>
      </c>
      <c r="G13" s="137"/>
      <c r="H13" s="264"/>
      <c r="M13" s="651">
        <v>2</v>
      </c>
      <c r="N13" s="652">
        <v>116.0110016</v>
      </c>
      <c r="O13" s="652">
        <v>146.93600459999999</v>
      </c>
      <c r="P13" s="652">
        <v>140.9219971</v>
      </c>
      <c r="Q13" s="604">
        <v>126.61000060000001</v>
      </c>
      <c r="R13" s="277"/>
      <c r="S13" s="506"/>
      <c r="T13" s="506"/>
      <c r="AD13" s="297"/>
      <c r="AE13" s="297"/>
      <c r="AF13" s="215"/>
      <c r="AG13" s="215"/>
      <c r="AH13" s="215"/>
      <c r="AI13" s="215"/>
      <c r="AJ13" s="215"/>
      <c r="AK13" s="215"/>
      <c r="AL13" s="215"/>
    </row>
    <row r="14" spans="1:38" ht="11.25" customHeight="1">
      <c r="A14" s="77"/>
      <c r="C14" s="417" t="s">
        <v>131</v>
      </c>
      <c r="D14" s="418">
        <v>236.75199890136699</v>
      </c>
      <c r="E14" s="419">
        <v>249.29100036621</v>
      </c>
      <c r="F14" s="420">
        <f t="shared" si="0"/>
        <v>-5.0298652764933921E-2</v>
      </c>
      <c r="G14" s="137"/>
      <c r="H14" s="264"/>
      <c r="M14" s="651">
        <v>3</v>
      </c>
      <c r="N14" s="652">
        <v>117.6</v>
      </c>
      <c r="O14" s="652">
        <v>149.93200680000001</v>
      </c>
      <c r="P14" s="652">
        <v>146.8099976</v>
      </c>
      <c r="Q14" s="604">
        <v>130.51999660000001</v>
      </c>
      <c r="R14" s="277"/>
      <c r="S14" s="506"/>
      <c r="T14" s="506"/>
      <c r="AD14" s="297"/>
      <c r="AE14" s="297"/>
      <c r="AF14" s="215"/>
      <c r="AG14" s="215"/>
      <c r="AH14" s="215"/>
      <c r="AI14" s="215"/>
      <c r="AJ14" s="215"/>
      <c r="AK14" s="215"/>
      <c r="AL14" s="215"/>
    </row>
    <row r="15" spans="1:38" ht="11.25" customHeight="1">
      <c r="A15" s="77"/>
      <c r="C15" s="421" t="s">
        <v>132</v>
      </c>
      <c r="D15" s="422">
        <v>58.220001220703097</v>
      </c>
      <c r="E15" s="423">
        <v>44.7299995422363</v>
      </c>
      <c r="F15" s="424">
        <f t="shared" si="0"/>
        <v>0.30158734219813405</v>
      </c>
      <c r="G15" s="137"/>
      <c r="H15" s="264"/>
      <c r="M15" s="651">
        <v>4</v>
      </c>
      <c r="N15" s="652">
        <v>128.32000729999999</v>
      </c>
      <c r="O15" s="652">
        <v>152.6190033</v>
      </c>
      <c r="P15" s="652">
        <v>159.0500031</v>
      </c>
      <c r="Q15" s="604">
        <v>137.43000029999999</v>
      </c>
      <c r="R15" s="277"/>
      <c r="S15" s="506"/>
      <c r="T15" s="506"/>
      <c r="AD15" s="297"/>
      <c r="AE15" s="297"/>
      <c r="AF15" s="215"/>
      <c r="AG15" s="215"/>
      <c r="AH15" s="215"/>
      <c r="AI15" s="215"/>
      <c r="AJ15" s="215"/>
      <c r="AK15" s="215"/>
      <c r="AL15" s="215"/>
    </row>
    <row r="16" spans="1:38" ht="11.25" customHeight="1">
      <c r="A16" s="77"/>
      <c r="C16" s="417" t="s">
        <v>133</v>
      </c>
      <c r="D16" s="418">
        <v>277.02099609375</v>
      </c>
      <c r="E16" s="419">
        <v>274.18798828125</v>
      </c>
      <c r="F16" s="420">
        <f t="shared" si="0"/>
        <v>1.0332355659555826E-2</v>
      </c>
      <c r="G16" s="137"/>
      <c r="H16" s="264"/>
      <c r="M16" s="651">
        <v>5</v>
      </c>
      <c r="N16" s="652">
        <v>139.2400055</v>
      </c>
      <c r="O16" s="652">
        <v>162.19599909999999</v>
      </c>
      <c r="P16" s="652">
        <v>174.75</v>
      </c>
      <c r="Q16" s="604">
        <v>153.3059998</v>
      </c>
      <c r="R16" s="277"/>
      <c r="S16" s="506"/>
      <c r="T16" s="506"/>
      <c r="AD16" s="297"/>
      <c r="AE16" s="297"/>
      <c r="AF16" s="215"/>
      <c r="AG16" s="215"/>
      <c r="AH16" s="215"/>
      <c r="AI16" s="215"/>
      <c r="AJ16" s="215"/>
      <c r="AK16" s="215"/>
      <c r="AL16" s="215"/>
    </row>
    <row r="17" spans="1:38" ht="11.25" customHeight="1">
      <c r="A17" s="77"/>
      <c r="C17" s="421" t="s">
        <v>134</v>
      </c>
      <c r="D17" s="422">
        <v>182.08000183105401</v>
      </c>
      <c r="E17" s="423">
        <v>172.33999633789</v>
      </c>
      <c r="F17" s="424">
        <f t="shared" si="0"/>
        <v>5.6516222003786858E-2</v>
      </c>
      <c r="G17" s="137"/>
      <c r="H17" s="264"/>
      <c r="M17" s="651">
        <v>6</v>
      </c>
      <c r="N17" s="652">
        <v>150.94</v>
      </c>
      <c r="O17" s="652">
        <v>168.51100158691401</v>
      </c>
      <c r="P17" s="652">
        <v>179.64900209999999</v>
      </c>
      <c r="Q17" s="604">
        <v>137.3439941</v>
      </c>
      <c r="R17" s="277"/>
      <c r="S17" s="506"/>
      <c r="T17" s="506"/>
      <c r="AD17" s="297"/>
      <c r="AE17" s="297"/>
      <c r="AF17" s="215"/>
      <c r="AG17" s="215"/>
      <c r="AH17" s="215"/>
      <c r="AI17" s="215"/>
      <c r="AJ17" s="215"/>
      <c r="AK17" s="215"/>
      <c r="AL17" s="215"/>
    </row>
    <row r="18" spans="1:38" ht="11.25" customHeight="1">
      <c r="A18" s="77"/>
      <c r="C18" s="417" t="s">
        <v>135</v>
      </c>
      <c r="D18" s="418">
        <v>23.8840007781982</v>
      </c>
      <c r="E18" s="419">
        <v>26.117000579833899</v>
      </c>
      <c r="F18" s="420">
        <f t="shared" si="0"/>
        <v>-8.5499856494236873E-2</v>
      </c>
      <c r="G18" s="137"/>
      <c r="H18" s="264"/>
      <c r="M18" s="651">
        <v>7</v>
      </c>
      <c r="N18" s="652">
        <v>162.4909973</v>
      </c>
      <c r="O18" s="652">
        <v>175.46800229999999</v>
      </c>
      <c r="P18" s="652">
        <v>184.3</v>
      </c>
      <c r="Q18" s="604">
        <v>148.73699569999999</v>
      </c>
      <c r="R18" s="277"/>
      <c r="S18" s="506"/>
      <c r="T18" s="506"/>
      <c r="AD18" s="297"/>
      <c r="AE18" s="297"/>
      <c r="AF18" s="215"/>
      <c r="AG18" s="215"/>
      <c r="AH18" s="215"/>
      <c r="AI18" s="215"/>
      <c r="AJ18" s="215"/>
      <c r="AK18" s="215"/>
      <c r="AL18" s="215"/>
    </row>
    <row r="19" spans="1:38" ht="12.75" customHeight="1">
      <c r="A19" s="77"/>
      <c r="C19" s="421" t="s">
        <v>136</v>
      </c>
      <c r="D19" s="422">
        <v>61.891830444335902</v>
      </c>
      <c r="E19" s="423">
        <v>49.126209259033203</v>
      </c>
      <c r="F19" s="424">
        <f t="shared" si="0"/>
        <v>0.25985357669247378</v>
      </c>
      <c r="G19" s="137"/>
      <c r="H19" s="264"/>
      <c r="M19" s="651">
        <v>8</v>
      </c>
      <c r="N19" s="652">
        <v>169.03700259999999</v>
      </c>
      <c r="O19" s="652">
        <v>188.82800292968699</v>
      </c>
      <c r="P19" s="652">
        <v>186.76999999999998</v>
      </c>
      <c r="Q19" s="604">
        <v>152.691</v>
      </c>
      <c r="R19" s="277"/>
      <c r="S19" s="506"/>
      <c r="T19" s="506"/>
      <c r="AD19" s="297"/>
      <c r="AE19" s="297"/>
      <c r="AF19" s="215"/>
      <c r="AG19" s="215"/>
      <c r="AH19" s="215"/>
      <c r="AI19" s="215"/>
      <c r="AJ19" s="215"/>
      <c r="AK19" s="215"/>
      <c r="AL19" s="215"/>
    </row>
    <row r="20" spans="1:38" ht="13.5" customHeight="1">
      <c r="A20" s="77"/>
      <c r="C20" s="417" t="s">
        <v>137</v>
      </c>
      <c r="D20" s="418">
        <v>24.539279937744102</v>
      </c>
      <c r="E20" s="419">
        <v>23.315750122070298</v>
      </c>
      <c r="F20" s="420">
        <f t="shared" si="0"/>
        <v>5.2476536644456076E-2</v>
      </c>
      <c r="G20" s="137"/>
      <c r="H20" s="264"/>
      <c r="M20" s="651">
        <v>9</v>
      </c>
      <c r="N20" s="652">
        <v>182.64300539999999</v>
      </c>
      <c r="O20" s="652">
        <v>196.47700499999999</v>
      </c>
      <c r="P20" s="652">
        <v>193.21000671386699</v>
      </c>
      <c r="Q20" s="604">
        <v>167.3399963</v>
      </c>
      <c r="R20" s="277"/>
      <c r="S20" s="506"/>
      <c r="T20" s="506"/>
      <c r="AD20" s="297"/>
      <c r="AE20" s="297"/>
      <c r="AF20" s="215"/>
      <c r="AG20" s="215"/>
      <c r="AH20" s="215"/>
      <c r="AI20" s="215"/>
      <c r="AJ20" s="215"/>
      <c r="AK20" s="215"/>
      <c r="AL20" s="215"/>
    </row>
    <row r="21" spans="1:38" ht="11.25" customHeight="1">
      <c r="A21" s="77"/>
      <c r="C21" s="421" t="s">
        <v>138</v>
      </c>
      <c r="D21" s="422">
        <v>6.6389999389648402</v>
      </c>
      <c r="E21" s="423">
        <v>6.7859997749328604</v>
      </c>
      <c r="F21" s="424">
        <f t="shared" ref="F21:F27" si="1">IF(E21=0,"",(D21-E21)/E21)</f>
        <v>-2.1662222346518517E-2</v>
      </c>
      <c r="M21" s="651">
        <v>10</v>
      </c>
      <c r="N21" s="652">
        <v>190.99600219999999</v>
      </c>
      <c r="O21" s="652">
        <v>199.98199460000001</v>
      </c>
      <c r="P21" s="652">
        <v>196.71000670000001</v>
      </c>
      <c r="Q21" s="604">
        <v>164.90809684999999</v>
      </c>
      <c r="R21" s="277"/>
      <c r="S21" s="506"/>
      <c r="T21" s="506"/>
      <c r="AD21" s="297"/>
      <c r="AE21" s="297"/>
      <c r="AF21" s="215"/>
      <c r="AG21" s="215"/>
      <c r="AH21" s="215"/>
      <c r="AI21" s="215"/>
      <c r="AJ21" s="215"/>
      <c r="AK21" s="215"/>
      <c r="AL21" s="215"/>
    </row>
    <row r="22" spans="1:38" ht="11.25" customHeight="1">
      <c r="A22" s="77"/>
      <c r="C22" s="417" t="s">
        <v>139</v>
      </c>
      <c r="D22" s="418">
        <v>6.88800001144409</v>
      </c>
      <c r="E22" s="419">
        <v>6.6500000953674299</v>
      </c>
      <c r="F22" s="420">
        <f t="shared" si="1"/>
        <v>3.578946055090395E-2</v>
      </c>
      <c r="G22" s="137"/>
      <c r="H22" s="264"/>
      <c r="M22" s="651">
        <v>11</v>
      </c>
      <c r="N22" s="652">
        <v>200.89500427246</v>
      </c>
      <c r="O22" s="652">
        <v>200.89500430000001</v>
      </c>
      <c r="P22" s="652">
        <v>203.61799619999999</v>
      </c>
      <c r="Q22" s="644">
        <v>184.82999999999998</v>
      </c>
      <c r="AF22" s="265"/>
      <c r="AG22" s="265"/>
      <c r="AH22" s="265"/>
      <c r="AI22" s="265"/>
      <c r="AJ22" s="265"/>
      <c r="AK22" s="265"/>
      <c r="AL22" s="265"/>
    </row>
    <row r="23" spans="1:38" ht="11.25" customHeight="1">
      <c r="A23" s="77"/>
      <c r="C23" s="421" t="s">
        <v>412</v>
      </c>
      <c r="D23" s="422">
        <v>3.4140000343322701</v>
      </c>
      <c r="E23" s="423">
        <v>2.8740000724792401</v>
      </c>
      <c r="F23" s="424">
        <f t="shared" si="1"/>
        <v>0.18789142248949287</v>
      </c>
      <c r="G23" s="137"/>
      <c r="H23" s="264"/>
      <c r="M23" s="651">
        <v>12</v>
      </c>
      <c r="N23" s="652">
        <v>209.09500120000001</v>
      </c>
      <c r="O23" s="652">
        <v>210.61200000000002</v>
      </c>
      <c r="P23" s="652">
        <v>209.9909973</v>
      </c>
      <c r="Q23" s="644">
        <v>191.4409943</v>
      </c>
      <c r="AF23" s="265"/>
      <c r="AG23" s="265"/>
      <c r="AH23" s="265"/>
      <c r="AI23" s="265"/>
      <c r="AJ23" s="265"/>
      <c r="AK23" s="265"/>
      <c r="AL23" s="265"/>
    </row>
    <row r="24" spans="1:38" ht="11.25" customHeight="1">
      <c r="A24" s="77"/>
      <c r="C24" s="417" t="s">
        <v>140</v>
      </c>
      <c r="D24" s="419">
        <v>214.76800537109301</v>
      </c>
      <c r="E24" s="419">
        <v>215.33500671386699</v>
      </c>
      <c r="F24" s="420">
        <f t="shared" si="1"/>
        <v>-2.6331127085499756E-3</v>
      </c>
      <c r="G24" s="137"/>
      <c r="H24" s="264"/>
      <c r="M24" s="651">
        <v>13</v>
      </c>
      <c r="N24" s="652">
        <v>215.7310028</v>
      </c>
      <c r="O24" s="652">
        <v>221.91900634765599</v>
      </c>
      <c r="P24" s="652">
        <v>219.56300350000001</v>
      </c>
      <c r="Q24" s="644">
        <v>207.84</v>
      </c>
      <c r="AF24" s="265"/>
      <c r="AG24" s="265"/>
      <c r="AH24" s="265"/>
      <c r="AI24" s="265"/>
      <c r="AJ24" s="265"/>
      <c r="AK24" s="265"/>
      <c r="AL24" s="265"/>
    </row>
    <row r="25" spans="1:38" ht="11.25" customHeight="1">
      <c r="A25" s="77"/>
      <c r="C25" s="421" t="s">
        <v>141</v>
      </c>
      <c r="D25" s="423">
        <v>42.113998413085902</v>
      </c>
      <c r="E25" s="423">
        <v>46.0789985656738</v>
      </c>
      <c r="F25" s="424">
        <f t="shared" si="1"/>
        <v>-8.6047880292728293E-2</v>
      </c>
      <c r="G25" s="137"/>
      <c r="H25" s="264"/>
      <c r="M25" s="651">
        <v>14</v>
      </c>
      <c r="N25" s="652">
        <v>219.1710052</v>
      </c>
      <c r="O25" s="652">
        <v>223.19599909999999</v>
      </c>
      <c r="P25" s="652">
        <v>225.1629944</v>
      </c>
      <c r="Q25" s="644">
        <v>216.294998168945</v>
      </c>
      <c r="AF25" s="265"/>
      <c r="AG25" s="265"/>
      <c r="AH25" s="265"/>
      <c r="AI25" s="265"/>
      <c r="AJ25" s="265"/>
      <c r="AK25" s="265"/>
      <c r="AL25" s="265"/>
    </row>
    <row r="26" spans="1:38" ht="11.25" customHeight="1">
      <c r="A26" s="77"/>
      <c r="C26" s="417" t="s">
        <v>142</v>
      </c>
      <c r="D26" s="419">
        <v>65.271000000000001</v>
      </c>
      <c r="E26" s="419">
        <v>67.224000000000004</v>
      </c>
      <c r="F26" s="420">
        <f t="shared" si="1"/>
        <v>-2.905212424134242E-2</v>
      </c>
      <c r="G26" s="137"/>
      <c r="H26" s="137"/>
      <c r="M26" s="651">
        <v>15</v>
      </c>
      <c r="N26" s="652">
        <v>220.17399599999999</v>
      </c>
      <c r="O26" s="652">
        <v>225.0500031</v>
      </c>
      <c r="P26" s="652">
        <v>224.9100037</v>
      </c>
      <c r="Q26" s="644">
        <v>220.08099369999999</v>
      </c>
      <c r="AF26" s="265"/>
      <c r="AG26" s="265"/>
      <c r="AH26" s="265"/>
      <c r="AI26" s="265"/>
      <c r="AJ26" s="265"/>
      <c r="AK26" s="265"/>
      <c r="AL26" s="265"/>
    </row>
    <row r="27" spans="1:38" ht="11.25" customHeight="1">
      <c r="A27" s="77"/>
      <c r="C27" s="421" t="s">
        <v>143</v>
      </c>
      <c r="D27" s="422">
        <v>378.46798706054602</v>
      </c>
      <c r="E27" s="423">
        <v>367.10400390625</v>
      </c>
      <c r="F27" s="424">
        <f t="shared" si="1"/>
        <v>3.0955759221842006E-2</v>
      </c>
      <c r="G27" s="137"/>
      <c r="H27" s="137"/>
      <c r="M27" s="651">
        <v>16</v>
      </c>
      <c r="N27" s="652">
        <v>220.3150024</v>
      </c>
      <c r="O27" s="652">
        <v>224.84800720000001</v>
      </c>
      <c r="P27" s="652">
        <v>224.5</v>
      </c>
      <c r="Q27" s="644">
        <v>221.83999633789</v>
      </c>
      <c r="AF27" s="265"/>
      <c r="AG27" s="265"/>
      <c r="AH27" s="265"/>
      <c r="AI27" s="265"/>
      <c r="AJ27" s="265"/>
      <c r="AK27" s="265"/>
      <c r="AL27" s="265"/>
    </row>
    <row r="28" spans="1:38" ht="26.25" customHeight="1">
      <c r="A28" s="77"/>
      <c r="C28" s="896" t="str">
        <f>"Cuadro N°9: Volumen útil de los principales embalses y lagunas del SEIN al término del periodo mensual ("&amp;'1. Resumen'!Q7&amp;" de "&amp;'1. Resumen'!Q4&amp;") "</f>
        <v xml:space="preserve">Cuadro N°9: Volumen útil de los principales embalses y lagunas del SEIN al término del periodo mensual (30 de junio) </v>
      </c>
      <c r="D28" s="896"/>
      <c r="E28" s="896"/>
      <c r="F28" s="896"/>
      <c r="G28" s="137"/>
      <c r="H28" s="137"/>
      <c r="M28" s="651">
        <v>17</v>
      </c>
      <c r="N28" s="652">
        <v>220.56</v>
      </c>
      <c r="O28" s="652">
        <v>225.27900695800699</v>
      </c>
      <c r="P28" s="652">
        <v>225.58500670000001</v>
      </c>
      <c r="Q28" s="644">
        <v>220.96049318788999</v>
      </c>
      <c r="AF28" s="265"/>
      <c r="AG28" s="265"/>
      <c r="AH28" s="265"/>
      <c r="AI28" s="265"/>
      <c r="AJ28" s="265"/>
      <c r="AK28" s="265"/>
      <c r="AL28" s="265"/>
    </row>
    <row r="29" spans="1:38" ht="12" customHeight="1">
      <c r="A29" s="75"/>
      <c r="G29" s="137"/>
      <c r="H29" s="137"/>
      <c r="I29" s="167"/>
      <c r="J29" s="727"/>
      <c r="M29" s="651">
        <v>18</v>
      </c>
      <c r="N29" s="652">
        <v>224.15199279999999</v>
      </c>
      <c r="O29" s="652">
        <v>226.44200129999999</v>
      </c>
      <c r="P29" s="652">
        <v>225.2599945</v>
      </c>
      <c r="Q29" s="656">
        <v>221.41</v>
      </c>
      <c r="AF29" s="265"/>
      <c r="AG29" s="265"/>
      <c r="AH29" s="265"/>
      <c r="AI29" s="265"/>
      <c r="AJ29" s="265"/>
      <c r="AK29" s="265"/>
      <c r="AL29" s="265"/>
    </row>
    <row r="30" spans="1:38" ht="11.25" customHeight="1">
      <c r="A30" s="75"/>
      <c r="B30" s="173"/>
      <c r="C30" s="173"/>
      <c r="D30" s="173"/>
      <c r="E30" s="173"/>
      <c r="F30" s="171"/>
      <c r="G30" s="137"/>
      <c r="H30" s="137"/>
      <c r="M30" s="651">
        <v>19</v>
      </c>
      <c r="N30" s="652">
        <v>224.378006</v>
      </c>
      <c r="O30" s="652">
        <v>227.14199830000001</v>
      </c>
      <c r="P30" s="652">
        <v>225.3280029</v>
      </c>
      <c r="Q30" s="656">
        <v>222.52999877929599</v>
      </c>
      <c r="AF30" s="265"/>
      <c r="AG30" s="265"/>
      <c r="AH30" s="265"/>
      <c r="AI30" s="265"/>
      <c r="AJ30" s="265"/>
      <c r="AK30" s="265"/>
      <c r="AL30" s="265"/>
    </row>
    <row r="31" spans="1:38" ht="11.25" customHeight="1">
      <c r="A31" s="75"/>
      <c r="B31" s="173"/>
      <c r="C31" s="173"/>
      <c r="D31" s="173"/>
      <c r="E31" s="173"/>
      <c r="F31" s="171"/>
      <c r="G31" s="171"/>
      <c r="H31" s="171"/>
      <c r="I31" s="167"/>
      <c r="J31" s="727"/>
      <c r="M31" s="651">
        <v>20</v>
      </c>
      <c r="N31" s="652">
        <v>224.60401920000001</v>
      </c>
      <c r="O31" s="652">
        <v>227.625</v>
      </c>
      <c r="P31" s="652">
        <v>225.2279968</v>
      </c>
      <c r="Q31" s="656">
        <v>222.47799682617099</v>
      </c>
      <c r="AF31" s="265"/>
      <c r="AG31" s="265"/>
      <c r="AH31" s="265"/>
      <c r="AI31" s="265"/>
      <c r="AJ31" s="265"/>
      <c r="AK31" s="265"/>
      <c r="AL31" s="265"/>
    </row>
    <row r="32" spans="1:38" ht="13.5" customHeight="1">
      <c r="A32" s="895" t="s">
        <v>430</v>
      </c>
      <c r="B32" s="895"/>
      <c r="C32" s="895"/>
      <c r="D32" s="895"/>
      <c r="E32" s="895"/>
      <c r="F32" s="895"/>
      <c r="G32" s="895"/>
      <c r="H32" s="895"/>
      <c r="I32" s="56"/>
      <c r="J32" s="727"/>
      <c r="M32" s="651">
        <v>21</v>
      </c>
      <c r="N32" s="652">
        <v>223.4909973</v>
      </c>
      <c r="O32" s="652">
        <v>227.75800000000001</v>
      </c>
      <c r="P32" s="652">
        <v>225.25399780000001</v>
      </c>
      <c r="Q32" s="656">
        <v>221.33000183105401</v>
      </c>
      <c r="AF32" s="265"/>
      <c r="AG32" s="265"/>
      <c r="AH32" s="265"/>
      <c r="AI32" s="265"/>
      <c r="AJ32" s="265"/>
      <c r="AK32" s="265"/>
      <c r="AL32" s="265"/>
    </row>
    <row r="33" spans="1:38" ht="11.25" customHeight="1">
      <c r="A33" s="75"/>
      <c r="B33" s="82"/>
      <c r="C33" s="82"/>
      <c r="D33" s="82"/>
      <c r="E33" s="82"/>
      <c r="F33" s="82"/>
      <c r="G33" s="82"/>
      <c r="H33" s="82"/>
      <c r="I33" s="56"/>
      <c r="J33" s="727"/>
      <c r="M33" s="651">
        <v>22</v>
      </c>
      <c r="N33" s="652">
        <v>222.62600710000001</v>
      </c>
      <c r="O33" s="652">
        <v>226.41700739999999</v>
      </c>
      <c r="P33" s="652">
        <v>223.9129944</v>
      </c>
      <c r="Q33" s="656">
        <v>221.8000031</v>
      </c>
      <c r="AF33" s="265"/>
      <c r="AG33" s="265"/>
      <c r="AH33" s="265"/>
      <c r="AI33" s="265"/>
      <c r="AJ33" s="265"/>
      <c r="AK33" s="265"/>
      <c r="AL33" s="265"/>
    </row>
    <row r="34" spans="1:38" ht="11.25" customHeight="1">
      <c r="A34" s="75"/>
      <c r="B34" s="82"/>
      <c r="C34" s="82"/>
      <c r="D34" s="82"/>
      <c r="E34" s="82"/>
      <c r="F34" s="82"/>
      <c r="G34" s="82"/>
      <c r="H34" s="82"/>
      <c r="I34" s="56"/>
      <c r="J34" s="727"/>
      <c r="M34" s="651">
        <v>23</v>
      </c>
      <c r="N34" s="652">
        <v>221.62399289999999</v>
      </c>
      <c r="O34" s="652">
        <v>224.4589996</v>
      </c>
      <c r="P34" s="652">
        <v>221.64599609999999</v>
      </c>
      <c r="Q34" s="656">
        <v>218.83000183105401</v>
      </c>
      <c r="AF34" s="265"/>
      <c r="AG34" s="265"/>
      <c r="AH34" s="265"/>
      <c r="AI34" s="265"/>
      <c r="AJ34" s="265"/>
      <c r="AK34" s="265"/>
      <c r="AL34" s="265"/>
    </row>
    <row r="35" spans="1:38" ht="11.25" customHeight="1">
      <c r="A35" s="75"/>
      <c r="B35" s="82"/>
      <c r="C35" s="82"/>
      <c r="D35" s="82"/>
      <c r="E35" s="82"/>
      <c r="F35" s="82"/>
      <c r="G35" s="82"/>
      <c r="H35" s="82"/>
      <c r="I35" s="168"/>
      <c r="J35" s="727"/>
      <c r="M35" s="651">
        <v>24</v>
      </c>
      <c r="N35" s="652">
        <v>218.3840027</v>
      </c>
      <c r="O35" s="652">
        <v>220.634994506835</v>
      </c>
      <c r="P35" s="652">
        <v>218.4100037</v>
      </c>
      <c r="Q35" s="656">
        <v>217.02000430000001</v>
      </c>
      <c r="AF35" s="265"/>
      <c r="AG35" s="265"/>
      <c r="AH35" s="265"/>
      <c r="AI35" s="265"/>
      <c r="AJ35" s="265"/>
      <c r="AK35" s="265"/>
      <c r="AL35" s="265"/>
    </row>
    <row r="36" spans="1:38" ht="11.25" customHeight="1">
      <c r="A36" s="75"/>
      <c r="B36" s="82"/>
      <c r="C36" s="82"/>
      <c r="D36" s="82"/>
      <c r="E36" s="82"/>
      <c r="F36" s="82"/>
      <c r="G36" s="82"/>
      <c r="H36" s="82"/>
      <c r="I36" s="56"/>
      <c r="J36" s="727"/>
      <c r="M36" s="651">
        <v>25</v>
      </c>
      <c r="N36" s="652">
        <v>215.08099369999999</v>
      </c>
      <c r="O36" s="652">
        <v>218.28599550000001</v>
      </c>
      <c r="P36" s="652">
        <v>215.33500670000001</v>
      </c>
      <c r="Q36" s="656">
        <v>214.76800539999999</v>
      </c>
      <c r="AF36" s="265"/>
      <c r="AG36" s="265"/>
      <c r="AH36" s="265"/>
      <c r="AI36" s="265"/>
      <c r="AJ36" s="265"/>
      <c r="AK36" s="265"/>
      <c r="AL36" s="265"/>
    </row>
    <row r="37" spans="1:38" ht="11.25" customHeight="1">
      <c r="A37" s="75"/>
      <c r="B37" s="82"/>
      <c r="C37" s="82"/>
      <c r="D37" s="82"/>
      <c r="E37" s="82"/>
      <c r="F37" s="82"/>
      <c r="G37" s="82"/>
      <c r="H37" s="82"/>
      <c r="I37" s="56"/>
      <c r="J37" s="728"/>
      <c r="M37" s="651">
        <v>26</v>
      </c>
      <c r="N37" s="652">
        <v>210.41900630000001</v>
      </c>
      <c r="O37" s="652">
        <v>214.90499879999999</v>
      </c>
      <c r="P37" s="652">
        <v>212.2720032</v>
      </c>
      <c r="Q37" s="656">
        <v>212.9750061</v>
      </c>
      <c r="AF37" s="265"/>
      <c r="AG37" s="265"/>
      <c r="AH37" s="265"/>
      <c r="AI37" s="265"/>
      <c r="AJ37" s="265"/>
      <c r="AK37" s="265"/>
      <c r="AL37" s="265"/>
    </row>
    <row r="38" spans="1:38" ht="11.25" customHeight="1">
      <c r="A38" s="75"/>
      <c r="B38" s="82"/>
      <c r="C38" s="82"/>
      <c r="D38" s="82"/>
      <c r="E38" s="82"/>
      <c r="F38" s="82"/>
      <c r="G38" s="82"/>
      <c r="H38" s="82"/>
      <c r="I38" s="56"/>
      <c r="J38" s="728"/>
      <c r="M38" s="651">
        <v>27</v>
      </c>
      <c r="N38" s="652">
        <v>204.23</v>
      </c>
      <c r="O38" s="652">
        <v>210.91799926757801</v>
      </c>
      <c r="P38" s="652">
        <v>209.19900509999999</v>
      </c>
      <c r="Q38" s="656"/>
      <c r="AF38" s="265"/>
      <c r="AG38" s="265"/>
      <c r="AH38" s="265"/>
      <c r="AI38" s="265"/>
      <c r="AJ38" s="265"/>
      <c r="AK38" s="265"/>
      <c r="AL38" s="265"/>
    </row>
    <row r="39" spans="1:38" ht="11.25" customHeight="1">
      <c r="A39" s="75"/>
      <c r="B39" s="82"/>
      <c r="C39" s="82"/>
      <c r="D39" s="82"/>
      <c r="E39" s="82"/>
      <c r="F39" s="82"/>
      <c r="G39" s="82"/>
      <c r="H39" s="82"/>
      <c r="I39" s="56"/>
      <c r="J39" s="729"/>
      <c r="M39" s="651">
        <v>28</v>
      </c>
      <c r="N39" s="652">
        <v>201.1309967</v>
      </c>
      <c r="O39" s="654">
        <v>207.96099849999999</v>
      </c>
      <c r="P39" s="654">
        <v>207.8560028</v>
      </c>
      <c r="Q39" s="656"/>
      <c r="AF39" s="265"/>
      <c r="AG39" s="265"/>
      <c r="AH39" s="265"/>
      <c r="AI39" s="265"/>
      <c r="AJ39" s="265"/>
      <c r="AK39" s="265"/>
      <c r="AL39" s="265"/>
    </row>
    <row r="40" spans="1:38" ht="11.25" customHeight="1">
      <c r="A40" s="75"/>
      <c r="B40" s="82"/>
      <c r="C40" s="82"/>
      <c r="D40" s="82"/>
      <c r="E40" s="82"/>
      <c r="F40" s="82"/>
      <c r="G40" s="82"/>
      <c r="H40" s="82"/>
      <c r="I40" s="56"/>
      <c r="J40" s="729"/>
      <c r="M40" s="651">
        <v>29</v>
      </c>
      <c r="N40" s="652">
        <v>196.16000366210901</v>
      </c>
      <c r="O40" s="652">
        <v>205.66700739999999</v>
      </c>
      <c r="P40" s="652">
        <v>200.68699649999999</v>
      </c>
      <c r="Q40" s="656"/>
      <c r="AF40" s="265"/>
      <c r="AG40" s="265"/>
      <c r="AH40" s="265"/>
      <c r="AI40" s="265"/>
      <c r="AJ40" s="265"/>
      <c r="AK40" s="265"/>
      <c r="AL40" s="265"/>
    </row>
    <row r="41" spans="1:38" ht="11.25" customHeight="1">
      <c r="A41" s="75"/>
      <c r="B41" s="82"/>
      <c r="C41" s="82"/>
      <c r="D41" s="82"/>
      <c r="E41" s="82"/>
      <c r="F41" s="82"/>
      <c r="G41" s="82"/>
      <c r="H41" s="82"/>
      <c r="I41" s="56"/>
      <c r="J41" s="729"/>
      <c r="M41" s="651">
        <v>30</v>
      </c>
      <c r="N41" s="652">
        <v>193.86</v>
      </c>
      <c r="O41" s="652">
        <v>197.3999939</v>
      </c>
      <c r="P41" s="652">
        <v>197.3999939</v>
      </c>
      <c r="Q41" s="656"/>
      <c r="AF41" s="265"/>
      <c r="AG41" s="265"/>
      <c r="AH41" s="265"/>
      <c r="AI41" s="265"/>
      <c r="AJ41" s="265"/>
      <c r="AK41" s="265"/>
      <c r="AL41" s="265"/>
    </row>
    <row r="42" spans="1:38" ht="11.25" customHeight="1">
      <c r="A42" s="75"/>
      <c r="B42" s="82"/>
      <c r="C42" s="82"/>
      <c r="D42" s="82"/>
      <c r="E42" s="82"/>
      <c r="F42" s="82"/>
      <c r="G42" s="82"/>
      <c r="H42" s="82"/>
      <c r="I42" s="168"/>
      <c r="J42" s="728"/>
      <c r="M42" s="651">
        <v>31</v>
      </c>
      <c r="N42" s="652">
        <v>186.24800110000001</v>
      </c>
      <c r="O42" s="652">
        <v>194.98199460000001</v>
      </c>
      <c r="P42" s="652">
        <v>193.71000670000001</v>
      </c>
      <c r="Q42" s="656"/>
      <c r="AF42" s="265"/>
      <c r="AG42" s="265"/>
      <c r="AH42" s="265"/>
      <c r="AI42" s="265"/>
      <c r="AJ42" s="265"/>
      <c r="AK42" s="265"/>
      <c r="AL42" s="265"/>
    </row>
    <row r="43" spans="1:38" ht="11.25" customHeight="1">
      <c r="A43" s="75"/>
      <c r="B43" s="82"/>
      <c r="C43" s="82"/>
      <c r="D43" s="82"/>
      <c r="E43" s="82"/>
      <c r="F43" s="82"/>
      <c r="G43" s="82"/>
      <c r="H43" s="82"/>
      <c r="I43" s="56"/>
      <c r="J43" s="728"/>
      <c r="M43" s="651">
        <v>32</v>
      </c>
      <c r="N43" s="652">
        <v>182.40899659999999</v>
      </c>
      <c r="O43" s="652">
        <v>190.13999938964801</v>
      </c>
      <c r="P43" s="652">
        <v>187.46000670000001</v>
      </c>
      <c r="AF43" s="265"/>
      <c r="AG43" s="265"/>
      <c r="AH43" s="265"/>
      <c r="AI43" s="265"/>
      <c r="AJ43" s="265"/>
      <c r="AK43" s="265"/>
      <c r="AL43" s="265"/>
    </row>
    <row r="44" spans="1:38" ht="11.25" customHeight="1">
      <c r="A44" s="75"/>
      <c r="B44" s="82"/>
      <c r="C44" s="82"/>
      <c r="D44" s="82"/>
      <c r="E44" s="82"/>
      <c r="F44" s="82"/>
      <c r="G44" s="82"/>
      <c r="H44" s="82"/>
      <c r="I44" s="56"/>
      <c r="J44" s="728"/>
      <c r="M44" s="651">
        <v>33</v>
      </c>
      <c r="N44" s="652">
        <v>178.6940002</v>
      </c>
      <c r="O44" s="652">
        <v>186.17300420000001</v>
      </c>
      <c r="P44" s="652">
        <v>186.17300420000001</v>
      </c>
      <c r="AF44" s="265"/>
      <c r="AG44" s="265"/>
      <c r="AH44" s="265"/>
      <c r="AI44" s="265"/>
      <c r="AJ44" s="265"/>
      <c r="AK44" s="265"/>
      <c r="AL44" s="265"/>
    </row>
    <row r="45" spans="1:38" ht="11.25" customHeight="1">
      <c r="A45" s="75"/>
      <c r="B45" s="82"/>
      <c r="C45" s="82"/>
      <c r="D45" s="82"/>
      <c r="E45" s="82"/>
      <c r="F45" s="82"/>
      <c r="G45" s="82"/>
      <c r="H45" s="82"/>
      <c r="I45" s="59"/>
      <c r="J45" s="730"/>
      <c r="M45" s="651">
        <v>34</v>
      </c>
      <c r="N45" s="652">
        <v>173.61300660000001</v>
      </c>
      <c r="O45" s="652">
        <v>183.14799500000001</v>
      </c>
      <c r="P45" s="652">
        <v>181.1710052</v>
      </c>
      <c r="AF45" s="265"/>
      <c r="AG45" s="265"/>
      <c r="AH45" s="265"/>
      <c r="AI45" s="265"/>
      <c r="AJ45" s="265"/>
      <c r="AK45" s="265"/>
      <c r="AL45" s="265"/>
    </row>
    <row r="46" spans="1:38" ht="11.25" customHeight="1">
      <c r="A46" s="75"/>
      <c r="B46" s="82"/>
      <c r="C46" s="82"/>
      <c r="D46" s="82"/>
      <c r="E46" s="82"/>
      <c r="F46" s="82"/>
      <c r="G46" s="82"/>
      <c r="H46" s="82"/>
      <c r="I46" s="59"/>
      <c r="J46" s="730"/>
      <c r="M46" s="651">
        <v>35</v>
      </c>
      <c r="N46" s="655">
        <v>170.0189972</v>
      </c>
      <c r="O46" s="652">
        <v>175.24000549316401</v>
      </c>
      <c r="P46" s="652">
        <v>176.38999939999999</v>
      </c>
      <c r="AF46" s="265"/>
      <c r="AG46" s="265"/>
      <c r="AH46" s="265"/>
      <c r="AI46" s="265"/>
      <c r="AJ46" s="265"/>
      <c r="AK46" s="265"/>
      <c r="AL46" s="265"/>
    </row>
    <row r="47" spans="1:38" ht="11.25" customHeight="1">
      <c r="A47" s="75"/>
      <c r="B47" s="82"/>
      <c r="C47" s="82"/>
      <c r="D47" s="82"/>
      <c r="E47" s="82"/>
      <c r="F47" s="82"/>
      <c r="G47" s="82"/>
      <c r="H47" s="82"/>
      <c r="I47" s="59"/>
      <c r="J47" s="730"/>
      <c r="M47" s="651">
        <v>36</v>
      </c>
      <c r="N47" s="655">
        <v>166.0690002</v>
      </c>
      <c r="O47" s="652">
        <v>171.61000061035099</v>
      </c>
      <c r="P47" s="652">
        <v>173.66999820000001</v>
      </c>
      <c r="AF47" s="265"/>
      <c r="AG47" s="265"/>
      <c r="AH47" s="265"/>
      <c r="AI47" s="265"/>
      <c r="AJ47" s="265"/>
      <c r="AK47" s="265"/>
      <c r="AL47" s="265"/>
    </row>
    <row r="48" spans="1:38" ht="11.25" customHeight="1">
      <c r="A48" s="75"/>
      <c r="B48" s="82"/>
      <c r="C48" s="82"/>
      <c r="D48" s="82"/>
      <c r="E48" s="82"/>
      <c r="F48" s="82"/>
      <c r="G48" s="82"/>
      <c r="H48" s="82"/>
      <c r="I48" s="59"/>
      <c r="J48" s="730"/>
      <c r="M48" s="651">
        <v>37</v>
      </c>
      <c r="N48" s="652">
        <v>159.17399599999999</v>
      </c>
      <c r="O48" s="652">
        <v>167.78999328613199</v>
      </c>
      <c r="P48" s="652">
        <v>170.7400055</v>
      </c>
      <c r="AF48" s="265"/>
      <c r="AG48" s="265"/>
      <c r="AH48" s="265"/>
      <c r="AI48" s="265"/>
      <c r="AJ48" s="265"/>
      <c r="AK48" s="265"/>
      <c r="AL48" s="265"/>
    </row>
    <row r="49" spans="1:38" ht="11.25" customHeight="1">
      <c r="A49" s="75"/>
      <c r="B49" s="82"/>
      <c r="C49" s="82"/>
      <c r="D49" s="82"/>
      <c r="E49" s="82"/>
      <c r="F49" s="82"/>
      <c r="G49" s="82"/>
      <c r="H49" s="82"/>
      <c r="I49" s="59"/>
      <c r="J49" s="730"/>
      <c r="M49" s="651">
        <v>38</v>
      </c>
      <c r="N49" s="652">
        <v>157.84</v>
      </c>
      <c r="O49" s="652">
        <v>170.03999328613199</v>
      </c>
      <c r="P49" s="652">
        <v>167.64599609999999</v>
      </c>
      <c r="AF49" s="265"/>
      <c r="AG49" s="265"/>
      <c r="AH49" s="265"/>
      <c r="AI49" s="265"/>
      <c r="AJ49" s="265"/>
      <c r="AK49" s="265"/>
      <c r="AL49" s="265"/>
    </row>
    <row r="50" spans="1:38" ht="12.75">
      <c r="A50" s="75"/>
      <c r="B50" s="82"/>
      <c r="C50" s="82"/>
      <c r="D50" s="82"/>
      <c r="E50" s="82"/>
      <c r="F50" s="82"/>
      <c r="G50" s="82"/>
      <c r="H50" s="82"/>
      <c r="I50" s="59"/>
      <c r="J50" s="730"/>
      <c r="M50" s="651">
        <v>39</v>
      </c>
      <c r="N50" s="652">
        <v>156.28199768066401</v>
      </c>
      <c r="O50" s="652">
        <v>159.69</v>
      </c>
      <c r="P50" s="652">
        <v>157.6900024</v>
      </c>
      <c r="AF50" s="265"/>
      <c r="AG50" s="265"/>
      <c r="AH50" s="265"/>
      <c r="AI50" s="265"/>
      <c r="AJ50" s="265"/>
      <c r="AK50" s="265"/>
      <c r="AL50" s="265"/>
    </row>
    <row r="51" spans="1:38" ht="10.5" customHeight="1">
      <c r="A51" s="75"/>
      <c r="B51" s="82"/>
      <c r="C51" s="82"/>
      <c r="D51" s="82"/>
      <c r="E51" s="82"/>
      <c r="F51" s="82"/>
      <c r="G51" s="82"/>
      <c r="H51" s="82"/>
      <c r="I51" s="59"/>
      <c r="J51" s="730"/>
      <c r="M51" s="651">
        <v>40</v>
      </c>
      <c r="N51" s="652">
        <v>148.3529968</v>
      </c>
      <c r="O51" s="652">
        <v>150.2969971</v>
      </c>
      <c r="P51" s="652">
        <v>154.1900024</v>
      </c>
      <c r="AF51" s="265"/>
      <c r="AG51" s="265"/>
      <c r="AH51" s="265"/>
      <c r="AI51" s="265"/>
      <c r="AJ51" s="265"/>
      <c r="AK51" s="265"/>
      <c r="AL51" s="265"/>
    </row>
    <row r="52" spans="1:38" ht="12.75">
      <c r="A52" s="75"/>
      <c r="B52" s="82"/>
      <c r="C52" s="82"/>
      <c r="D52" s="82"/>
      <c r="E52" s="82"/>
      <c r="F52" s="82"/>
      <c r="G52" s="82"/>
      <c r="H52" s="82"/>
      <c r="I52" s="59"/>
      <c r="J52" s="730"/>
      <c r="M52" s="651">
        <v>41</v>
      </c>
      <c r="N52" s="652">
        <v>151.04400630000001</v>
      </c>
      <c r="O52" s="652">
        <v>146.7689972</v>
      </c>
      <c r="P52" s="652">
        <v>148.9620056</v>
      </c>
      <c r="AF52" s="265"/>
      <c r="AG52" s="265"/>
      <c r="AH52" s="265"/>
      <c r="AI52" s="265"/>
      <c r="AJ52" s="265"/>
      <c r="AK52" s="265"/>
      <c r="AL52" s="265"/>
    </row>
    <row r="53" spans="1:38" ht="12.75">
      <c r="A53" s="75"/>
      <c r="B53" s="82"/>
      <c r="C53" s="82"/>
      <c r="D53" s="82"/>
      <c r="E53" s="82"/>
      <c r="F53" s="82"/>
      <c r="G53" s="82"/>
      <c r="H53" s="82"/>
      <c r="I53" s="59"/>
      <c r="J53" s="730"/>
      <c r="M53" s="651">
        <v>42</v>
      </c>
      <c r="N53" s="652">
        <v>146.53</v>
      </c>
      <c r="O53" s="652">
        <v>142.69900512695301</v>
      </c>
      <c r="P53" s="652">
        <v>144.58599849999999</v>
      </c>
      <c r="AF53" s="265"/>
      <c r="AG53" s="265"/>
      <c r="AH53" s="265"/>
      <c r="AI53" s="265"/>
      <c r="AJ53" s="265"/>
      <c r="AK53" s="265"/>
      <c r="AL53" s="265"/>
    </row>
    <row r="54" spans="1:38" ht="12.75">
      <c r="A54" s="75"/>
      <c r="B54" s="82"/>
      <c r="C54" s="82"/>
      <c r="D54" s="82"/>
      <c r="E54" s="82"/>
      <c r="F54" s="82"/>
      <c r="G54" s="82"/>
      <c r="H54" s="82"/>
      <c r="I54" s="59"/>
      <c r="J54" s="730"/>
      <c r="M54" s="651">
        <v>43</v>
      </c>
      <c r="N54" s="652">
        <v>137.7400055</v>
      </c>
      <c r="O54" s="652">
        <v>135.75</v>
      </c>
      <c r="P54" s="652">
        <v>140.38000489999999</v>
      </c>
      <c r="AF54" s="265"/>
      <c r="AG54" s="265"/>
      <c r="AH54" s="265"/>
      <c r="AI54" s="265"/>
      <c r="AJ54" s="265"/>
      <c r="AK54" s="265"/>
      <c r="AL54" s="265"/>
    </row>
    <row r="55" spans="1:38" ht="12.75">
      <c r="A55" s="75"/>
      <c r="B55" s="82"/>
      <c r="C55" s="82"/>
      <c r="D55" s="82"/>
      <c r="E55" s="82"/>
      <c r="F55" s="82"/>
      <c r="G55" s="82"/>
      <c r="H55" s="82"/>
      <c r="I55" s="59"/>
      <c r="J55" s="730"/>
      <c r="M55" s="651">
        <v>44</v>
      </c>
      <c r="N55" s="652">
        <v>133.1380005</v>
      </c>
      <c r="O55" s="652">
        <v>130.27000430000001</v>
      </c>
      <c r="P55" s="652">
        <v>133.1060028</v>
      </c>
      <c r="AF55" s="265"/>
      <c r="AG55" s="265"/>
      <c r="AH55" s="265"/>
      <c r="AI55" s="265"/>
      <c r="AJ55" s="265"/>
      <c r="AK55" s="265"/>
      <c r="AL55" s="265"/>
    </row>
    <row r="56" spans="1:38" ht="12.75">
      <c r="A56" s="75"/>
      <c r="B56" s="82"/>
      <c r="C56" s="82"/>
      <c r="D56" s="82"/>
      <c r="E56" s="82"/>
      <c r="F56" s="82"/>
      <c r="G56" s="82"/>
      <c r="H56" s="82"/>
      <c r="I56" s="59"/>
      <c r="J56" s="730"/>
      <c r="M56" s="651">
        <v>45</v>
      </c>
      <c r="N56" s="652">
        <v>125.7330017</v>
      </c>
      <c r="O56" s="652">
        <v>124.5780029</v>
      </c>
      <c r="P56" s="652">
        <v>128.5500031</v>
      </c>
      <c r="AF56" s="265"/>
      <c r="AG56" s="265"/>
      <c r="AH56" s="265"/>
      <c r="AI56" s="265"/>
      <c r="AJ56" s="265"/>
      <c r="AK56" s="265"/>
      <c r="AL56" s="265"/>
    </row>
    <row r="57" spans="1:38" ht="12.75">
      <c r="A57" s="75"/>
      <c r="B57" s="82"/>
      <c r="C57" s="82"/>
      <c r="D57" s="82"/>
      <c r="E57" s="82"/>
      <c r="F57" s="82"/>
      <c r="G57" s="82"/>
      <c r="H57" s="82"/>
      <c r="M57" s="651">
        <v>46</v>
      </c>
      <c r="N57" s="652">
        <v>125.2030029</v>
      </c>
      <c r="O57" s="652">
        <v>120.7269974</v>
      </c>
      <c r="P57" s="652">
        <v>123.4499969</v>
      </c>
      <c r="AF57" s="265"/>
      <c r="AG57" s="265"/>
      <c r="AH57" s="265"/>
      <c r="AI57" s="265"/>
      <c r="AJ57" s="265"/>
      <c r="AK57" s="265"/>
      <c r="AL57" s="265"/>
    </row>
    <row r="58" spans="1:38" ht="12.75">
      <c r="A58" s="75"/>
      <c r="B58" s="82"/>
      <c r="C58" s="82"/>
      <c r="D58" s="82"/>
      <c r="E58" s="82"/>
      <c r="F58" s="82"/>
      <c r="G58" s="82"/>
      <c r="H58" s="82"/>
      <c r="M58" s="651">
        <v>47</v>
      </c>
      <c r="N58" s="652">
        <v>120.5130005</v>
      </c>
      <c r="O58" s="652">
        <v>113.7900009</v>
      </c>
      <c r="P58" s="652">
        <v>121.12899779999999</v>
      </c>
      <c r="AF58" s="265"/>
      <c r="AG58" s="265"/>
      <c r="AH58" s="265"/>
      <c r="AI58" s="265"/>
      <c r="AJ58" s="265"/>
      <c r="AK58" s="265"/>
      <c r="AL58" s="265"/>
    </row>
    <row r="59" spans="1:38" ht="12.75">
      <c r="A59" s="262" t="s">
        <v>550</v>
      </c>
      <c r="B59" s="82"/>
      <c r="C59" s="82"/>
      <c r="D59" s="82"/>
      <c r="E59" s="82"/>
      <c r="F59" s="82"/>
      <c r="G59" s="82"/>
      <c r="H59" s="82"/>
      <c r="M59" s="651">
        <v>48</v>
      </c>
      <c r="N59" s="652">
        <v>119.3089981</v>
      </c>
      <c r="O59" s="652">
        <v>104.1470032</v>
      </c>
      <c r="P59" s="652">
        <v>122.5419998</v>
      </c>
      <c r="AF59" s="265"/>
      <c r="AG59" s="265"/>
      <c r="AH59" s="265"/>
      <c r="AI59" s="265"/>
      <c r="AJ59" s="265"/>
      <c r="AK59" s="265"/>
      <c r="AL59" s="265"/>
    </row>
    <row r="60" spans="1:38" ht="12.75">
      <c r="A60" s="54"/>
      <c r="B60" s="82"/>
      <c r="C60" s="82"/>
      <c r="D60" s="82"/>
      <c r="E60" s="82"/>
      <c r="F60" s="82"/>
      <c r="G60" s="82"/>
      <c r="H60" s="82"/>
      <c r="M60" s="651">
        <v>49</v>
      </c>
      <c r="N60" s="652">
        <v>119.33200069999999</v>
      </c>
      <c r="O60" s="652">
        <v>104.8560028</v>
      </c>
      <c r="P60" s="652">
        <v>129.1600037</v>
      </c>
      <c r="AF60" s="265"/>
      <c r="AG60" s="265"/>
      <c r="AH60" s="265"/>
      <c r="AI60" s="265"/>
      <c r="AJ60" s="265"/>
      <c r="AK60" s="265"/>
      <c r="AL60" s="265"/>
    </row>
    <row r="61" spans="1:38">
      <c r="M61" s="651">
        <v>50</v>
      </c>
      <c r="N61" s="652">
        <v>135.91499329999999</v>
      </c>
      <c r="O61" s="652">
        <v>105.70500180000001</v>
      </c>
      <c r="P61" s="652">
        <v>131.85099790000001</v>
      </c>
      <c r="AD61" s="297"/>
      <c r="AE61" s="297"/>
      <c r="AF61" s="215"/>
      <c r="AG61" s="215"/>
      <c r="AH61" s="215"/>
      <c r="AI61" s="215"/>
      <c r="AJ61" s="215"/>
      <c r="AK61" s="215"/>
      <c r="AL61" s="215"/>
    </row>
    <row r="62" spans="1:38">
      <c r="M62" s="651">
        <v>51</v>
      </c>
      <c r="N62" s="652">
        <v>131.21000670000001</v>
      </c>
      <c r="O62" s="652">
        <v>110.41200259999999</v>
      </c>
      <c r="P62" s="652">
        <v>128.24499510000001</v>
      </c>
      <c r="AD62" s="297"/>
      <c r="AE62" s="297"/>
      <c r="AF62" s="215"/>
      <c r="AG62" s="215"/>
      <c r="AH62" s="215"/>
      <c r="AI62" s="215"/>
      <c r="AJ62" s="215"/>
      <c r="AK62" s="215"/>
      <c r="AL62" s="215"/>
    </row>
    <row r="63" spans="1:38">
      <c r="M63" s="651">
        <v>52</v>
      </c>
      <c r="N63" s="652">
        <v>139.86399840000001</v>
      </c>
      <c r="O63" s="652">
        <v>119.1200027</v>
      </c>
      <c r="P63" s="652">
        <v>127.295997619628</v>
      </c>
      <c r="AD63" s="297"/>
      <c r="AE63" s="297"/>
      <c r="AF63" s="215"/>
      <c r="AG63" s="215"/>
      <c r="AH63" s="215"/>
      <c r="AI63" s="215"/>
      <c r="AJ63" s="215"/>
      <c r="AK63" s="215"/>
      <c r="AL63" s="215"/>
    </row>
    <row r="64" spans="1:38">
      <c r="M64" s="651">
        <v>53</v>
      </c>
      <c r="N64" s="652">
        <v>146.8090057</v>
      </c>
      <c r="O64" s="652"/>
      <c r="P64" s="769"/>
      <c r="AD64" s="297"/>
      <c r="AE64" s="297"/>
      <c r="AF64" s="215"/>
      <c r="AG64" s="215"/>
      <c r="AH64" s="215"/>
      <c r="AI64" s="215"/>
      <c r="AJ64" s="215"/>
      <c r="AK64" s="215"/>
      <c r="AL64" s="215"/>
    </row>
    <row r="65" spans="13:38">
      <c r="M65" s="277"/>
      <c r="N65" s="277"/>
      <c r="O65" s="277"/>
      <c r="P65" s="277"/>
      <c r="Q65" s="277"/>
      <c r="R65" s="277"/>
      <c r="S65" s="506"/>
      <c r="T65" s="506"/>
      <c r="AD65" s="297"/>
      <c r="AE65" s="297"/>
      <c r="AF65" s="215"/>
      <c r="AG65" s="215"/>
      <c r="AH65" s="215"/>
      <c r="AI65" s="215"/>
      <c r="AJ65" s="215"/>
      <c r="AK65" s="215"/>
      <c r="AL65" s="215"/>
    </row>
  </sheetData>
  <mergeCells count="4">
    <mergeCell ref="A2:H2"/>
    <mergeCell ref="A4:H4"/>
    <mergeCell ref="C28:F28"/>
    <mergeCell ref="A32:H3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90" workbookViewId="0">
      <selection activeCell="B18" sqref="M18"/>
    </sheetView>
  </sheetViews>
  <sheetFormatPr baseColWidth="10" defaultColWidth="9.33203125" defaultRowHeight="11.25"/>
  <cols>
    <col min="10" max="11" width="9.33203125" customWidth="1"/>
    <col min="13" max="13" width="9.33203125" style="692"/>
    <col min="14" max="24" width="9.33203125" style="277"/>
    <col min="25" max="31" width="9.33203125" style="69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49" t="s">
        <v>258</v>
      </c>
      <c r="T4" s="732" t="s">
        <v>259</v>
      </c>
    </row>
    <row r="5" spans="1:23" ht="11.25" customHeight="1">
      <c r="A5" s="897"/>
      <c r="B5" s="897"/>
      <c r="C5" s="897"/>
      <c r="D5" s="897"/>
      <c r="E5" s="897"/>
      <c r="F5" s="897"/>
      <c r="G5" s="897"/>
      <c r="H5" s="897"/>
      <c r="I5" s="897"/>
      <c r="J5" s="12"/>
      <c r="K5" s="12"/>
      <c r="L5" s="8"/>
      <c r="O5" s="650">
        <v>2019</v>
      </c>
      <c r="P5" s="650">
        <v>2020</v>
      </c>
      <c r="Q5" s="650">
        <v>2021</v>
      </c>
      <c r="R5" s="650">
        <v>2022</v>
      </c>
      <c r="T5" s="650">
        <v>2019</v>
      </c>
      <c r="U5" s="650">
        <v>2020</v>
      </c>
      <c r="V5" s="650">
        <v>2021</v>
      </c>
      <c r="W5" s="650">
        <v>2022</v>
      </c>
    </row>
    <row r="6" spans="1:23" ht="11.25" customHeight="1">
      <c r="A6" s="17"/>
      <c r="B6" s="159"/>
      <c r="C6" s="68"/>
      <c r="D6" s="69"/>
      <c r="E6" s="69"/>
      <c r="F6" s="70"/>
      <c r="G6" s="66"/>
      <c r="H6" s="66"/>
      <c r="I6" s="71"/>
      <c r="J6" s="12"/>
      <c r="K6" s="12"/>
      <c r="L6" s="5"/>
      <c r="N6" s="651">
        <v>1</v>
      </c>
      <c r="O6" s="652">
        <v>71.125</v>
      </c>
      <c r="P6" s="652">
        <v>133.42999267578099</v>
      </c>
      <c r="Q6" s="733">
        <v>78.003997799999993</v>
      </c>
      <c r="R6" s="734">
        <v>35.493000029999997</v>
      </c>
      <c r="S6" s="651">
        <v>1</v>
      </c>
      <c r="T6" s="652">
        <v>190.20000426299998</v>
      </c>
      <c r="U6" s="652">
        <v>186.65300035476668</v>
      </c>
      <c r="V6" s="733">
        <v>222.16899967999998</v>
      </c>
      <c r="W6" s="734">
        <v>204.009998798</v>
      </c>
    </row>
    <row r="7" spans="1:23" ht="11.25" customHeight="1">
      <c r="A7" s="17"/>
      <c r="B7" s="898"/>
      <c r="C7" s="898"/>
      <c r="D7" s="160"/>
      <c r="E7" s="160"/>
      <c r="F7" s="70"/>
      <c r="G7" s="66"/>
      <c r="H7" s="66"/>
      <c r="I7" s="71"/>
      <c r="J7" s="3"/>
      <c r="K7" s="3"/>
      <c r="L7" s="15"/>
      <c r="N7" s="651">
        <v>2</v>
      </c>
      <c r="O7" s="652">
        <v>79.228996280000004</v>
      </c>
      <c r="P7" s="652">
        <v>141.27299500000001</v>
      </c>
      <c r="Q7" s="733">
        <v>98.037002560000005</v>
      </c>
      <c r="R7" s="734">
        <v>56.155998230000002</v>
      </c>
      <c r="S7" s="651">
        <v>2</v>
      </c>
      <c r="T7" s="652">
        <v>185.80498987600001</v>
      </c>
      <c r="U7" s="652">
        <v>194.494995117</v>
      </c>
      <c r="V7" s="733">
        <v>243.88599584999997</v>
      </c>
      <c r="W7" s="734">
        <v>226.30700303700002</v>
      </c>
    </row>
    <row r="8" spans="1:23" ht="11.25" customHeight="1">
      <c r="A8" s="17"/>
      <c r="B8" s="161"/>
      <c r="C8" s="39"/>
      <c r="D8" s="162"/>
      <c r="E8" s="162"/>
      <c r="F8" s="70"/>
      <c r="G8" s="66"/>
      <c r="H8" s="66"/>
      <c r="I8" s="71"/>
      <c r="J8" s="4"/>
      <c r="K8" s="4"/>
      <c r="L8" s="12"/>
      <c r="N8" s="651">
        <v>3</v>
      </c>
      <c r="O8" s="652">
        <v>106.65</v>
      </c>
      <c r="P8" s="652">
        <v>151.56199649999999</v>
      </c>
      <c r="Q8" s="733">
        <v>137.10699460000001</v>
      </c>
      <c r="R8" s="734">
        <v>68.723999019999994</v>
      </c>
      <c r="S8" s="651">
        <v>3</v>
      </c>
      <c r="T8" s="652">
        <v>190.06000000000003</v>
      </c>
      <c r="U8" s="652">
        <v>212.15300178999999</v>
      </c>
      <c r="V8" s="733">
        <v>260.96799851000003</v>
      </c>
      <c r="W8" s="734">
        <v>246.70599747499998</v>
      </c>
    </row>
    <row r="9" spans="1:23" ht="11.25" customHeight="1">
      <c r="A9" s="17"/>
      <c r="B9" s="161"/>
      <c r="C9" s="39"/>
      <c r="D9" s="162"/>
      <c r="E9" s="162"/>
      <c r="F9" s="70"/>
      <c r="G9" s="66"/>
      <c r="H9" s="66"/>
      <c r="I9" s="71"/>
      <c r="J9" s="3"/>
      <c r="K9" s="6"/>
      <c r="L9" s="15"/>
      <c r="N9" s="651">
        <v>4</v>
      </c>
      <c r="O9" s="652">
        <v>140.34500120000001</v>
      </c>
      <c r="P9" s="652">
        <v>167.9100037</v>
      </c>
      <c r="Q9" s="733">
        <v>187.18600459999999</v>
      </c>
      <c r="R9" s="734">
        <v>95.908996579999993</v>
      </c>
      <c r="S9" s="651">
        <v>4</v>
      </c>
      <c r="T9" s="652">
        <v>198.06799936900001</v>
      </c>
      <c r="U9" s="652">
        <v>213.71899984999999</v>
      </c>
      <c r="V9" s="733">
        <v>282.90399740999999</v>
      </c>
      <c r="W9" s="734">
        <v>284.02000140000001</v>
      </c>
    </row>
    <row r="10" spans="1:23" ht="11.25" customHeight="1">
      <c r="A10" s="17"/>
      <c r="B10" s="161"/>
      <c r="C10" s="39"/>
      <c r="D10" s="162"/>
      <c r="E10" s="162"/>
      <c r="F10" s="70"/>
      <c r="G10" s="66"/>
      <c r="H10" s="66"/>
      <c r="I10" s="71"/>
      <c r="J10" s="3"/>
      <c r="K10" s="3"/>
      <c r="L10" s="15"/>
      <c r="N10" s="651">
        <v>5</v>
      </c>
      <c r="O10" s="652">
        <v>186.18299870000001</v>
      </c>
      <c r="P10" s="652">
        <v>209.06850435244098</v>
      </c>
      <c r="Q10" s="733">
        <v>240.25399780000001</v>
      </c>
      <c r="R10" s="734">
        <v>122.54900360000001</v>
      </c>
      <c r="S10" s="651">
        <v>5</v>
      </c>
      <c r="T10" s="652">
        <v>217.55805158600003</v>
      </c>
      <c r="U10" s="652">
        <v>219.56099320000001</v>
      </c>
      <c r="V10" s="733">
        <v>283.46798616000001</v>
      </c>
      <c r="W10" s="734">
        <v>316.55300431000006</v>
      </c>
    </row>
    <row r="11" spans="1:23" ht="11.25" customHeight="1">
      <c r="A11" s="17"/>
      <c r="B11" s="162"/>
      <c r="C11" s="39"/>
      <c r="D11" s="162"/>
      <c r="E11" s="162"/>
      <c r="F11" s="70"/>
      <c r="G11" s="66"/>
      <c r="H11" s="66"/>
      <c r="I11" s="71"/>
      <c r="J11" s="3"/>
      <c r="K11" s="3"/>
      <c r="L11" s="15"/>
      <c r="N11" s="651">
        <v>6</v>
      </c>
      <c r="O11" s="652">
        <v>222.22</v>
      </c>
      <c r="P11" s="652">
        <v>250.22700500488199</v>
      </c>
      <c r="Q11" s="733">
        <v>285.57900999999998</v>
      </c>
      <c r="R11" s="734">
        <v>164.02999879999999</v>
      </c>
      <c r="S11" s="651">
        <v>6</v>
      </c>
      <c r="T11" s="652">
        <v>279.10000000000002</v>
      </c>
      <c r="U11" s="652">
        <v>285.12099838256813</v>
      </c>
      <c r="V11" s="733">
        <v>323.49900059000004</v>
      </c>
      <c r="W11" s="734">
        <v>327.15899755999999</v>
      </c>
    </row>
    <row r="12" spans="1:23" ht="11.25" customHeight="1">
      <c r="A12" s="17"/>
      <c r="B12" s="162"/>
      <c r="C12" s="39"/>
      <c r="D12" s="162"/>
      <c r="E12" s="162"/>
      <c r="F12" s="70"/>
      <c r="G12" s="66"/>
      <c r="H12" s="66"/>
      <c r="I12" s="71"/>
      <c r="J12" s="3"/>
      <c r="K12" s="3"/>
      <c r="L12" s="15"/>
      <c r="N12" s="651">
        <v>7</v>
      </c>
      <c r="O12" s="652">
        <v>277.02099609999999</v>
      </c>
      <c r="P12" s="652">
        <v>274.18798829999997</v>
      </c>
      <c r="Q12" s="733">
        <v>286.72699999999998</v>
      </c>
      <c r="R12" s="734">
        <v>195.61700188</v>
      </c>
      <c r="S12" s="651">
        <v>7</v>
      </c>
      <c r="T12" s="652">
        <v>338.21854399</v>
      </c>
      <c r="U12" s="652">
        <v>329.34199910000001</v>
      </c>
      <c r="V12" s="733">
        <v>323.53270380002277</v>
      </c>
      <c r="W12" s="734">
        <v>354.25649632083298</v>
      </c>
    </row>
    <row r="13" spans="1:23" ht="11.25" customHeight="1">
      <c r="A13" s="17"/>
      <c r="B13" s="162"/>
      <c r="C13" s="39"/>
      <c r="D13" s="162"/>
      <c r="E13" s="162"/>
      <c r="F13" s="70"/>
      <c r="G13" s="66"/>
      <c r="H13" s="66"/>
      <c r="I13" s="71"/>
      <c r="J13" s="4"/>
      <c r="K13" s="4"/>
      <c r="L13" s="12"/>
      <c r="N13" s="651">
        <v>8</v>
      </c>
      <c r="O13" s="652">
        <v>293.06698610000001</v>
      </c>
      <c r="P13" s="652">
        <v>291.3330078125</v>
      </c>
      <c r="Q13" s="733">
        <v>276.42099999999999</v>
      </c>
      <c r="R13" s="734">
        <v>273.05700683593699</v>
      </c>
      <c r="S13" s="651">
        <v>8</v>
      </c>
      <c r="T13" s="652">
        <v>388.64800643000001</v>
      </c>
      <c r="U13" s="652">
        <v>352.60932731628355</v>
      </c>
      <c r="V13" s="733">
        <v>320.11500000000001</v>
      </c>
      <c r="W13" s="734">
        <v>356.44099426269452</v>
      </c>
    </row>
    <row r="14" spans="1:23" ht="11.25" customHeight="1">
      <c r="A14" s="17"/>
      <c r="B14" s="162"/>
      <c r="C14" s="39"/>
      <c r="D14" s="162"/>
      <c r="E14" s="162"/>
      <c r="F14" s="70"/>
      <c r="G14" s="66"/>
      <c r="H14" s="66"/>
      <c r="I14" s="71"/>
      <c r="J14" s="3"/>
      <c r="K14" s="6"/>
      <c r="L14" s="15"/>
      <c r="N14" s="651">
        <v>9</v>
      </c>
      <c r="O14" s="652">
        <v>294.29501340000002</v>
      </c>
      <c r="P14" s="652">
        <v>281.57400510000002</v>
      </c>
      <c r="Q14" s="733">
        <v>271.92898559570301</v>
      </c>
      <c r="R14" s="734">
        <v>291.33300780000002</v>
      </c>
      <c r="S14" s="651">
        <v>9</v>
      </c>
      <c r="T14" s="652">
        <v>377.13099283000003</v>
      </c>
      <c r="U14" s="652">
        <v>377.95000650999998</v>
      </c>
      <c r="V14" s="733">
        <v>323.68899917602516</v>
      </c>
      <c r="W14" s="734">
        <v>371.62199979000002</v>
      </c>
    </row>
    <row r="15" spans="1:23" ht="11.25" customHeight="1">
      <c r="A15" s="17"/>
      <c r="B15" s="162"/>
      <c r="C15" s="39"/>
      <c r="D15" s="162"/>
      <c r="E15" s="162"/>
      <c r="F15" s="70"/>
      <c r="G15" s="66"/>
      <c r="H15" s="66"/>
      <c r="I15" s="71"/>
      <c r="J15" s="3"/>
      <c r="K15" s="6"/>
      <c r="L15" s="15"/>
      <c r="N15" s="651">
        <v>10</v>
      </c>
      <c r="O15" s="652">
        <v>291.91101070000002</v>
      </c>
      <c r="P15" s="652">
        <v>277.58898929999998</v>
      </c>
      <c r="Q15" s="733">
        <v>283.85998540000003</v>
      </c>
      <c r="R15" s="734">
        <v>290.13098150000002</v>
      </c>
      <c r="S15" s="651">
        <v>10</v>
      </c>
      <c r="T15" s="652">
        <v>385.62499995999997</v>
      </c>
      <c r="U15" s="652">
        <v>383.25900259000002</v>
      </c>
      <c r="V15" s="733">
        <v>329.89599799999996</v>
      </c>
      <c r="W15" s="734">
        <v>380.60428970547002</v>
      </c>
    </row>
    <row r="16" spans="1:23" ht="11.25" customHeight="1">
      <c r="A16" s="17"/>
      <c r="B16" s="162"/>
      <c r="C16" s="39"/>
      <c r="D16" s="162"/>
      <c r="E16" s="162"/>
      <c r="F16" s="70"/>
      <c r="G16" s="66"/>
      <c r="H16" s="66"/>
      <c r="I16" s="71"/>
      <c r="J16" s="3"/>
      <c r="K16" s="6"/>
      <c r="L16" s="15"/>
      <c r="N16" s="651">
        <v>11</v>
      </c>
      <c r="O16" s="652">
        <v>301.204986572265</v>
      </c>
      <c r="P16" s="652">
        <v>288.4509888</v>
      </c>
      <c r="Q16" s="733">
        <v>297.12600709999998</v>
      </c>
      <c r="R16" s="653">
        <v>306.47698974609301</v>
      </c>
      <c r="S16" s="651">
        <v>11</v>
      </c>
      <c r="T16" s="652">
        <v>389.38100242614604</v>
      </c>
      <c r="U16" s="652">
        <v>394.92200288000009</v>
      </c>
      <c r="V16" s="733">
        <v>345.04400820999996</v>
      </c>
      <c r="W16" s="734">
        <v>384.68100166320727</v>
      </c>
    </row>
    <row r="17" spans="1:23" ht="11.25" customHeight="1">
      <c r="A17" s="17"/>
      <c r="B17" s="162"/>
      <c r="C17" s="39"/>
      <c r="D17" s="162"/>
      <c r="E17" s="162"/>
      <c r="F17" s="70"/>
      <c r="G17" s="66"/>
      <c r="H17" s="66"/>
      <c r="I17" s="71"/>
      <c r="J17" s="3"/>
      <c r="K17" s="6"/>
      <c r="L17" s="15"/>
      <c r="N17" s="651">
        <v>12</v>
      </c>
      <c r="O17" s="652">
        <v>310.0090027</v>
      </c>
      <c r="P17" s="652">
        <v>295.38400268554602</v>
      </c>
      <c r="Q17" s="733">
        <v>303.54400629999998</v>
      </c>
      <c r="R17" s="653">
        <v>307.06500240000003</v>
      </c>
      <c r="S17" s="651">
        <v>12</v>
      </c>
      <c r="T17" s="652">
        <v>386.27799791999996</v>
      </c>
      <c r="U17" s="652">
        <v>390.290998458861</v>
      </c>
      <c r="V17" s="733">
        <v>376.08100894</v>
      </c>
      <c r="W17" s="734">
        <v>387.41699027999999</v>
      </c>
    </row>
    <row r="18" spans="1:23" ht="11.25" customHeight="1">
      <c r="A18" s="17"/>
      <c r="B18" s="162"/>
      <c r="C18" s="39"/>
      <c r="D18" s="162"/>
      <c r="E18" s="162"/>
      <c r="F18" s="70"/>
      <c r="G18" s="66"/>
      <c r="H18" s="66"/>
      <c r="I18" s="71"/>
      <c r="J18" s="3"/>
      <c r="K18" s="6"/>
      <c r="L18" s="15"/>
      <c r="N18" s="651">
        <v>13</v>
      </c>
      <c r="O18" s="652">
        <v>333.91799930000002</v>
      </c>
      <c r="P18" s="652">
        <v>303.54400634765602</v>
      </c>
      <c r="Q18" s="733">
        <v>310.60000609999997</v>
      </c>
      <c r="R18" s="653">
        <v>308.24</v>
      </c>
      <c r="S18" s="651">
        <v>13</v>
      </c>
      <c r="T18" s="652">
        <v>388.98099517000003</v>
      </c>
      <c r="U18" s="652">
        <v>402.17499160766499</v>
      </c>
      <c r="V18" s="733">
        <v>390.74499132000005</v>
      </c>
      <c r="W18" s="734">
        <v>387.17</v>
      </c>
    </row>
    <row r="19" spans="1:23" ht="11.25" customHeight="1">
      <c r="A19" s="17"/>
      <c r="B19" s="162"/>
      <c r="C19" s="39"/>
      <c r="D19" s="162"/>
      <c r="E19" s="162"/>
      <c r="F19" s="70"/>
      <c r="G19" s="66"/>
      <c r="H19" s="66"/>
      <c r="I19" s="71"/>
      <c r="J19" s="3"/>
      <c r="K19" s="6"/>
      <c r="L19" s="15"/>
      <c r="N19" s="651">
        <v>14</v>
      </c>
      <c r="O19" s="652">
        <v>335.73699950000002</v>
      </c>
      <c r="P19" s="652">
        <v>296.54501340000002</v>
      </c>
      <c r="Q19" s="733">
        <v>310.60000609999997</v>
      </c>
      <c r="R19" s="276">
        <v>316.52200317382801</v>
      </c>
      <c r="S19" s="651">
        <v>14</v>
      </c>
      <c r="T19" s="652">
        <v>393.36499596000004</v>
      </c>
      <c r="U19" s="652">
        <v>398.93495940999998</v>
      </c>
      <c r="V19" s="733">
        <v>396.33900255999993</v>
      </c>
      <c r="W19" s="277">
        <v>389.18700027465661</v>
      </c>
    </row>
    <row r="20" spans="1:23" ht="11.25" customHeight="1">
      <c r="A20" s="17"/>
      <c r="B20" s="162"/>
      <c r="C20" s="39"/>
      <c r="D20" s="162"/>
      <c r="E20" s="162"/>
      <c r="F20" s="70"/>
      <c r="G20" s="66"/>
      <c r="H20" s="66"/>
      <c r="I20" s="71"/>
      <c r="J20" s="3"/>
      <c r="K20" s="6"/>
      <c r="L20" s="15"/>
      <c r="N20" s="651">
        <v>15</v>
      </c>
      <c r="O20" s="652">
        <v>335.73699950000002</v>
      </c>
      <c r="P20" s="652">
        <v>289.60299680000003</v>
      </c>
      <c r="Q20" s="733">
        <v>308.24200439999998</v>
      </c>
      <c r="R20" s="276">
        <v>323.08200069999998</v>
      </c>
      <c r="S20" s="651">
        <v>15</v>
      </c>
      <c r="T20" s="652">
        <v>385.77799804</v>
      </c>
      <c r="U20" s="652">
        <v>388.01895332999999</v>
      </c>
      <c r="V20" s="733">
        <v>407.79200167999994</v>
      </c>
      <c r="W20" s="277">
        <v>391.56700128</v>
      </c>
    </row>
    <row r="21" spans="1:23" ht="11.25" customHeight="1">
      <c r="A21" s="17"/>
      <c r="B21" s="162"/>
      <c r="C21" s="39"/>
      <c r="D21" s="162"/>
      <c r="E21" s="162"/>
      <c r="F21" s="70"/>
      <c r="G21" s="66"/>
      <c r="H21" s="66"/>
      <c r="I21" s="71"/>
      <c r="J21" s="3"/>
      <c r="K21" s="7"/>
      <c r="L21" s="16"/>
      <c r="N21" s="651">
        <v>16</v>
      </c>
      <c r="O21" s="652">
        <v>335.73699950000002</v>
      </c>
      <c r="P21" s="652">
        <v>285.006012</v>
      </c>
      <c r="Q21" s="733">
        <v>302.9590149</v>
      </c>
      <c r="R21" s="276">
        <v>320.093994140625</v>
      </c>
      <c r="S21" s="651">
        <v>16</v>
      </c>
      <c r="T21" s="652">
        <v>385.72399323999997</v>
      </c>
      <c r="U21" s="652">
        <v>383.39695458999995</v>
      </c>
      <c r="V21" s="733">
        <v>404.66700356000001</v>
      </c>
      <c r="W21" s="277">
        <v>387.48099899291947</v>
      </c>
    </row>
    <row r="22" spans="1:23" ht="11.25" customHeight="1">
      <c r="A22" s="77"/>
      <c r="B22" s="162"/>
      <c r="C22" s="39"/>
      <c r="D22" s="162"/>
      <c r="E22" s="162"/>
      <c r="F22" s="70"/>
      <c r="G22" s="66"/>
      <c r="H22" s="66"/>
      <c r="I22" s="71"/>
      <c r="J22" s="3"/>
      <c r="K22" s="6"/>
      <c r="L22" s="15"/>
      <c r="N22" s="651">
        <v>17</v>
      </c>
      <c r="O22" s="652">
        <v>335.73699950000002</v>
      </c>
      <c r="P22" s="652">
        <v>285.00601196289</v>
      </c>
      <c r="Q22" s="733">
        <v>304.71600339999998</v>
      </c>
      <c r="R22" s="276">
        <v>317.51499449062499</v>
      </c>
      <c r="S22" s="651">
        <v>17</v>
      </c>
      <c r="T22" s="652">
        <v>388.74200823000001</v>
      </c>
      <c r="U22" s="652">
        <v>381.56399345397853</v>
      </c>
      <c r="V22" s="733">
        <v>401.20799636000004</v>
      </c>
      <c r="W22" s="277">
        <v>384.68462114530365</v>
      </c>
    </row>
    <row r="23" spans="1:23" ht="11.25" customHeight="1">
      <c r="A23" s="77"/>
      <c r="B23" s="162"/>
      <c r="C23" s="39"/>
      <c r="D23" s="162"/>
      <c r="E23" s="162"/>
      <c r="F23" s="70"/>
      <c r="G23" s="66"/>
      <c r="H23" s="66"/>
      <c r="I23" s="71"/>
      <c r="J23" s="3"/>
      <c r="K23" s="6"/>
      <c r="L23" s="15"/>
      <c r="N23" s="651">
        <v>18</v>
      </c>
      <c r="O23" s="652">
        <v>335.73699950000002</v>
      </c>
      <c r="P23" s="652">
        <v>285.006012</v>
      </c>
      <c r="Q23" s="733">
        <v>301.20498659999998</v>
      </c>
      <c r="R23" s="276">
        <v>286.73</v>
      </c>
      <c r="S23" s="651">
        <v>18</v>
      </c>
      <c r="T23" s="652">
        <v>386.49800113000003</v>
      </c>
      <c r="U23" s="652">
        <v>379.87400246999994</v>
      </c>
      <c r="V23" s="733">
        <v>398.68500135999994</v>
      </c>
      <c r="W23" s="277">
        <v>375.79000000000008</v>
      </c>
    </row>
    <row r="24" spans="1:23" ht="11.25" customHeight="1">
      <c r="A24" s="77"/>
      <c r="B24" s="162"/>
      <c r="C24" s="39"/>
      <c r="D24" s="162"/>
      <c r="E24" s="162"/>
      <c r="F24" s="70"/>
      <c r="G24" s="66"/>
      <c r="H24" s="66"/>
      <c r="I24" s="71"/>
      <c r="J24" s="6"/>
      <c r="K24" s="6"/>
      <c r="L24" s="15"/>
      <c r="N24" s="651">
        <v>19</v>
      </c>
      <c r="O24" s="652">
        <v>314.7409973</v>
      </c>
      <c r="P24" s="652">
        <v>314.7409973</v>
      </c>
      <c r="Q24" s="733">
        <v>301.78900149999998</v>
      </c>
      <c r="R24" s="276">
        <v>294.225006103515</v>
      </c>
      <c r="S24" s="651">
        <v>19</v>
      </c>
      <c r="T24" s="652">
        <v>384.38200000000001</v>
      </c>
      <c r="U24" s="652">
        <v>375.69400404000004</v>
      </c>
      <c r="V24" s="733">
        <v>396.22801973000003</v>
      </c>
      <c r="W24" s="277">
        <v>370.16600227355934</v>
      </c>
    </row>
    <row r="25" spans="1:23" ht="11.25" customHeight="1">
      <c r="A25" s="263" t="s">
        <v>552</v>
      </c>
      <c r="B25" s="162"/>
      <c r="C25" s="39"/>
      <c r="D25" s="162"/>
      <c r="E25" s="162"/>
      <c r="F25" s="70"/>
      <c r="G25" s="66"/>
      <c r="H25" s="66"/>
      <c r="I25" s="71"/>
      <c r="J25" s="3"/>
      <c r="K25" s="7"/>
      <c r="L25" s="16"/>
      <c r="N25" s="735">
        <v>20</v>
      </c>
      <c r="O25" s="652">
        <v>315.3340149</v>
      </c>
      <c r="P25" s="652">
        <v>314.14801030000001</v>
      </c>
      <c r="Q25" s="733">
        <v>305.30300899999997</v>
      </c>
      <c r="R25" s="276">
        <v>298.29000854492102</v>
      </c>
      <c r="S25" s="651">
        <v>20</v>
      </c>
      <c r="T25" s="652">
        <v>381.56399727000002</v>
      </c>
      <c r="U25" s="652">
        <v>370.56599616999995</v>
      </c>
      <c r="V25" s="733">
        <v>391.74099727000004</v>
      </c>
      <c r="W25" s="736">
        <v>364.40299987792889</v>
      </c>
    </row>
    <row r="26" spans="1:23" ht="11.25" customHeight="1">
      <c r="A26" s="54"/>
      <c r="B26" s="162"/>
      <c r="C26" s="39"/>
      <c r="D26" s="162"/>
      <c r="E26" s="162"/>
      <c r="F26" s="70"/>
      <c r="G26" s="66"/>
      <c r="H26" s="66"/>
      <c r="I26" s="71"/>
      <c r="J26" s="4"/>
      <c r="K26" s="6"/>
      <c r="L26" s="15"/>
      <c r="N26" s="651">
        <v>21</v>
      </c>
      <c r="O26" s="652">
        <v>311.78100590000003</v>
      </c>
      <c r="P26" s="652">
        <v>312.37200927734301</v>
      </c>
      <c r="Q26" s="733">
        <v>308.24200439999998</v>
      </c>
      <c r="R26" s="737">
        <v>302.95901489257801</v>
      </c>
      <c r="S26" s="651">
        <v>21</v>
      </c>
      <c r="T26" s="652">
        <v>376.47088237999998</v>
      </c>
      <c r="U26" s="652">
        <v>365.52200794219863</v>
      </c>
      <c r="V26" s="733">
        <v>387.63294980000006</v>
      </c>
      <c r="W26" s="277">
        <v>358.7700004577631</v>
      </c>
    </row>
    <row r="27" spans="1:23" ht="11.25" customHeight="1">
      <c r="A27" s="77"/>
      <c r="B27" s="162"/>
      <c r="C27" s="39"/>
      <c r="D27" s="162"/>
      <c r="E27" s="162"/>
      <c r="F27" s="73"/>
      <c r="G27" s="73"/>
      <c r="H27" s="73"/>
      <c r="I27" s="73"/>
      <c r="J27" s="4"/>
      <c r="K27" s="6"/>
      <c r="L27" s="15"/>
      <c r="N27" s="651">
        <v>22</v>
      </c>
      <c r="O27" s="652">
        <v>310.60000609999997</v>
      </c>
      <c r="P27" s="652">
        <v>310.60000609999997</v>
      </c>
      <c r="Q27" s="733">
        <v>307.6530151</v>
      </c>
      <c r="R27" s="737">
        <v>306.47698969999999</v>
      </c>
      <c r="S27" s="651">
        <v>22</v>
      </c>
      <c r="T27" s="652">
        <v>370.73099807</v>
      </c>
      <c r="U27" s="652">
        <v>359.19900507300002</v>
      </c>
      <c r="V27" s="733">
        <v>383.63200570999999</v>
      </c>
      <c r="W27" s="277">
        <v>353.17899700999999</v>
      </c>
    </row>
    <row r="28" spans="1:23" ht="11.25" customHeight="1">
      <c r="A28" s="77"/>
      <c r="B28" s="162"/>
      <c r="C28" s="39"/>
      <c r="D28" s="162"/>
      <c r="E28" s="162"/>
      <c r="F28" s="73"/>
      <c r="G28" s="73"/>
      <c r="H28" s="73"/>
      <c r="I28" s="73"/>
      <c r="J28" s="4"/>
      <c r="K28" s="6"/>
      <c r="L28" s="15"/>
      <c r="N28" s="651">
        <v>23</v>
      </c>
      <c r="O28" s="652">
        <v>307.06500240000003</v>
      </c>
      <c r="P28" s="652">
        <v>307.06500240000003</v>
      </c>
      <c r="Q28" s="733">
        <v>302.9590149</v>
      </c>
      <c r="R28" s="737">
        <v>304.13000488281199</v>
      </c>
      <c r="S28" s="651">
        <v>23</v>
      </c>
      <c r="T28" s="652">
        <v>363.24299430999997</v>
      </c>
      <c r="U28" s="652">
        <v>354.24799921000005</v>
      </c>
      <c r="V28" s="733">
        <v>379.05501368</v>
      </c>
      <c r="W28" s="277">
        <v>347.3810005187978</v>
      </c>
    </row>
    <row r="29" spans="1:23" ht="11.25" customHeight="1">
      <c r="A29" s="77"/>
      <c r="B29" s="162"/>
      <c r="C29" s="39"/>
      <c r="D29" s="162"/>
      <c r="E29" s="162"/>
      <c r="F29" s="73"/>
      <c r="G29" s="73"/>
      <c r="H29" s="73"/>
      <c r="I29" s="73"/>
      <c r="J29" s="4"/>
      <c r="K29" s="6"/>
      <c r="L29" s="15"/>
      <c r="N29" s="651">
        <v>24</v>
      </c>
      <c r="O29" s="652">
        <v>302.9590149</v>
      </c>
      <c r="P29" s="652">
        <v>300.621002197265</v>
      </c>
      <c r="Q29" s="733">
        <v>291.91101070000002</v>
      </c>
      <c r="R29" s="737">
        <v>295.9649963</v>
      </c>
      <c r="S29" s="651">
        <v>24</v>
      </c>
      <c r="T29" s="652">
        <v>357.21200376000002</v>
      </c>
      <c r="U29" s="652">
        <v>348.87000203132561</v>
      </c>
      <c r="V29" s="733">
        <v>374.35099984999999</v>
      </c>
      <c r="W29" s="277">
        <v>341.67700381999998</v>
      </c>
    </row>
    <row r="30" spans="1:23" ht="11.25" customHeight="1">
      <c r="A30" s="74"/>
      <c r="B30" s="73"/>
      <c r="C30" s="73"/>
      <c r="D30" s="73"/>
      <c r="E30" s="73"/>
      <c r="F30" s="73"/>
      <c r="G30" s="73"/>
      <c r="H30" s="73"/>
      <c r="I30" s="73"/>
      <c r="J30" s="3"/>
      <c r="K30" s="6"/>
      <c r="L30" s="15"/>
      <c r="N30" s="651">
        <v>25</v>
      </c>
      <c r="O30" s="652">
        <v>300.0379944</v>
      </c>
      <c r="P30" s="652">
        <v>286.72698969999999</v>
      </c>
      <c r="Q30" s="733">
        <v>282.14498900000001</v>
      </c>
      <c r="R30" s="737">
        <v>285.57900999999998</v>
      </c>
      <c r="S30" s="651">
        <v>25</v>
      </c>
      <c r="T30" s="652">
        <v>352.1909981</v>
      </c>
      <c r="U30" s="652">
        <v>343.83099551700002</v>
      </c>
      <c r="V30" s="733">
        <v>369.41900067</v>
      </c>
      <c r="W30" s="277">
        <v>335.75800323999999</v>
      </c>
    </row>
    <row r="31" spans="1:23" ht="11.25" customHeight="1">
      <c r="A31" s="74"/>
      <c r="B31" s="73"/>
      <c r="C31" s="73"/>
      <c r="D31" s="73"/>
      <c r="E31" s="73"/>
      <c r="F31" s="73"/>
      <c r="G31" s="73"/>
      <c r="H31" s="73"/>
      <c r="I31" s="73"/>
      <c r="J31" s="3"/>
      <c r="K31" s="6"/>
      <c r="L31" s="15"/>
      <c r="N31" s="651">
        <v>26</v>
      </c>
      <c r="O31" s="652">
        <v>296.06698610000001</v>
      </c>
      <c r="P31" s="652">
        <v>266.86801150000002</v>
      </c>
      <c r="Q31" s="733">
        <v>270.23800660000001</v>
      </c>
      <c r="R31" s="737">
        <v>274.75399779999998</v>
      </c>
      <c r="S31" s="651">
        <v>26</v>
      </c>
      <c r="T31" s="652">
        <v>346.62612917400003</v>
      </c>
      <c r="U31" s="652">
        <v>338.47100355099997</v>
      </c>
      <c r="V31" s="733">
        <v>363.95100021999997</v>
      </c>
      <c r="W31" s="277">
        <v>330.74199960999994</v>
      </c>
    </row>
    <row r="32" spans="1:23" ht="11.25" customHeight="1">
      <c r="A32" s="74"/>
      <c r="B32" s="73"/>
      <c r="C32" s="73"/>
      <c r="D32" s="73"/>
      <c r="E32" s="73"/>
      <c r="F32" s="73"/>
      <c r="G32" s="73"/>
      <c r="H32" s="73"/>
      <c r="I32" s="73"/>
      <c r="J32" s="3"/>
      <c r="K32" s="6"/>
      <c r="L32" s="15"/>
      <c r="N32" s="651">
        <v>27</v>
      </c>
      <c r="O32" s="652">
        <v>275.89</v>
      </c>
      <c r="P32" s="652">
        <v>255.73500061035099</v>
      </c>
      <c r="Q32" s="733">
        <v>251.32600400000001</v>
      </c>
      <c r="R32" s="737"/>
      <c r="S32" s="651">
        <v>27</v>
      </c>
      <c r="T32" s="652">
        <v>341.25900444999996</v>
      </c>
      <c r="U32" s="652">
        <v>333.23996639251612</v>
      </c>
      <c r="V32" s="733">
        <v>358.46099474000005</v>
      </c>
    </row>
    <row r="33" spans="1:22" ht="11.25" customHeight="1">
      <c r="A33" s="74"/>
      <c r="B33" s="73"/>
      <c r="C33" s="73"/>
      <c r="D33" s="73"/>
      <c r="E33" s="73"/>
      <c r="F33" s="73"/>
      <c r="G33" s="73"/>
      <c r="H33" s="73"/>
      <c r="I33" s="73"/>
      <c r="J33" s="3"/>
      <c r="K33" s="6"/>
      <c r="L33" s="15"/>
      <c r="N33" s="651">
        <v>28</v>
      </c>
      <c r="O33" s="652">
        <v>248.58200070000001</v>
      </c>
      <c r="P33" s="654">
        <v>244.7590027</v>
      </c>
      <c r="Q33" s="733">
        <v>243.66999820000001</v>
      </c>
      <c r="R33" s="737"/>
      <c r="S33" s="651">
        <v>28</v>
      </c>
      <c r="T33" s="652">
        <v>337.18899436699996</v>
      </c>
      <c r="U33" s="652">
        <v>327.71050074999999</v>
      </c>
      <c r="V33" s="733">
        <v>352.90699958999994</v>
      </c>
    </row>
    <row r="34" spans="1:22" ht="11.25" customHeight="1">
      <c r="A34" s="74"/>
      <c r="B34" s="73"/>
      <c r="C34" s="73"/>
      <c r="D34" s="73"/>
      <c r="E34" s="73"/>
      <c r="F34" s="73"/>
      <c r="G34" s="73"/>
      <c r="H34" s="73"/>
      <c r="I34" s="73"/>
      <c r="J34" s="3"/>
      <c r="K34" s="6"/>
      <c r="L34" s="15"/>
      <c r="N34" s="651">
        <v>29</v>
      </c>
      <c r="O34" s="652">
        <v>238.787994384765</v>
      </c>
      <c r="P34" s="652">
        <v>231.25799559999999</v>
      </c>
      <c r="Q34" s="733">
        <v>236.0899963</v>
      </c>
      <c r="R34" s="737"/>
      <c r="S34" s="651">
        <v>29</v>
      </c>
      <c r="T34" s="652">
        <v>333.50600986443789</v>
      </c>
      <c r="U34" s="652">
        <v>322.11699965099996</v>
      </c>
      <c r="V34" s="733">
        <v>346.83199694000007</v>
      </c>
    </row>
    <row r="35" spans="1:22" ht="11.25" customHeight="1">
      <c r="A35" s="74"/>
      <c r="B35" s="73"/>
      <c r="C35" s="73"/>
      <c r="D35" s="73"/>
      <c r="E35" s="73"/>
      <c r="F35" s="73"/>
      <c r="G35" s="73"/>
      <c r="H35" s="73"/>
      <c r="I35" s="73"/>
      <c r="J35" s="6"/>
      <c r="K35" s="6"/>
      <c r="L35" s="15"/>
      <c r="N35" s="651">
        <v>30</v>
      </c>
      <c r="O35" s="652">
        <v>229.12</v>
      </c>
      <c r="P35" s="652">
        <v>219.58000179999999</v>
      </c>
      <c r="Q35" s="733">
        <v>223.80499270000001</v>
      </c>
      <c r="R35" s="737"/>
      <c r="S35" s="651">
        <v>30</v>
      </c>
      <c r="T35" s="652">
        <v>324.04999999999995</v>
      </c>
      <c r="U35" s="652">
        <v>316.39600081599997</v>
      </c>
      <c r="V35" s="733">
        <v>340.42700004</v>
      </c>
    </row>
    <row r="36" spans="1:22" ht="11.25" customHeight="1">
      <c r="A36" s="74"/>
      <c r="B36" s="73"/>
      <c r="C36" s="73"/>
      <c r="D36" s="73"/>
      <c r="E36" s="73"/>
      <c r="F36" s="73"/>
      <c r="G36" s="73"/>
      <c r="H36" s="73"/>
      <c r="I36" s="73"/>
      <c r="J36" s="3"/>
      <c r="K36" s="6"/>
      <c r="L36" s="15"/>
      <c r="N36" s="651">
        <v>31</v>
      </c>
      <c r="O36" s="652">
        <v>219.05400090000001</v>
      </c>
      <c r="P36" s="652">
        <v>209.128006</v>
      </c>
      <c r="Q36" s="733">
        <v>211.72599790000001</v>
      </c>
      <c r="R36" s="737"/>
      <c r="S36" s="651">
        <v>31</v>
      </c>
      <c r="T36" s="652">
        <v>318.10600236499999</v>
      </c>
      <c r="U36" s="652">
        <v>310.66199637099999</v>
      </c>
      <c r="V36" s="733">
        <v>333.77900123000001</v>
      </c>
    </row>
    <row r="37" spans="1:22" ht="11.25" customHeight="1">
      <c r="A37" s="74"/>
      <c r="B37" s="73"/>
      <c r="C37" s="73"/>
      <c r="D37" s="73"/>
      <c r="E37" s="73"/>
      <c r="F37" s="73"/>
      <c r="G37" s="73"/>
      <c r="H37" s="73"/>
      <c r="I37" s="73"/>
      <c r="J37" s="3"/>
      <c r="K37" s="10"/>
      <c r="L37" s="15"/>
      <c r="N37" s="651">
        <v>32</v>
      </c>
      <c r="O37" s="652">
        <v>209.128006</v>
      </c>
      <c r="P37" s="652">
        <v>201.39199830000001</v>
      </c>
      <c r="Q37" s="733">
        <v>200.36700440000001</v>
      </c>
      <c r="R37" s="276"/>
      <c r="S37" s="651">
        <v>32</v>
      </c>
      <c r="T37" s="652">
        <v>312.078003352</v>
      </c>
      <c r="U37" s="652">
        <v>304.63100243800005</v>
      </c>
      <c r="V37" s="733">
        <v>326.91499899999997</v>
      </c>
    </row>
    <row r="38" spans="1:22" ht="11.25" customHeight="1">
      <c r="A38" s="74"/>
      <c r="B38" s="73"/>
      <c r="C38" s="73"/>
      <c r="D38" s="73"/>
      <c r="E38" s="73"/>
      <c r="F38" s="73"/>
      <c r="G38" s="73"/>
      <c r="H38" s="73"/>
      <c r="I38" s="73"/>
      <c r="J38" s="3"/>
      <c r="K38" s="10"/>
      <c r="L38" s="38"/>
      <c r="N38" s="651">
        <v>33</v>
      </c>
      <c r="O38" s="652">
        <v>199.85499569999999</v>
      </c>
      <c r="P38" s="652">
        <v>189.6999969</v>
      </c>
      <c r="Q38" s="733">
        <v>187.18600459999999</v>
      </c>
      <c r="R38" s="276"/>
      <c r="S38" s="651">
        <v>33</v>
      </c>
      <c r="T38" s="652">
        <v>312.078003352</v>
      </c>
      <c r="U38" s="652">
        <v>299.14499665</v>
      </c>
      <c r="V38" s="733">
        <v>320.04999731999993</v>
      </c>
    </row>
    <row r="39" spans="1:22" ht="11.25" customHeight="1">
      <c r="A39" s="74"/>
      <c r="B39" s="73"/>
      <c r="C39" s="73"/>
      <c r="D39" s="73"/>
      <c r="E39" s="73"/>
      <c r="F39" s="73"/>
      <c r="G39" s="73"/>
      <c r="H39" s="73"/>
      <c r="I39" s="73"/>
      <c r="J39" s="3"/>
      <c r="K39" s="7"/>
      <c r="L39" s="15"/>
      <c r="N39" s="651">
        <v>34</v>
      </c>
      <c r="O39" s="652">
        <v>188.69299319999999</v>
      </c>
      <c r="P39" s="652">
        <v>178.71099849999999</v>
      </c>
      <c r="Q39" s="733">
        <v>176.73300169999999</v>
      </c>
      <c r="R39" s="276"/>
      <c r="S39" s="651">
        <v>34</v>
      </c>
      <c r="T39" s="652">
        <v>299.58200316099999</v>
      </c>
      <c r="U39" s="652">
        <v>293.22399712800001</v>
      </c>
      <c r="V39" s="733">
        <v>312.22399334000005</v>
      </c>
    </row>
    <row r="40" spans="1:22" ht="11.25" customHeight="1">
      <c r="A40" s="74"/>
      <c r="B40" s="73"/>
      <c r="C40" s="73"/>
      <c r="D40" s="73"/>
      <c r="E40" s="73"/>
      <c r="F40" s="73"/>
      <c r="G40" s="73"/>
      <c r="H40" s="73"/>
      <c r="I40" s="73"/>
      <c r="J40" s="3"/>
      <c r="K40" s="7"/>
      <c r="L40" s="15"/>
      <c r="N40" s="651">
        <v>35</v>
      </c>
      <c r="O40" s="652">
        <v>177.72099299999999</v>
      </c>
      <c r="P40" s="655">
        <v>167.91000366210901</v>
      </c>
      <c r="Q40" s="733">
        <v>168.8840027</v>
      </c>
      <c r="R40" s="276"/>
      <c r="S40" s="651">
        <v>35</v>
      </c>
      <c r="T40" s="652">
        <v>292.71899843200003</v>
      </c>
      <c r="U40" s="652">
        <v>287.11000061035065</v>
      </c>
      <c r="V40" s="733">
        <v>304.73300071000006</v>
      </c>
    </row>
    <row r="41" spans="1:22" ht="11.25" customHeight="1">
      <c r="A41" s="74"/>
      <c r="B41" s="73"/>
      <c r="C41" s="73"/>
      <c r="D41" s="73"/>
      <c r="E41" s="73"/>
      <c r="F41" s="73"/>
      <c r="G41" s="73"/>
      <c r="H41" s="73"/>
      <c r="I41" s="73"/>
      <c r="J41" s="3"/>
      <c r="K41" s="7"/>
      <c r="L41" s="15"/>
      <c r="N41" s="651">
        <v>36</v>
      </c>
      <c r="O41" s="652">
        <v>164.99800110000001</v>
      </c>
      <c r="P41" s="655">
        <v>158.25599670410099</v>
      </c>
      <c r="Q41" s="733">
        <v>158.2559967</v>
      </c>
      <c r="R41" s="276"/>
      <c r="S41" s="651">
        <v>36</v>
      </c>
      <c r="T41" s="652">
        <v>286.64699412499999</v>
      </c>
      <c r="U41" s="652">
        <v>280.34500217437699</v>
      </c>
      <c r="V41" s="733">
        <v>297.47899814000004</v>
      </c>
    </row>
    <row r="42" spans="1:22" ht="11.25" customHeight="1">
      <c r="A42" s="74"/>
      <c r="B42" s="73"/>
      <c r="C42" s="73"/>
      <c r="D42" s="73"/>
      <c r="E42" s="73"/>
      <c r="F42" s="73"/>
      <c r="G42" s="73"/>
      <c r="H42" s="73"/>
      <c r="I42" s="73"/>
      <c r="J42" s="6"/>
      <c r="K42" s="10"/>
      <c r="L42" s="15"/>
      <c r="N42" s="651">
        <v>37</v>
      </c>
      <c r="O42" s="652">
        <v>154.53400055</v>
      </c>
      <c r="P42" s="655">
        <v>147.34800720214801</v>
      </c>
      <c r="Q42" s="733">
        <v>147.34800720000001</v>
      </c>
      <c r="R42" s="276"/>
      <c r="S42" s="651">
        <v>37</v>
      </c>
      <c r="T42" s="652">
        <v>280.605003845</v>
      </c>
      <c r="U42" s="652">
        <v>273.90200042724575</v>
      </c>
      <c r="V42" s="733">
        <v>289.18600270099995</v>
      </c>
    </row>
    <row r="43" spans="1:22" ht="11.25" customHeight="1">
      <c r="A43" s="74"/>
      <c r="B43" s="73"/>
      <c r="C43" s="73"/>
      <c r="D43" s="73"/>
      <c r="E43" s="73"/>
      <c r="F43" s="73"/>
      <c r="G43" s="73"/>
      <c r="H43" s="73"/>
      <c r="I43" s="73"/>
      <c r="J43" s="3"/>
      <c r="K43" s="10"/>
      <c r="L43" s="15"/>
      <c r="N43" s="651">
        <v>38</v>
      </c>
      <c r="O43" s="652">
        <v>144.07</v>
      </c>
      <c r="P43" s="655">
        <v>136.64599609375</v>
      </c>
      <c r="Q43" s="733">
        <v>131.14500430000001</v>
      </c>
      <c r="R43" s="276"/>
      <c r="S43" s="651">
        <v>38</v>
      </c>
      <c r="T43" s="652">
        <v>274.21999999999997</v>
      </c>
      <c r="U43" s="652">
        <v>267.16300058364783</v>
      </c>
      <c r="V43" s="733">
        <v>281.63800617199996</v>
      </c>
    </row>
    <row r="44" spans="1:22" ht="11.25" customHeight="1">
      <c r="A44" s="74"/>
      <c r="B44" s="73"/>
      <c r="C44" s="73"/>
      <c r="D44" s="73"/>
      <c r="E44" s="73"/>
      <c r="F44" s="73"/>
      <c r="G44" s="73"/>
      <c r="H44" s="73"/>
      <c r="I44" s="73"/>
      <c r="J44" s="3"/>
      <c r="K44" s="10"/>
      <c r="L44" s="15"/>
      <c r="N44" s="651">
        <v>39</v>
      </c>
      <c r="O44" s="652">
        <v>135.725006103515</v>
      </c>
      <c r="P44" s="655">
        <v>131.14500430000001</v>
      </c>
      <c r="Q44" s="733">
        <v>117.1940002</v>
      </c>
      <c r="R44" s="276"/>
      <c r="S44" s="651">
        <v>39</v>
      </c>
      <c r="T44" s="652">
        <v>267.58499765396107</v>
      </c>
      <c r="U44" s="652">
        <v>262.426999588</v>
      </c>
      <c r="V44" s="733">
        <v>274.41000078900004</v>
      </c>
    </row>
    <row r="45" spans="1:22" ht="11.25" customHeight="1">
      <c r="A45" s="74"/>
      <c r="B45" s="73"/>
      <c r="C45" s="73"/>
      <c r="D45" s="73"/>
      <c r="E45" s="73"/>
      <c r="F45" s="73"/>
      <c r="G45" s="73"/>
      <c r="H45" s="73"/>
      <c r="I45" s="73"/>
      <c r="J45" s="11"/>
      <c r="K45" s="11"/>
      <c r="L45" s="11"/>
      <c r="N45" s="651">
        <v>40</v>
      </c>
      <c r="O45" s="652">
        <v>127.0559998</v>
      </c>
      <c r="P45" s="652">
        <v>120.7580032</v>
      </c>
      <c r="Q45" s="733">
        <v>113.2139969</v>
      </c>
      <c r="R45" s="276"/>
      <c r="S45" s="651">
        <v>40</v>
      </c>
      <c r="T45" s="652">
        <v>260.96199703900004</v>
      </c>
      <c r="U45" s="652">
        <v>258.968997</v>
      </c>
      <c r="V45" s="733">
        <v>267.74887463900001</v>
      </c>
    </row>
    <row r="46" spans="1:22" ht="11.25" customHeight="1">
      <c r="A46" s="74"/>
      <c r="B46" s="73"/>
      <c r="C46" s="73"/>
      <c r="D46" s="73"/>
      <c r="E46" s="73"/>
      <c r="F46" s="73"/>
      <c r="G46" s="73"/>
      <c r="H46" s="73"/>
      <c r="I46" s="73"/>
      <c r="J46" s="11"/>
      <c r="K46" s="11"/>
      <c r="L46" s="11"/>
      <c r="N46" s="651">
        <v>41</v>
      </c>
      <c r="O46" s="652">
        <v>110.13999939999999</v>
      </c>
      <c r="P46" s="652">
        <v>102.3249969</v>
      </c>
      <c r="Q46" s="733">
        <v>105.78199770000001</v>
      </c>
      <c r="R46" s="276"/>
      <c r="S46" s="651">
        <v>41</v>
      </c>
      <c r="T46" s="652">
        <v>253.29600046600001</v>
      </c>
      <c r="U46" s="652">
        <v>255.76199719799999</v>
      </c>
      <c r="V46" s="733">
        <v>261.11699532200004</v>
      </c>
    </row>
    <row r="47" spans="1:22" ht="11.25" customHeight="1">
      <c r="A47" s="74"/>
      <c r="B47" s="73"/>
      <c r="C47" s="73"/>
      <c r="D47" s="73"/>
      <c r="E47" s="73"/>
      <c r="F47" s="73"/>
      <c r="G47" s="73"/>
      <c r="H47" s="73"/>
      <c r="I47" s="73"/>
      <c r="J47" s="11"/>
      <c r="K47" s="11"/>
      <c r="L47" s="11"/>
      <c r="N47" s="651">
        <v>42</v>
      </c>
      <c r="O47" s="652">
        <v>100.61</v>
      </c>
      <c r="P47" s="652">
        <v>92.944999694824205</v>
      </c>
      <c r="Q47" s="733">
        <v>94.636001590000006</v>
      </c>
      <c r="R47" s="276"/>
      <c r="S47" s="651">
        <v>42</v>
      </c>
      <c r="T47" s="652">
        <v>246.06</v>
      </c>
      <c r="U47" s="652">
        <v>251.31199836730943</v>
      </c>
      <c r="V47" s="733">
        <v>255.18400193299999</v>
      </c>
    </row>
    <row r="48" spans="1:22" ht="11.25" customHeight="1">
      <c r="A48" s="74"/>
      <c r="B48" s="73"/>
      <c r="C48" s="73"/>
      <c r="D48" s="73"/>
      <c r="E48" s="73"/>
      <c r="F48" s="73"/>
      <c r="G48" s="73"/>
      <c r="H48" s="73"/>
      <c r="I48" s="73"/>
      <c r="J48" s="11"/>
      <c r="K48" s="11"/>
      <c r="L48" s="11"/>
      <c r="N48" s="651">
        <v>43</v>
      </c>
      <c r="O48" s="652">
        <v>95.484001160000005</v>
      </c>
      <c r="P48" s="652">
        <v>84.166999820000001</v>
      </c>
      <c r="Q48" s="733">
        <v>83.753997799999993</v>
      </c>
      <c r="R48" s="276"/>
      <c r="S48" s="651">
        <v>43</v>
      </c>
      <c r="T48" s="652">
        <v>241.02699661899999</v>
      </c>
      <c r="U48" s="652">
        <v>245.88199755799999</v>
      </c>
      <c r="V48" s="733">
        <v>247.82599997900002</v>
      </c>
    </row>
    <row r="49" spans="1:22" ht="11.25" customHeight="1">
      <c r="A49" s="74"/>
      <c r="B49" s="73"/>
      <c r="C49" s="73"/>
      <c r="D49" s="73"/>
      <c r="E49" s="73"/>
      <c r="F49" s="73"/>
      <c r="G49" s="73"/>
      <c r="H49" s="73"/>
      <c r="I49" s="73"/>
      <c r="J49" s="11"/>
      <c r="K49" s="11"/>
      <c r="L49" s="11"/>
      <c r="N49" s="651">
        <v>44</v>
      </c>
      <c r="O49" s="652">
        <v>89.581001279999995</v>
      </c>
      <c r="P49" s="652">
        <v>82.51499939</v>
      </c>
      <c r="Q49" s="733">
        <v>73.136001590000006</v>
      </c>
      <c r="R49" s="276"/>
      <c r="S49" s="651">
        <v>44</v>
      </c>
      <c r="T49" s="652">
        <v>234.19399833099999</v>
      </c>
      <c r="U49" s="652">
        <v>239.051002463</v>
      </c>
      <c r="V49" s="733">
        <v>240.19699645200001</v>
      </c>
    </row>
    <row r="50" spans="1:22" ht="12.75">
      <c r="A50" s="74"/>
      <c r="B50" s="73"/>
      <c r="C50" s="73"/>
      <c r="D50" s="73"/>
      <c r="E50" s="73"/>
      <c r="F50" s="73"/>
      <c r="G50" s="73"/>
      <c r="H50" s="73"/>
      <c r="I50" s="73"/>
      <c r="J50" s="11"/>
      <c r="K50" s="11"/>
      <c r="L50" s="11"/>
      <c r="N50" s="651">
        <v>45</v>
      </c>
      <c r="O50" s="652">
        <v>79.638999940000005</v>
      </c>
      <c r="P50" s="652">
        <v>72.33000183</v>
      </c>
      <c r="Q50" s="733">
        <v>72.33000183</v>
      </c>
      <c r="R50" s="276"/>
      <c r="S50" s="651">
        <v>45</v>
      </c>
      <c r="T50" s="652">
        <v>228.64612817499997</v>
      </c>
      <c r="U50" s="652">
        <v>232.679000852</v>
      </c>
      <c r="V50" s="733">
        <v>232.069998986</v>
      </c>
    </row>
    <row r="51" spans="1:22" ht="12.75">
      <c r="A51" s="74"/>
      <c r="B51" s="73"/>
      <c r="C51" s="73"/>
      <c r="D51" s="73"/>
      <c r="E51" s="73"/>
      <c r="F51" s="73"/>
      <c r="G51" s="73"/>
      <c r="H51" s="73"/>
      <c r="I51" s="73"/>
      <c r="J51" s="11"/>
      <c r="K51" s="11"/>
      <c r="L51" s="11"/>
      <c r="N51" s="651">
        <v>46</v>
      </c>
      <c r="O51" s="652">
        <v>80.049003600000006</v>
      </c>
      <c r="P51" s="652">
        <v>57.318000789999999</v>
      </c>
      <c r="Q51" s="733">
        <v>66.33699799</v>
      </c>
      <c r="R51" s="276"/>
      <c r="S51" s="651">
        <v>46</v>
      </c>
      <c r="T51" s="652">
        <v>222.81199835999999</v>
      </c>
      <c r="U51" s="652">
        <v>225.80399990800001</v>
      </c>
      <c r="V51" s="733">
        <v>224.04500101899998</v>
      </c>
    </row>
    <row r="52" spans="1:22" ht="12.75">
      <c r="A52" s="74"/>
      <c r="B52" s="73"/>
      <c r="C52" s="73"/>
      <c r="D52" s="73"/>
      <c r="E52" s="73"/>
      <c r="F52" s="73"/>
      <c r="G52" s="73"/>
      <c r="H52" s="73"/>
      <c r="I52" s="73"/>
      <c r="J52" s="11"/>
      <c r="K52" s="11"/>
      <c r="L52" s="11"/>
      <c r="N52" s="651">
        <v>47</v>
      </c>
      <c r="O52" s="652">
        <v>85.825996399999994</v>
      </c>
      <c r="P52" s="652">
        <v>44.738998410000001</v>
      </c>
      <c r="Q52" s="733">
        <v>59.261001589999999</v>
      </c>
      <c r="R52" s="276"/>
      <c r="S52" s="651">
        <v>47</v>
      </c>
      <c r="T52" s="652">
        <v>216.31200409100001</v>
      </c>
      <c r="U52" s="652">
        <v>219.24500608799997</v>
      </c>
      <c r="V52" s="733">
        <v>219.29099989100001</v>
      </c>
    </row>
    <row r="53" spans="1:22" ht="12.75">
      <c r="A53" s="74"/>
      <c r="B53" s="73"/>
      <c r="C53" s="73"/>
      <c r="D53" s="73"/>
      <c r="E53" s="73"/>
      <c r="F53" s="73"/>
      <c r="G53" s="73"/>
      <c r="H53" s="73"/>
      <c r="I53" s="73"/>
      <c r="J53" s="11"/>
      <c r="K53" s="11"/>
      <c r="L53" s="11"/>
      <c r="N53" s="651">
        <v>48</v>
      </c>
      <c r="O53" s="652">
        <v>77.596000669999995</v>
      </c>
      <c r="P53" s="652">
        <v>34.763999939999998</v>
      </c>
      <c r="Q53" s="733">
        <v>59.261001589999999</v>
      </c>
      <c r="R53" s="276"/>
      <c r="S53" s="651">
        <v>48</v>
      </c>
      <c r="T53" s="652">
        <v>210.250997547</v>
      </c>
      <c r="U53" s="652">
        <v>212.09200192</v>
      </c>
      <c r="V53" s="733">
        <v>216.02500223999999</v>
      </c>
    </row>
    <row r="54" spans="1:22" ht="13.5">
      <c r="A54" s="74"/>
      <c r="B54" s="73"/>
      <c r="C54" s="73"/>
      <c r="D54" s="73"/>
      <c r="E54" s="73"/>
      <c r="F54" s="73"/>
      <c r="G54" s="73"/>
      <c r="H54" s="73"/>
      <c r="I54" s="73"/>
      <c r="J54" s="11"/>
      <c r="K54" s="11"/>
      <c r="L54" s="11"/>
      <c r="N54" s="651">
        <v>49</v>
      </c>
      <c r="O54" s="738">
        <v>54.613998410000001</v>
      </c>
      <c r="P54" s="652">
        <v>27.915000920000001</v>
      </c>
      <c r="Q54" s="733">
        <v>47.749000549999998</v>
      </c>
      <c r="R54" s="276"/>
      <c r="S54" s="651">
        <v>49</v>
      </c>
      <c r="T54" s="652">
        <v>202.73299884100001</v>
      </c>
      <c r="U54" s="652">
        <v>206.70499944799997</v>
      </c>
      <c r="V54" s="733">
        <v>215.407995212</v>
      </c>
    </row>
    <row r="55" spans="1:22" ht="12.75">
      <c r="A55" s="74"/>
      <c r="B55" s="73"/>
      <c r="C55" s="73"/>
      <c r="D55" s="73"/>
      <c r="E55" s="73"/>
      <c r="F55" s="73"/>
      <c r="G55" s="73"/>
      <c r="H55" s="73"/>
      <c r="I55" s="73"/>
      <c r="J55" s="11"/>
      <c r="K55" s="11"/>
      <c r="L55" s="11"/>
      <c r="N55" s="651">
        <v>50</v>
      </c>
      <c r="O55" s="652">
        <v>64.358001709999996</v>
      </c>
      <c r="P55" s="652">
        <v>19.81399918</v>
      </c>
      <c r="Q55" s="733">
        <v>46.993999479999999</v>
      </c>
      <c r="R55" s="276"/>
      <c r="S55" s="651">
        <v>50</v>
      </c>
      <c r="T55" s="652">
        <v>195.51400422099999</v>
      </c>
      <c r="U55" s="652">
        <v>200.08300209800001</v>
      </c>
      <c r="V55" s="733">
        <v>212.33400107200001</v>
      </c>
    </row>
    <row r="56" spans="1:22" ht="12.75">
      <c r="A56" s="74"/>
      <c r="B56" s="73"/>
      <c r="C56" s="73"/>
      <c r="D56" s="73"/>
      <c r="E56" s="73"/>
      <c r="F56" s="73"/>
      <c r="G56" s="73"/>
      <c r="H56" s="73"/>
      <c r="I56" s="73"/>
      <c r="J56" s="11"/>
      <c r="K56" s="11"/>
      <c r="L56" s="11"/>
      <c r="N56" s="651">
        <v>51</v>
      </c>
      <c r="O56" s="652">
        <v>80.049003600000006</v>
      </c>
      <c r="P56" s="652">
        <v>22.256999969999999</v>
      </c>
      <c r="Q56" s="733">
        <v>35.858001710000003</v>
      </c>
      <c r="R56" s="276"/>
      <c r="S56" s="651">
        <v>51</v>
      </c>
      <c r="T56" s="652">
        <v>188.995997891</v>
      </c>
      <c r="U56" s="652">
        <v>200.81900405299996</v>
      </c>
      <c r="V56" s="733">
        <v>207.130002496</v>
      </c>
    </row>
    <row r="57" spans="1:22" ht="12.75">
      <c r="A57" s="74"/>
      <c r="B57" s="73"/>
      <c r="C57" s="73"/>
      <c r="D57" s="73"/>
      <c r="E57" s="73"/>
      <c r="F57" s="73"/>
      <c r="G57" s="73"/>
      <c r="H57" s="73"/>
      <c r="I57" s="73"/>
      <c r="N57" s="651">
        <v>52</v>
      </c>
      <c r="O57" s="652">
        <v>108.82900239999999</v>
      </c>
      <c r="P57" s="652">
        <v>51.54700089</v>
      </c>
      <c r="Q57" s="733">
        <v>31.502000809999998</v>
      </c>
      <c r="R57" s="276"/>
      <c r="S57" s="651">
        <v>52</v>
      </c>
      <c r="T57" s="652">
        <v>184.65400219100002</v>
      </c>
      <c r="U57" s="652">
        <v>217.92999649000001</v>
      </c>
      <c r="V57" s="733">
        <v>207.130002496</v>
      </c>
    </row>
    <row r="58" spans="1:22" ht="12.75">
      <c r="A58" s="74"/>
      <c r="B58" s="73"/>
      <c r="C58" s="73"/>
      <c r="D58" s="73"/>
      <c r="E58" s="73"/>
      <c r="F58" s="73"/>
      <c r="G58" s="73"/>
      <c r="H58" s="73"/>
      <c r="I58" s="73"/>
      <c r="N58" s="651">
        <v>53</v>
      </c>
      <c r="O58" s="276"/>
      <c r="P58" s="276">
        <v>140.34500120000001</v>
      </c>
      <c r="Q58" s="276"/>
      <c r="R58" s="276"/>
      <c r="S58" s="651">
        <v>53</v>
      </c>
      <c r="T58" s="652">
        <v>183.63100289100001</v>
      </c>
      <c r="U58" s="652"/>
      <c r="V58" s="733"/>
    </row>
    <row r="59" spans="1:22" ht="12.75">
      <c r="B59" s="73"/>
      <c r="C59" s="73"/>
      <c r="D59" s="73"/>
      <c r="E59" s="73"/>
      <c r="F59" s="73"/>
      <c r="G59" s="73"/>
      <c r="H59" s="73"/>
      <c r="I59" s="73"/>
    </row>
    <row r="60" spans="1:22" ht="12.75">
      <c r="A60" s="74"/>
      <c r="B60" s="73"/>
      <c r="C60" s="73"/>
      <c r="D60" s="73"/>
      <c r="E60" s="73"/>
      <c r="F60" s="73"/>
      <c r="G60" s="73"/>
      <c r="H60" s="73"/>
      <c r="I60" s="73"/>
    </row>
    <row r="63" spans="1:22">
      <c r="A63" s="263" t="s">
        <v>551</v>
      </c>
    </row>
  </sheetData>
  <mergeCells count="2">
    <mergeCell ref="A5:I5"/>
    <mergeCell ref="B7:C7"/>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02"/>
  <sheetViews>
    <sheetView showGridLines="0" view="pageBreakPreview" zoomScaleNormal="100" zoomScaleSheetLayoutView="100" workbookViewId="0">
      <selection activeCell="B18" sqref="M18"/>
    </sheetView>
  </sheetViews>
  <sheetFormatPr baseColWidth="10" defaultColWidth="9.33203125" defaultRowHeight="11.25"/>
  <cols>
    <col min="1" max="1" width="9.5" customWidth="1"/>
    <col min="2" max="2" width="11.5" customWidth="1"/>
    <col min="3" max="3" width="28.5" customWidth="1"/>
    <col min="4" max="5" width="12" customWidth="1"/>
    <col min="6" max="6" width="12.33203125" customWidth="1"/>
    <col min="7" max="7" width="11.1640625" customWidth="1"/>
    <col min="8" max="8" width="11.83203125" customWidth="1"/>
    <col min="9" max="9" width="9.33203125" customWidth="1"/>
    <col min="10" max="10" width="9.33203125" style="276"/>
    <col min="11" max="11" width="9.33203125" style="534"/>
    <col min="12" max="12" width="3.1640625" style="534" bestFit="1" customWidth="1"/>
    <col min="13" max="16" width="9.33203125" style="276"/>
    <col min="17" max="17" width="9.33203125" style="277"/>
    <col min="18" max="31" width="9.33203125" style="783"/>
    <col min="32" max="34" width="9.33203125" style="692"/>
  </cols>
  <sheetData>
    <row r="1" spans="1:15" ht="11.25" customHeight="1"/>
    <row r="2" spans="1:15" ht="11.25" customHeight="1">
      <c r="A2" s="17"/>
      <c r="B2" s="17"/>
      <c r="C2" s="17"/>
      <c r="D2" s="17"/>
      <c r="E2" s="73"/>
      <c r="F2" s="73"/>
      <c r="G2" s="73"/>
    </row>
    <row r="3" spans="1:15" ht="17.25" customHeight="1">
      <c r="A3" s="899" t="s">
        <v>379</v>
      </c>
      <c r="B3" s="899"/>
      <c r="C3" s="899"/>
      <c r="D3" s="899"/>
      <c r="E3" s="899"/>
      <c r="F3" s="899"/>
      <c r="G3" s="899"/>
      <c r="H3" s="36"/>
      <c r="I3" s="36"/>
      <c r="K3" s="534" t="s">
        <v>260</v>
      </c>
      <c r="M3" s="276" t="s">
        <v>261</v>
      </c>
      <c r="N3" s="276" t="s">
        <v>262</v>
      </c>
      <c r="O3" s="276" t="s">
        <v>263</v>
      </c>
    </row>
    <row r="4" spans="1:15" ht="11.25" customHeight="1">
      <c r="A4" s="74"/>
      <c r="B4" s="73"/>
      <c r="C4" s="73"/>
      <c r="D4" s="73"/>
      <c r="E4" s="73"/>
      <c r="F4" s="73"/>
      <c r="G4" s="73"/>
      <c r="H4" s="36"/>
      <c r="I4" s="36"/>
      <c r="J4" s="276">
        <v>2019</v>
      </c>
      <c r="K4" s="534">
        <v>1</v>
      </c>
      <c r="L4" s="534">
        <v>1</v>
      </c>
      <c r="M4" s="656">
        <v>27.79999951142857</v>
      </c>
      <c r="N4" s="656">
        <v>78.298570904285711</v>
      </c>
      <c r="O4" s="656">
        <v>21.927143370000003</v>
      </c>
    </row>
    <row r="5" spans="1:15" ht="11.25" customHeight="1">
      <c r="A5" s="74"/>
      <c r="B5" s="73"/>
      <c r="C5" s="73"/>
      <c r="D5" s="73"/>
      <c r="E5" s="73"/>
      <c r="F5" s="73"/>
      <c r="G5" s="73"/>
      <c r="H5" s="12"/>
      <c r="I5" s="12"/>
      <c r="L5" s="534">
        <v>2</v>
      </c>
      <c r="M5" s="656">
        <v>28.678571428571427</v>
      </c>
      <c r="N5" s="656">
        <v>95.081715179999989</v>
      </c>
      <c r="O5" s="656">
        <v>22.397999900000002</v>
      </c>
    </row>
    <row r="6" spans="1:15" ht="29.25" customHeight="1">
      <c r="A6" s="136"/>
      <c r="C6" s="374" t="s">
        <v>144</v>
      </c>
      <c r="D6" s="377" t="str">
        <f>UPPER('1. Resumen'!Q4)&amp;"
 "&amp;'1. Resumen'!Q5</f>
        <v>JUNIO
 2022</v>
      </c>
      <c r="E6" s="378" t="str">
        <f>UPPER('1. Resumen'!Q4)&amp;"
 "&amp;'1. Resumen'!Q5-1</f>
        <v>JUNIO
 2021</v>
      </c>
      <c r="F6" s="379" t="s">
        <v>432</v>
      </c>
      <c r="G6" s="138"/>
      <c r="H6" s="24"/>
      <c r="I6" s="12"/>
      <c r="L6" s="534">
        <v>3</v>
      </c>
      <c r="M6" s="656">
        <v>44.51</v>
      </c>
      <c r="N6" s="656">
        <v>95.65</v>
      </c>
      <c r="O6" s="656">
        <v>17.61</v>
      </c>
    </row>
    <row r="7" spans="1:15" ht="11.25" customHeight="1">
      <c r="A7" s="174"/>
      <c r="C7" s="425" t="s">
        <v>145</v>
      </c>
      <c r="D7" s="426">
        <v>8.5739332993825119</v>
      </c>
      <c r="E7" s="565">
        <v>9.3966667175292837</v>
      </c>
      <c r="F7" s="427">
        <f>IF(E7=0,"",(D7-E7)/E7)</f>
        <v>-8.7555879428178496E-2</v>
      </c>
      <c r="G7" s="138"/>
      <c r="H7" s="25"/>
      <c r="I7" s="3"/>
      <c r="L7" s="534">
        <v>4</v>
      </c>
      <c r="M7" s="656">
        <v>73.323141914285699</v>
      </c>
      <c r="N7" s="656">
        <v>109.29957036285714</v>
      </c>
      <c r="O7" s="656">
        <v>17.638000354285712</v>
      </c>
    </row>
    <row r="8" spans="1:15" ht="11.25" customHeight="1">
      <c r="A8" s="174"/>
      <c r="C8" s="428" t="s">
        <v>151</v>
      </c>
      <c r="D8" s="429">
        <v>12.781333319346064</v>
      </c>
      <c r="E8" s="429">
        <v>10.039966646830219</v>
      </c>
      <c r="F8" s="430">
        <f t="shared" ref="F8:F30" si="0">IF(E8=0,"",(D8-E8)/E8)</f>
        <v>0.27304539635909436</v>
      </c>
      <c r="G8" s="138"/>
      <c r="H8" s="23"/>
      <c r="I8" s="3"/>
      <c r="L8" s="534">
        <v>5</v>
      </c>
      <c r="M8" s="656">
        <v>103.17716724333333</v>
      </c>
      <c r="N8" s="656">
        <v>149.65083311999999</v>
      </c>
      <c r="O8" s="656">
        <v>19.218833289999999</v>
      </c>
    </row>
    <row r="9" spans="1:15" ht="11.25" customHeight="1">
      <c r="A9" s="174"/>
      <c r="C9" s="431" t="s">
        <v>152</v>
      </c>
      <c r="D9" s="432">
        <v>43.952833302815741</v>
      </c>
      <c r="E9" s="432">
        <v>46.861100006103484</v>
      </c>
      <c r="F9" s="433">
        <f t="shared" si="0"/>
        <v>-6.2061426276996332E-2</v>
      </c>
      <c r="G9" s="138"/>
      <c r="H9" s="25"/>
      <c r="I9" s="3"/>
      <c r="L9" s="534">
        <v>6</v>
      </c>
      <c r="M9" s="656">
        <v>79.165714285714287</v>
      </c>
      <c r="N9" s="656">
        <v>136.57714285714286</v>
      </c>
      <c r="O9" s="656">
        <v>57.185714285714276</v>
      </c>
    </row>
    <row r="10" spans="1:15" ht="11.25" customHeight="1">
      <c r="A10" s="174"/>
      <c r="C10" s="428" t="s">
        <v>159</v>
      </c>
      <c r="D10" s="429">
        <v>35.083655258704816</v>
      </c>
      <c r="E10" s="429">
        <v>36.207733217875116</v>
      </c>
      <c r="F10" s="430">
        <f t="shared" si="0"/>
        <v>-3.1045245290731511E-2</v>
      </c>
      <c r="G10" s="138"/>
      <c r="H10" s="25"/>
      <c r="I10" s="3"/>
      <c r="L10" s="534">
        <v>7</v>
      </c>
      <c r="M10" s="656">
        <v>120.02256992142858</v>
      </c>
      <c r="N10" s="656">
        <v>224.71071514285714</v>
      </c>
      <c r="O10" s="656">
        <v>118.06042697857141</v>
      </c>
    </row>
    <row r="11" spans="1:15" ht="11.25" customHeight="1">
      <c r="A11" s="174"/>
      <c r="C11" s="431" t="s">
        <v>160</v>
      </c>
      <c r="D11" s="432">
        <v>33.569241227774747</v>
      </c>
      <c r="E11" s="432">
        <v>45.274099604288708</v>
      </c>
      <c r="F11" s="433">
        <f t="shared" si="0"/>
        <v>-0.25853321167772464</v>
      </c>
      <c r="G11" s="138"/>
      <c r="H11" s="25"/>
      <c r="I11" s="3"/>
      <c r="K11" s="534">
        <v>8</v>
      </c>
      <c r="L11" s="534">
        <v>8</v>
      </c>
      <c r="M11" s="656">
        <v>97.560142514285715</v>
      </c>
      <c r="N11" s="656">
        <v>198.04342652857142</v>
      </c>
      <c r="O11" s="656">
        <v>106.29885756428571</v>
      </c>
    </row>
    <row r="12" spans="1:15" ht="11.25" customHeight="1">
      <c r="A12" s="174"/>
      <c r="C12" s="428" t="s">
        <v>162</v>
      </c>
      <c r="D12" s="429">
        <v>14.318466695149709</v>
      </c>
      <c r="E12" s="429">
        <v>11.14326664606727</v>
      </c>
      <c r="F12" s="430">
        <f t="shared" si="0"/>
        <v>0.28494337880742043</v>
      </c>
      <c r="G12" s="138"/>
      <c r="H12" s="25"/>
      <c r="I12" s="3"/>
      <c r="L12" s="534">
        <v>9</v>
      </c>
      <c r="M12" s="656">
        <v>97.560142514285715</v>
      </c>
      <c r="N12" s="656">
        <v>191.0112849857143</v>
      </c>
      <c r="O12" s="656">
        <v>142.12385776285717</v>
      </c>
    </row>
    <row r="13" spans="1:15" ht="11.25" customHeight="1">
      <c r="A13" s="174"/>
      <c r="C13" s="431" t="s">
        <v>150</v>
      </c>
      <c r="D13" s="432">
        <v>18.530694444444446</v>
      </c>
      <c r="E13" s="432">
        <v>19.206944444444446</v>
      </c>
      <c r="F13" s="433">
        <f t="shared" si="0"/>
        <v>-3.5208619567575358E-2</v>
      </c>
      <c r="G13" s="138"/>
      <c r="H13" s="23"/>
      <c r="I13" s="3"/>
      <c r="L13" s="534">
        <v>10</v>
      </c>
      <c r="M13" s="656">
        <v>97.497286117142863</v>
      </c>
      <c r="N13" s="656">
        <v>215.64014109999999</v>
      </c>
      <c r="O13" s="656">
        <v>164.59685624285717</v>
      </c>
    </row>
    <row r="14" spans="1:15" ht="11.25" customHeight="1">
      <c r="A14" s="174"/>
      <c r="C14" s="428" t="s">
        <v>251</v>
      </c>
      <c r="D14" s="429">
        <v>31.913205718994082</v>
      </c>
      <c r="E14" s="429">
        <v>19.111965465545609</v>
      </c>
      <c r="F14" s="430">
        <f t="shared" si="0"/>
        <v>0.66980239560008137</v>
      </c>
      <c r="G14" s="138"/>
      <c r="H14" s="25"/>
      <c r="I14" s="3"/>
      <c r="L14" s="534">
        <v>11</v>
      </c>
      <c r="M14" s="656">
        <v>98.21585736955906</v>
      </c>
      <c r="N14" s="656">
        <v>236.76099940708642</v>
      </c>
      <c r="O14" s="656">
        <v>121.6507121494835</v>
      </c>
    </row>
    <row r="15" spans="1:15" ht="11.25" customHeight="1">
      <c r="A15" s="174"/>
      <c r="C15" s="431" t="s">
        <v>252</v>
      </c>
      <c r="D15" s="432">
        <v>52.371333440144817</v>
      </c>
      <c r="E15" s="432">
        <v>49.236166636149065</v>
      </c>
      <c r="F15" s="433">
        <f t="shared" si="0"/>
        <v>6.3676094590473672E-2</v>
      </c>
      <c r="G15" s="138"/>
      <c r="H15" s="25"/>
      <c r="I15" s="3"/>
      <c r="L15" s="534">
        <v>12</v>
      </c>
      <c r="M15" s="656">
        <v>91.857713972857141</v>
      </c>
      <c r="N15" s="656">
        <v>250.8679761904763</v>
      </c>
      <c r="O15" s="656">
        <v>166.63136904761905</v>
      </c>
    </row>
    <row r="16" spans="1:15" ht="11.25" customHeight="1">
      <c r="A16" s="174"/>
      <c r="C16" s="428" t="s">
        <v>157</v>
      </c>
      <c r="D16" s="429">
        <v>16.900966739654496</v>
      </c>
      <c r="E16" s="429">
        <v>18.64833342234289</v>
      </c>
      <c r="F16" s="430">
        <f t="shared" si="0"/>
        <v>-9.3700956708273136E-2</v>
      </c>
      <c r="G16" s="138"/>
      <c r="H16" s="25"/>
      <c r="I16" s="3"/>
      <c r="L16" s="534">
        <v>13</v>
      </c>
      <c r="M16" s="656">
        <v>100.0137132957143</v>
      </c>
      <c r="N16" s="656">
        <v>301.45971681428574</v>
      </c>
      <c r="O16" s="656">
        <v>180.07000078571429</v>
      </c>
    </row>
    <row r="17" spans="1:15" ht="11.25" customHeight="1">
      <c r="A17" s="174"/>
      <c r="C17" s="431" t="s">
        <v>161</v>
      </c>
      <c r="D17" s="432">
        <v>9.2372332890828375</v>
      </c>
      <c r="E17" s="432">
        <v>10.758033466339084</v>
      </c>
      <c r="F17" s="433">
        <f t="shared" si="0"/>
        <v>-0.14136414262092539</v>
      </c>
      <c r="G17" s="138"/>
      <c r="H17" s="25"/>
      <c r="I17" s="3"/>
      <c r="L17" s="534">
        <v>14</v>
      </c>
      <c r="M17" s="656">
        <v>84.272714885714294</v>
      </c>
      <c r="N17" s="656">
        <v>253.08542525714284</v>
      </c>
      <c r="O17" s="656">
        <v>143.43971579999999</v>
      </c>
    </row>
    <row r="18" spans="1:15" ht="11.25" customHeight="1">
      <c r="A18" s="174"/>
      <c r="C18" s="428" t="s">
        <v>253</v>
      </c>
      <c r="D18" s="429">
        <v>12.004166316986034</v>
      </c>
      <c r="E18" s="429">
        <v>11.970528348286908</v>
      </c>
      <c r="F18" s="430">
        <f t="shared" si="0"/>
        <v>2.8100654975633512E-3</v>
      </c>
      <c r="G18" s="138"/>
      <c r="H18" s="25"/>
      <c r="I18" s="3"/>
      <c r="L18" s="534">
        <v>15</v>
      </c>
      <c r="M18" s="656">
        <v>61.074856892857142</v>
      </c>
      <c r="N18" s="656">
        <v>253.08542525714284</v>
      </c>
      <c r="O18" s="656">
        <v>152.6561442857143</v>
      </c>
    </row>
    <row r="19" spans="1:15" ht="11.25" customHeight="1">
      <c r="A19" s="174"/>
      <c r="C19" s="431" t="s">
        <v>254</v>
      </c>
      <c r="D19" s="432">
        <v>16.781805555555543</v>
      </c>
      <c r="E19" s="432">
        <v>17.146564673157165</v>
      </c>
      <c r="F19" s="433">
        <f t="shared" si="0"/>
        <v>-2.127301442327104E-2</v>
      </c>
      <c r="G19" s="138"/>
      <c r="H19" s="25"/>
      <c r="I19" s="3"/>
      <c r="K19" s="534">
        <v>16</v>
      </c>
      <c r="L19" s="534">
        <v>16</v>
      </c>
      <c r="M19" s="656">
        <v>47.843714031428576</v>
      </c>
      <c r="N19" s="656">
        <v>141.0458592</v>
      </c>
      <c r="O19" s="656">
        <v>83.844285145714295</v>
      </c>
    </row>
    <row r="20" spans="1:15" ht="11.25" customHeight="1">
      <c r="A20" s="174"/>
      <c r="C20" s="428" t="s">
        <v>255</v>
      </c>
      <c r="D20" s="429">
        <v>0.90586665868758942</v>
      </c>
      <c r="E20" s="429">
        <v>1.1673666596412631</v>
      </c>
      <c r="F20" s="430">
        <f t="shared" si="0"/>
        <v>-0.22400845423667809</v>
      </c>
      <c r="G20" s="138"/>
      <c r="H20" s="25"/>
      <c r="I20" s="3"/>
      <c r="L20" s="534">
        <v>17</v>
      </c>
      <c r="M20" s="656">
        <v>50.907143728571427</v>
      </c>
      <c r="N20" s="656">
        <v>123.86656951428571</v>
      </c>
      <c r="O20" s="656">
        <v>125.28814153857142</v>
      </c>
    </row>
    <row r="21" spans="1:15" ht="11.25" customHeight="1">
      <c r="A21" s="174"/>
      <c r="C21" s="431" t="s">
        <v>148</v>
      </c>
      <c r="D21" s="432">
        <v>99.056667073567496</v>
      </c>
      <c r="E21" s="432">
        <v>96.695999399820849</v>
      </c>
      <c r="F21" s="433">
        <f t="shared" si="0"/>
        <v>2.4413292053435467E-2</v>
      </c>
      <c r="G21" s="138"/>
      <c r="H21" s="25"/>
      <c r="I21" s="3"/>
      <c r="L21" s="534">
        <v>18</v>
      </c>
      <c r="M21" s="656">
        <v>39.120999471428568</v>
      </c>
      <c r="N21" s="656">
        <v>85.173857551428583</v>
      </c>
      <c r="O21" s="656">
        <v>66.347143447142855</v>
      </c>
    </row>
    <row r="22" spans="1:15" ht="11.25" customHeight="1">
      <c r="A22" s="174"/>
      <c r="C22" s="428" t="s">
        <v>146</v>
      </c>
      <c r="D22" s="429">
        <v>1.5648333450158418</v>
      </c>
      <c r="E22" s="429">
        <v>0.3729999959468841</v>
      </c>
      <c r="F22" s="430">
        <f t="shared" si="0"/>
        <v>3.1952637051467341</v>
      </c>
      <c r="G22" s="138"/>
      <c r="H22" s="25"/>
      <c r="I22" s="3"/>
      <c r="L22" s="534">
        <v>19</v>
      </c>
      <c r="M22" s="656">
        <v>35.410856791428571</v>
      </c>
      <c r="N22" s="656">
        <v>71.224285714285699</v>
      </c>
      <c r="O22" s="656">
        <v>42.216071428571425</v>
      </c>
    </row>
    <row r="23" spans="1:15" ht="11.25" customHeight="1">
      <c r="A23" s="174"/>
      <c r="C23" s="431" t="s">
        <v>147</v>
      </c>
      <c r="D23" s="432">
        <v>20.771699523925733</v>
      </c>
      <c r="E23" s="432">
        <v>22.21783292293544</v>
      </c>
      <c r="F23" s="433">
        <f t="shared" si="0"/>
        <v>-6.5088859207185101E-2</v>
      </c>
      <c r="G23" s="138"/>
      <c r="H23" s="25"/>
      <c r="I23" s="3"/>
      <c r="L23" s="534">
        <v>20</v>
      </c>
      <c r="M23" s="656">
        <v>32.405142920000003</v>
      </c>
      <c r="N23" s="656">
        <v>76.857142859999996</v>
      </c>
      <c r="O23" s="656">
        <v>58.324429100000003</v>
      </c>
    </row>
    <row r="24" spans="1:15" ht="11.25" customHeight="1">
      <c r="A24" s="174"/>
      <c r="C24" s="428" t="s">
        <v>163</v>
      </c>
      <c r="D24" s="429">
        <v>13.309766737619992</v>
      </c>
      <c r="E24" s="429">
        <v>10.938766670227016</v>
      </c>
      <c r="F24" s="430">
        <f t="shared" si="0"/>
        <v>0.21675204699688222</v>
      </c>
      <c r="G24" s="138"/>
      <c r="H24" s="26"/>
      <c r="I24" s="3"/>
      <c r="L24" s="534">
        <v>21</v>
      </c>
      <c r="M24" s="656">
        <v>26.58385740142857</v>
      </c>
      <c r="N24" s="656">
        <v>47.97114345</v>
      </c>
      <c r="O24" s="656">
        <v>34.032571519999998</v>
      </c>
    </row>
    <row r="25" spans="1:15" ht="11.25" customHeight="1">
      <c r="A25" s="138"/>
      <c r="C25" s="431" t="s">
        <v>153</v>
      </c>
      <c r="D25" s="432">
        <v>5.3478033045927527</v>
      </c>
      <c r="E25" s="432">
        <v>1.569806347290674</v>
      </c>
      <c r="F25" s="433">
        <f t="shared" si="0"/>
        <v>2.4066643403643493</v>
      </c>
      <c r="G25" s="158"/>
      <c r="H25" s="25"/>
      <c r="I25" s="3"/>
      <c r="L25" s="534">
        <v>22</v>
      </c>
      <c r="M25" s="656">
        <v>19.653714315714286</v>
      </c>
      <c r="N25" s="656">
        <v>37.624285945285713</v>
      </c>
      <c r="O25" s="656">
        <v>40.524285998571429</v>
      </c>
    </row>
    <row r="26" spans="1:15" ht="11.25" customHeight="1">
      <c r="A26" s="175"/>
      <c r="C26" s="428" t="s">
        <v>154</v>
      </c>
      <c r="D26" s="429">
        <v>1.2737666745980534</v>
      </c>
      <c r="E26" s="429">
        <v>1.4969000061353017</v>
      </c>
      <c r="F26" s="430">
        <f t="shared" si="0"/>
        <v>-0.14906361856015637</v>
      </c>
      <c r="G26" s="138"/>
      <c r="H26" s="23"/>
      <c r="I26" s="3"/>
      <c r="L26" s="534">
        <v>23</v>
      </c>
      <c r="M26" s="656">
        <v>16.50400011857143</v>
      </c>
      <c r="N26" s="656">
        <v>37.806285858571421</v>
      </c>
      <c r="O26" s="656">
        <v>25.010571342857141</v>
      </c>
    </row>
    <row r="27" spans="1:15" ht="11.25" customHeight="1">
      <c r="A27" s="138"/>
      <c r="C27" s="431" t="s">
        <v>155</v>
      </c>
      <c r="D27" s="432">
        <v>0.12443333299209659</v>
      </c>
      <c r="E27" s="432">
        <v>3.6566666265328701E-2</v>
      </c>
      <c r="F27" s="433">
        <f t="shared" si="0"/>
        <v>2.4029170745072856</v>
      </c>
      <c r="G27" s="138"/>
      <c r="H27" s="23"/>
      <c r="I27" s="3"/>
      <c r="L27" s="534">
        <v>24</v>
      </c>
      <c r="M27" s="656">
        <v>14.890428544285713</v>
      </c>
      <c r="N27" s="656">
        <v>35.468714032857143</v>
      </c>
      <c r="O27" s="656">
        <v>18.242713997857145</v>
      </c>
    </row>
    <row r="28" spans="1:15" ht="11.25" customHeight="1">
      <c r="A28" s="138"/>
      <c r="C28" s="428" t="s">
        <v>156</v>
      </c>
      <c r="D28" s="429">
        <v>0</v>
      </c>
      <c r="E28" s="429">
        <v>0</v>
      </c>
      <c r="F28" s="430" t="str">
        <f t="shared" si="0"/>
        <v/>
      </c>
      <c r="G28" s="138"/>
      <c r="H28" s="23"/>
      <c r="I28" s="3"/>
      <c r="L28" s="534">
        <v>25</v>
      </c>
      <c r="M28" s="656">
        <v>15.340000017142858</v>
      </c>
      <c r="N28" s="656">
        <v>33.200142724285719</v>
      </c>
      <c r="O28" s="656">
        <v>16.013142995714286</v>
      </c>
    </row>
    <row r="29" spans="1:15" ht="11.25" customHeight="1">
      <c r="A29" s="158"/>
      <c r="C29" s="431" t="s">
        <v>158</v>
      </c>
      <c r="D29" s="432">
        <v>2.6495836521188378</v>
      </c>
      <c r="E29" s="432">
        <v>2.5638143420219381</v>
      </c>
      <c r="F29" s="433">
        <f t="shared" si="0"/>
        <v>3.3453791365118196E-2</v>
      </c>
      <c r="G29" s="176"/>
      <c r="H29" s="23"/>
      <c r="I29" s="3"/>
      <c r="K29" s="534">
        <v>26</v>
      </c>
      <c r="L29" s="534">
        <v>26</v>
      </c>
      <c r="M29" s="656">
        <v>15.521142687142857</v>
      </c>
      <c r="N29" s="656">
        <v>28.376285825714287</v>
      </c>
      <c r="O29" s="656">
        <v>12.961571557142857</v>
      </c>
    </row>
    <row r="30" spans="1:15" ht="11.25" customHeight="1">
      <c r="A30" s="175"/>
      <c r="C30" s="434" t="s">
        <v>149</v>
      </c>
      <c r="D30" s="435">
        <v>1.8269444444444443</v>
      </c>
      <c r="E30" s="435">
        <v>1.3812500000000001</v>
      </c>
      <c r="F30" s="436">
        <f t="shared" si="0"/>
        <v>0.32267471091000482</v>
      </c>
      <c r="G30" s="138"/>
      <c r="H30" s="25"/>
      <c r="I30" s="3"/>
      <c r="L30" s="534">
        <v>27</v>
      </c>
      <c r="M30" s="656">
        <v>15.32</v>
      </c>
      <c r="N30" s="656">
        <v>28.47</v>
      </c>
      <c r="O30" s="656">
        <v>11.39</v>
      </c>
    </row>
    <row r="31" spans="1:15" ht="11.25" customHeight="1">
      <c r="A31" s="137"/>
      <c r="C31" s="264" t="str">
        <f>"Cuadro N°10: Promedio de caudales en "&amp;'1. Resumen'!Q4</f>
        <v>Cuadro N°10: Promedio de caudales en junio</v>
      </c>
      <c r="D31" s="137"/>
      <c r="E31" s="137"/>
      <c r="F31" s="137"/>
      <c r="G31" s="137"/>
      <c r="H31" s="25"/>
      <c r="I31" s="6"/>
      <c r="L31" s="534">
        <v>28</v>
      </c>
      <c r="M31" s="656">
        <v>14.809428488571427</v>
      </c>
      <c r="N31" s="656">
        <v>28.920333226666667</v>
      </c>
      <c r="O31" s="656">
        <v>11.405166626666668</v>
      </c>
    </row>
    <row r="32" spans="1:15" ht="11.25" customHeight="1">
      <c r="A32" s="137"/>
      <c r="B32" s="137"/>
      <c r="C32" s="137"/>
      <c r="D32" s="137"/>
      <c r="E32" s="137"/>
      <c r="F32" s="137"/>
      <c r="G32" s="137"/>
      <c r="H32" s="25"/>
      <c r="I32" s="6"/>
      <c r="L32" s="534">
        <v>29</v>
      </c>
      <c r="M32" s="656">
        <v>13.666428565978956</v>
      </c>
      <c r="N32" s="656">
        <v>24.422333717346149</v>
      </c>
      <c r="O32" s="656">
        <v>10.173999945322651</v>
      </c>
    </row>
    <row r="33" spans="1:15" ht="11.25" customHeight="1">
      <c r="A33" s="137"/>
      <c r="B33" s="137"/>
      <c r="C33" s="137"/>
      <c r="D33" s="137"/>
      <c r="E33" s="137"/>
      <c r="F33" s="137"/>
      <c r="G33" s="137"/>
      <c r="H33" s="25"/>
      <c r="I33" s="6"/>
      <c r="L33" s="534">
        <v>30</v>
      </c>
      <c r="M33" s="656">
        <v>13.392857142857142</v>
      </c>
      <c r="N33" s="656">
        <v>24.086666666666662</v>
      </c>
      <c r="O33" s="656">
        <v>9.1716666666666669</v>
      </c>
    </row>
    <row r="34" spans="1:15" ht="11.25" customHeight="1">
      <c r="A34" s="137"/>
      <c r="B34" s="137"/>
      <c r="C34" s="137"/>
      <c r="D34" s="137"/>
      <c r="E34" s="137"/>
      <c r="F34" s="137"/>
      <c r="G34" s="137"/>
      <c r="H34" s="25"/>
      <c r="I34" s="6"/>
      <c r="L34" s="534">
        <v>31</v>
      </c>
      <c r="M34" s="656">
        <v>13.098428589999999</v>
      </c>
      <c r="N34" s="656">
        <v>22.471285411428575</v>
      </c>
      <c r="O34" s="656">
        <v>8.5915715354285727</v>
      </c>
    </row>
    <row r="35" spans="1:15" ht="17.25" customHeight="1">
      <c r="A35" s="899" t="s">
        <v>380</v>
      </c>
      <c r="B35" s="899"/>
      <c r="C35" s="899"/>
      <c r="D35" s="899"/>
      <c r="E35" s="899"/>
      <c r="F35" s="899"/>
      <c r="G35" s="899"/>
      <c r="H35" s="25"/>
      <c r="I35" s="6"/>
      <c r="L35" s="534">
        <v>32</v>
      </c>
      <c r="M35" s="656">
        <v>12.228285654285713</v>
      </c>
      <c r="N35" s="656">
        <v>25.212714058571429</v>
      </c>
      <c r="O35" s="656">
        <v>6.6260000637142857</v>
      </c>
    </row>
    <row r="36" spans="1:15" ht="11.25" customHeight="1">
      <c r="A36" s="137"/>
      <c r="B36" s="137"/>
      <c r="C36" s="137"/>
      <c r="D36" s="137"/>
      <c r="E36" s="137"/>
      <c r="F36" s="137"/>
      <c r="G36" s="137"/>
      <c r="H36" s="25"/>
      <c r="I36" s="6"/>
      <c r="L36" s="534">
        <v>33</v>
      </c>
      <c r="M36" s="656">
        <v>12.838714327142856</v>
      </c>
      <c r="N36" s="656">
        <v>28.061000278571431</v>
      </c>
      <c r="O36" s="656">
        <v>5.9311428751428581</v>
      </c>
    </row>
    <row r="37" spans="1:15" ht="11.25" customHeight="1">
      <c r="A37" s="136"/>
      <c r="B37" s="138"/>
      <c r="C37" s="138"/>
      <c r="D37" s="138"/>
      <c r="E37" s="138"/>
      <c r="F37" s="138"/>
      <c r="G37" s="138"/>
      <c r="H37" s="26"/>
      <c r="I37" s="6"/>
      <c r="K37" s="534">
        <v>34</v>
      </c>
      <c r="L37" s="534">
        <v>34</v>
      </c>
      <c r="M37" s="656">
        <v>12.37928554</v>
      </c>
      <c r="N37" s="656">
        <v>28.455856868571431</v>
      </c>
      <c r="O37" s="656">
        <v>5.2604285648571434</v>
      </c>
    </row>
    <row r="38" spans="1:15" ht="11.25" customHeight="1">
      <c r="A38" s="74"/>
      <c r="B38" s="73"/>
      <c r="C38" s="73"/>
      <c r="D38" s="73"/>
      <c r="E38" s="73"/>
      <c r="F38" s="73"/>
      <c r="G38" s="73"/>
      <c r="H38" s="3"/>
      <c r="I38" s="6"/>
      <c r="L38" s="534">
        <v>35</v>
      </c>
      <c r="M38" s="656">
        <v>11.92371409142857</v>
      </c>
      <c r="N38" s="656">
        <v>26.646000226666668</v>
      </c>
      <c r="O38" s="656">
        <v>4.7316666444999997</v>
      </c>
    </row>
    <row r="39" spans="1:15" ht="11.25" customHeight="1">
      <c r="A39" s="74"/>
      <c r="B39" s="73"/>
      <c r="C39" s="73"/>
      <c r="D39" s="73"/>
      <c r="E39" s="73"/>
      <c r="F39" s="73"/>
      <c r="G39" s="73"/>
      <c r="H39" s="3"/>
      <c r="I39" s="10"/>
      <c r="L39" s="534">
        <v>36</v>
      </c>
      <c r="M39" s="656">
        <v>10.731857162857143</v>
      </c>
      <c r="N39" s="656">
        <v>27.720570974285714</v>
      </c>
      <c r="O39" s="656">
        <v>4.5542856622857144</v>
      </c>
    </row>
    <row r="40" spans="1:15" ht="11.25" customHeight="1">
      <c r="A40" s="74"/>
      <c r="B40" s="73"/>
      <c r="C40" s="73"/>
      <c r="D40" s="73"/>
      <c r="E40" s="73"/>
      <c r="F40" s="73"/>
      <c r="G40" s="73"/>
      <c r="H40" s="3"/>
      <c r="I40" s="10"/>
      <c r="L40" s="534">
        <v>37</v>
      </c>
      <c r="M40" s="656">
        <v>11.481428825714286</v>
      </c>
      <c r="N40" s="656">
        <v>27.967571258571429</v>
      </c>
      <c r="O40" s="656">
        <v>4.1919999124285718</v>
      </c>
    </row>
    <row r="41" spans="1:15" ht="11.25" customHeight="1">
      <c r="A41" s="74"/>
      <c r="B41" s="73"/>
      <c r="C41" s="73"/>
      <c r="D41" s="73"/>
      <c r="E41" s="73"/>
      <c r="F41" s="73"/>
      <c r="G41" s="73"/>
      <c r="H41" s="3"/>
      <c r="I41" s="7"/>
      <c r="L41" s="534">
        <v>38</v>
      </c>
      <c r="M41" s="656">
        <v>12.217142857142859</v>
      </c>
      <c r="N41" s="656">
        <v>31.354000000000003</v>
      </c>
      <c r="O41" s="656">
        <v>4.1759999999999993</v>
      </c>
    </row>
    <row r="42" spans="1:15" ht="11.25" customHeight="1">
      <c r="A42" s="74"/>
      <c r="B42" s="73"/>
      <c r="C42" s="73"/>
      <c r="D42" s="73"/>
      <c r="E42" s="73"/>
      <c r="F42" s="73"/>
      <c r="G42" s="73"/>
      <c r="H42" s="3"/>
      <c r="I42" s="7"/>
      <c r="L42" s="534">
        <v>39</v>
      </c>
      <c r="M42" s="656">
        <v>15.0261430740356</v>
      </c>
      <c r="N42" s="656">
        <v>37.146399307250938</v>
      </c>
      <c r="O42" s="656">
        <v>4.8932001113891559</v>
      </c>
    </row>
    <row r="43" spans="1:15" ht="11.25" customHeight="1">
      <c r="A43" s="74"/>
      <c r="B43" s="73"/>
      <c r="C43" s="73"/>
      <c r="D43" s="73"/>
      <c r="E43" s="73"/>
      <c r="F43" s="73"/>
      <c r="G43" s="73"/>
      <c r="H43" s="3"/>
      <c r="I43" s="7"/>
      <c r="L43" s="534">
        <v>40</v>
      </c>
      <c r="M43" s="656">
        <v>13.292000225714288</v>
      </c>
      <c r="N43" s="656">
        <v>29.934999783333328</v>
      </c>
      <c r="O43" s="656">
        <v>5.3130000431666664</v>
      </c>
    </row>
    <row r="44" spans="1:15" ht="11.25" customHeight="1">
      <c r="A44" s="74"/>
      <c r="B44" s="73"/>
      <c r="C44" s="73"/>
      <c r="D44" s="73"/>
      <c r="E44" s="73"/>
      <c r="F44" s="73"/>
      <c r="G44" s="73"/>
      <c r="H44" s="6"/>
      <c r="I44" s="10"/>
      <c r="L44" s="534">
        <v>41</v>
      </c>
      <c r="M44" s="656">
        <v>15.472143037142859</v>
      </c>
      <c r="N44" s="656">
        <v>31.668000084285715</v>
      </c>
      <c r="O44" s="656">
        <v>8.3924286701428574</v>
      </c>
    </row>
    <row r="45" spans="1:15" ht="11.25" customHeight="1">
      <c r="A45" s="74"/>
      <c r="B45" s="73"/>
      <c r="C45" s="73"/>
      <c r="D45" s="73"/>
      <c r="E45" s="73"/>
      <c r="F45" s="73"/>
      <c r="G45" s="73"/>
      <c r="H45" s="3"/>
      <c r="I45" s="10"/>
      <c r="L45" s="534">
        <v>42</v>
      </c>
      <c r="M45" s="656">
        <v>14.602857142857143</v>
      </c>
      <c r="N45" s="656">
        <v>30.061428571428571</v>
      </c>
      <c r="O45" s="656">
        <v>9.2871428571428574</v>
      </c>
    </row>
    <row r="46" spans="1:15" ht="11.25" customHeight="1">
      <c r="A46" s="74"/>
      <c r="B46" s="73"/>
      <c r="C46" s="73"/>
      <c r="D46" s="73"/>
      <c r="E46" s="73"/>
      <c r="F46" s="73"/>
      <c r="G46" s="73"/>
      <c r="H46" s="3"/>
      <c r="I46" s="10"/>
      <c r="L46" s="534">
        <v>43</v>
      </c>
      <c r="M46" s="656">
        <v>18.763999527142854</v>
      </c>
      <c r="N46" s="656">
        <v>48.129999975714291</v>
      </c>
      <c r="O46" s="656">
        <v>18.153714861428572</v>
      </c>
    </row>
    <row r="47" spans="1:15" ht="11.25" customHeight="1">
      <c r="A47" s="74"/>
      <c r="B47" s="73"/>
      <c r="C47" s="73"/>
      <c r="D47" s="73"/>
      <c r="E47" s="73"/>
      <c r="F47" s="73"/>
      <c r="G47" s="73"/>
      <c r="H47" s="11"/>
      <c r="I47" s="11"/>
      <c r="K47" s="534">
        <v>44</v>
      </c>
      <c r="L47" s="534">
        <v>44</v>
      </c>
      <c r="M47" s="656">
        <v>12.722428322857143</v>
      </c>
      <c r="N47" s="656">
        <v>37.781833011666663</v>
      </c>
      <c r="O47" s="656">
        <v>19.903499760000003</v>
      </c>
    </row>
    <row r="48" spans="1:15" ht="11.25" customHeight="1">
      <c r="A48" s="74"/>
      <c r="B48" s="73"/>
      <c r="C48" s="73"/>
      <c r="D48" s="73"/>
      <c r="E48" s="73"/>
      <c r="F48" s="73"/>
      <c r="G48" s="73"/>
      <c r="H48" s="11"/>
      <c r="I48" s="11"/>
      <c r="L48" s="534">
        <v>45</v>
      </c>
      <c r="M48" s="656">
        <v>22.372000012857146</v>
      </c>
      <c r="N48" s="656">
        <v>60.721429549999996</v>
      </c>
      <c r="O48" s="656">
        <v>69.077428547142844</v>
      </c>
    </row>
    <row r="49" spans="1:15" ht="11.25" customHeight="1">
      <c r="A49" s="74"/>
      <c r="B49" s="73"/>
      <c r="C49" s="73"/>
      <c r="D49" s="73"/>
      <c r="E49" s="73"/>
      <c r="F49" s="73"/>
      <c r="G49" s="73"/>
      <c r="H49" s="11"/>
      <c r="I49" s="11"/>
      <c r="L49" s="534">
        <v>46</v>
      </c>
      <c r="M49" s="656">
        <v>28.101571491428576</v>
      </c>
      <c r="N49" s="656">
        <v>68.569856369999997</v>
      </c>
      <c r="O49" s="656">
        <v>51.190428054285711</v>
      </c>
    </row>
    <row r="50" spans="1:15" ht="11.25" customHeight="1">
      <c r="A50" s="74"/>
      <c r="B50" s="73"/>
      <c r="C50" s="73"/>
      <c r="D50" s="73"/>
      <c r="E50" s="73"/>
      <c r="F50" s="73"/>
      <c r="G50" s="73"/>
      <c r="H50" s="11"/>
      <c r="I50" s="11"/>
      <c r="L50" s="534">
        <v>47</v>
      </c>
      <c r="M50" s="656">
        <v>22.222285951428574</v>
      </c>
      <c r="N50" s="656">
        <v>51.534999302857152</v>
      </c>
      <c r="O50" s="656">
        <v>21.676285608571426</v>
      </c>
    </row>
    <row r="51" spans="1:15" ht="11.25" customHeight="1">
      <c r="A51" s="74"/>
      <c r="B51" s="73"/>
      <c r="C51" s="73"/>
      <c r="D51" s="73"/>
      <c r="E51" s="73"/>
      <c r="F51" s="73"/>
      <c r="G51" s="73"/>
      <c r="H51" s="11"/>
      <c r="I51" s="11"/>
      <c r="L51" s="534">
        <v>48</v>
      </c>
      <c r="M51" s="656">
        <v>18.796428408571426</v>
      </c>
      <c r="N51" s="656">
        <v>45.115714484285718</v>
      </c>
      <c r="O51" s="656">
        <v>19.428714208571428</v>
      </c>
    </row>
    <row r="52" spans="1:15" ht="11.25" customHeight="1">
      <c r="A52" s="74"/>
      <c r="B52" s="73"/>
      <c r="C52" s="73"/>
      <c r="D52" s="73"/>
      <c r="E52" s="73"/>
      <c r="F52" s="73"/>
      <c r="G52" s="73"/>
      <c r="H52" s="11"/>
      <c r="I52" s="11"/>
      <c r="L52" s="534">
        <v>49</v>
      </c>
      <c r="M52" s="656">
        <v>40.459857124285712</v>
      </c>
      <c r="N52" s="656">
        <v>84.846428458571424</v>
      </c>
      <c r="O52" s="656">
        <v>67.787142617142862</v>
      </c>
    </row>
    <row r="53" spans="1:15" ht="11.25" customHeight="1">
      <c r="A53" s="74"/>
      <c r="B53" s="73"/>
      <c r="C53" s="73"/>
      <c r="D53" s="73"/>
      <c r="E53" s="73"/>
      <c r="F53" s="73"/>
      <c r="G53" s="73"/>
      <c r="H53" s="11"/>
      <c r="I53" s="11"/>
      <c r="L53" s="534">
        <v>50</v>
      </c>
      <c r="M53" s="656">
        <v>55.208571570000004</v>
      </c>
      <c r="N53" s="656">
        <v>99.139714364285723</v>
      </c>
      <c r="O53" s="656">
        <v>46.000713344285714</v>
      </c>
    </row>
    <row r="54" spans="1:15" ht="11.25" customHeight="1">
      <c r="A54" s="74"/>
      <c r="B54" s="73"/>
      <c r="C54" s="73"/>
      <c r="D54" s="73"/>
      <c r="E54" s="73"/>
      <c r="F54" s="73"/>
      <c r="G54" s="73"/>
      <c r="H54" s="11"/>
      <c r="I54" s="11"/>
      <c r="L54" s="534">
        <v>51</v>
      </c>
      <c r="M54" s="656">
        <v>84.778857641428559</v>
      </c>
      <c r="N54" s="656">
        <v>201.52657207142857</v>
      </c>
      <c r="O54" s="656">
        <v>43.586286274285712</v>
      </c>
    </row>
    <row r="55" spans="1:15" ht="12.75">
      <c r="A55" s="74"/>
      <c r="B55" s="73"/>
      <c r="C55" s="73"/>
      <c r="D55" s="73"/>
      <c r="E55" s="73"/>
      <c r="F55" s="73"/>
      <c r="G55" s="73"/>
      <c r="H55" s="11"/>
      <c r="I55" s="11"/>
      <c r="K55" s="534">
        <v>52</v>
      </c>
      <c r="L55" s="534">
        <v>52</v>
      </c>
      <c r="M55" s="656">
        <v>90.21400125571428</v>
      </c>
      <c r="N55" s="656">
        <v>224.1094316857143</v>
      </c>
      <c r="O55" s="656">
        <v>50.483570642857153</v>
      </c>
    </row>
    <row r="56" spans="1:15" ht="12.75">
      <c r="A56" s="74"/>
      <c r="B56" s="73"/>
      <c r="C56" s="73"/>
      <c r="D56" s="73"/>
      <c r="E56" s="73"/>
      <c r="F56" s="73"/>
      <c r="G56" s="73"/>
      <c r="H56" s="11"/>
      <c r="I56" s="11"/>
      <c r="L56" s="534">
        <v>53</v>
      </c>
      <c r="M56" s="656">
        <v>80.061285835714287</v>
      </c>
      <c r="N56" s="656">
        <v>205.2461395</v>
      </c>
      <c r="O56" s="656">
        <v>83.637714931428576</v>
      </c>
    </row>
    <row r="57" spans="1:15" ht="12.75">
      <c r="A57" s="74"/>
      <c r="B57" s="73"/>
      <c r="C57" s="73"/>
      <c r="D57" s="73"/>
      <c r="E57" s="73"/>
      <c r="F57" s="73"/>
      <c r="G57" s="73"/>
      <c r="H57" s="11"/>
      <c r="I57" s="11"/>
      <c r="J57" s="276">
        <v>2020</v>
      </c>
      <c r="L57" s="534">
        <v>1</v>
      </c>
      <c r="M57" s="656">
        <v>42.7519994463239</v>
      </c>
      <c r="N57" s="656">
        <v>129.33128356933543</v>
      </c>
      <c r="O57" s="656">
        <v>35.412713732038192</v>
      </c>
    </row>
    <row r="58" spans="1:15" ht="12.75">
      <c r="A58" s="74"/>
      <c r="B58" s="73"/>
      <c r="C58" s="73"/>
      <c r="D58" s="73"/>
      <c r="E58" s="73"/>
      <c r="F58" s="73"/>
      <c r="G58" s="73"/>
      <c r="H58" s="11"/>
      <c r="I58" s="11"/>
      <c r="L58" s="534">
        <v>2</v>
      </c>
      <c r="M58" s="656">
        <v>30.679571151428568</v>
      </c>
      <c r="N58" s="656">
        <v>73.393001012857141</v>
      </c>
      <c r="O58" s="656">
        <v>22.044856754285714</v>
      </c>
    </row>
    <row r="59" spans="1:15" ht="12.75">
      <c r="A59" s="74"/>
      <c r="B59" s="73"/>
      <c r="C59" s="73"/>
      <c r="D59" s="73"/>
      <c r="E59" s="73"/>
      <c r="F59" s="73"/>
      <c r="G59" s="73"/>
      <c r="H59" s="11"/>
      <c r="I59" s="11"/>
      <c r="L59" s="534">
        <v>3</v>
      </c>
      <c r="M59" s="656">
        <v>46.443999700000006</v>
      </c>
      <c r="N59" s="656">
        <v>73.092571804285726</v>
      </c>
      <c r="O59" s="656">
        <v>18.210142817142859</v>
      </c>
    </row>
    <row r="60" spans="1:15" ht="12.75">
      <c r="A60" s="74"/>
      <c r="B60" s="73"/>
      <c r="C60" s="73"/>
      <c r="D60" s="73"/>
      <c r="E60" s="73"/>
      <c r="F60" s="73"/>
      <c r="G60" s="73"/>
      <c r="H60" s="11"/>
      <c r="I60" s="11"/>
      <c r="L60" s="534">
        <v>4</v>
      </c>
      <c r="M60" s="656">
        <v>56.559571404285713</v>
      </c>
      <c r="N60" s="656">
        <v>140.69343129999999</v>
      </c>
      <c r="O60" s="656">
        <v>15.934428624285713</v>
      </c>
    </row>
    <row r="61" spans="1:15" ht="12.75">
      <c r="A61" s="264" t="s">
        <v>567</v>
      </c>
      <c r="B61" s="73"/>
      <c r="C61" s="73"/>
      <c r="D61" s="73"/>
      <c r="E61" s="73"/>
      <c r="F61" s="73"/>
      <c r="G61" s="73"/>
      <c r="H61" s="11"/>
      <c r="I61" s="11"/>
      <c r="L61" s="534">
        <v>5</v>
      </c>
      <c r="M61" s="656">
        <v>85.997285015714283</v>
      </c>
      <c r="N61" s="656">
        <v>189.96014404285714</v>
      </c>
      <c r="O61" s="656">
        <v>16.347999845714288</v>
      </c>
    </row>
    <row r="62" spans="1:15">
      <c r="L62" s="534">
        <v>6</v>
      </c>
      <c r="M62" s="656">
        <v>79.643857683454215</v>
      </c>
      <c r="N62" s="656">
        <v>184.55100359235459</v>
      </c>
      <c r="O62" s="656">
        <v>24.545571190970243</v>
      </c>
    </row>
    <row r="63" spans="1:15">
      <c r="L63" s="534">
        <v>7</v>
      </c>
      <c r="M63" s="656">
        <v>62.11542837857143</v>
      </c>
      <c r="N63" s="656">
        <v>141.4891401142857</v>
      </c>
      <c r="O63" s="656">
        <v>17.933714184285712</v>
      </c>
    </row>
    <row r="64" spans="1:15">
      <c r="K64" s="534">
        <v>8</v>
      </c>
      <c r="L64" s="534">
        <v>8</v>
      </c>
      <c r="M64" s="656">
        <v>41.134571620396166</v>
      </c>
      <c r="N64" s="656">
        <v>83.969571794782198</v>
      </c>
      <c r="O64" s="656">
        <v>15.5625712530953</v>
      </c>
    </row>
    <row r="65" spans="11:15">
      <c r="L65" s="534">
        <v>9</v>
      </c>
      <c r="M65" s="656">
        <v>70.027142117142859</v>
      </c>
      <c r="N65" s="656">
        <v>124.34114185428572</v>
      </c>
      <c r="O65" s="656">
        <v>23.340428760000002</v>
      </c>
    </row>
    <row r="66" spans="11:15">
      <c r="L66" s="534">
        <v>10</v>
      </c>
      <c r="M66" s="656">
        <v>51.713285718571434</v>
      </c>
      <c r="N66" s="656">
        <v>110.96499854142857</v>
      </c>
      <c r="O66" s="656">
        <v>51.143429344285714</v>
      </c>
    </row>
    <row r="67" spans="11:15">
      <c r="L67" s="534">
        <v>11</v>
      </c>
      <c r="M67" s="656">
        <v>64.999999455714274</v>
      </c>
      <c r="N67" s="656">
        <v>130.17914037142856</v>
      </c>
      <c r="O67" s="656">
        <v>73.820713587142862</v>
      </c>
    </row>
    <row r="68" spans="11:15">
      <c r="L68" s="534">
        <v>12</v>
      </c>
      <c r="M68" s="656">
        <v>70.530143192836164</v>
      </c>
      <c r="N68" s="656">
        <v>127.86657169886942</v>
      </c>
      <c r="O68" s="656">
        <v>34.1388571602957</v>
      </c>
    </row>
    <row r="69" spans="11:15">
      <c r="L69" s="534">
        <v>13</v>
      </c>
      <c r="M69" s="656">
        <v>73.710714612688278</v>
      </c>
      <c r="N69" s="656">
        <v>138.12900325230143</v>
      </c>
      <c r="O69" s="656">
        <v>66.457714898245612</v>
      </c>
    </row>
    <row r="70" spans="11:15">
      <c r="L70" s="534">
        <v>14</v>
      </c>
      <c r="M70" s="656">
        <v>57.796857017142862</v>
      </c>
      <c r="N70" s="656">
        <v>109.14457049285714</v>
      </c>
      <c r="O70" s="656">
        <v>82.626999985714278</v>
      </c>
    </row>
    <row r="71" spans="11:15">
      <c r="L71" s="534">
        <v>15</v>
      </c>
      <c r="M71" s="656">
        <v>44.430285317142861</v>
      </c>
      <c r="N71" s="656">
        <v>80.133571635714276</v>
      </c>
      <c r="O71" s="656">
        <v>89.91342707714287</v>
      </c>
    </row>
    <row r="72" spans="11:15">
      <c r="K72" s="534">
        <v>16</v>
      </c>
      <c r="L72" s="534">
        <v>16</v>
      </c>
      <c r="M72" s="656">
        <v>30.701856885714285</v>
      </c>
      <c r="N72" s="656">
        <v>57.13714327142857</v>
      </c>
      <c r="O72" s="656">
        <v>73.487428932857142</v>
      </c>
    </row>
    <row r="73" spans="11:15">
      <c r="L73" s="534">
        <v>17</v>
      </c>
      <c r="M73" s="656">
        <v>24.932857240949314</v>
      </c>
      <c r="N73" s="656">
        <v>55.184285845075259</v>
      </c>
      <c r="O73" s="656">
        <v>80.585714067731558</v>
      </c>
    </row>
    <row r="74" spans="11:15">
      <c r="L74" s="534">
        <v>18</v>
      </c>
      <c r="M74" s="656">
        <v>46.867285591428576</v>
      </c>
      <c r="N74" s="656">
        <v>80.201000221428572</v>
      </c>
      <c r="O74" s="656">
        <v>93.131286082857144</v>
      </c>
    </row>
    <row r="75" spans="11:15">
      <c r="L75" s="534">
        <v>19</v>
      </c>
      <c r="M75" s="656">
        <v>39.880857740000003</v>
      </c>
      <c r="N75" s="656">
        <v>73.398713792857151</v>
      </c>
      <c r="O75" s="656">
        <v>43.960427964285714</v>
      </c>
    </row>
    <row r="76" spans="11:15">
      <c r="L76" s="534">
        <v>20</v>
      </c>
      <c r="M76" s="656">
        <v>34.332998821428575</v>
      </c>
      <c r="N76" s="656">
        <v>57.629714421428567</v>
      </c>
      <c r="O76" s="656">
        <v>29.038571492857141</v>
      </c>
    </row>
    <row r="77" spans="11:15">
      <c r="L77" s="534">
        <v>21</v>
      </c>
      <c r="M77" s="656">
        <v>28.39914212908057</v>
      </c>
      <c r="N77" s="656">
        <v>47.208427974155924</v>
      </c>
      <c r="O77" s="656">
        <v>20.747856957571798</v>
      </c>
    </row>
    <row r="78" spans="11:15">
      <c r="L78" s="534">
        <v>22</v>
      </c>
      <c r="M78" s="656">
        <v>19.016142710000004</v>
      </c>
      <c r="N78" s="656">
        <v>39.635571071428572</v>
      </c>
      <c r="O78" s="656">
        <v>28.597570964285715</v>
      </c>
    </row>
    <row r="79" spans="11:15">
      <c r="L79" s="534">
        <v>23</v>
      </c>
      <c r="M79" s="656">
        <v>16.323713982857143</v>
      </c>
      <c r="N79" s="656">
        <v>49.136857168571431</v>
      </c>
      <c r="O79" s="656">
        <v>19.104714530000003</v>
      </c>
    </row>
    <row r="80" spans="11:15">
      <c r="K80" s="534">
        <v>24</v>
      </c>
      <c r="L80" s="534">
        <v>24</v>
      </c>
      <c r="M80" s="656">
        <v>14.458999906267413</v>
      </c>
      <c r="N80" s="656">
        <v>34.150428227015844</v>
      </c>
      <c r="O80" s="656">
        <v>14.211285591125442</v>
      </c>
    </row>
    <row r="81" spans="11:15">
      <c r="L81" s="534">
        <v>25</v>
      </c>
      <c r="M81" s="656">
        <v>13.476999827142858</v>
      </c>
      <c r="N81" s="656">
        <v>32.288857598571425</v>
      </c>
      <c r="O81" s="656">
        <v>11.628714288571429</v>
      </c>
    </row>
    <row r="82" spans="11:15">
      <c r="L82" s="534">
        <v>26</v>
      </c>
      <c r="M82" s="656">
        <v>14.175142699999999</v>
      </c>
      <c r="N82" s="656">
        <v>29.45585686714286</v>
      </c>
      <c r="O82" s="656">
        <v>11.67571422</v>
      </c>
    </row>
    <row r="83" spans="11:15">
      <c r="L83" s="534">
        <v>27</v>
      </c>
      <c r="M83" s="656">
        <v>12.859571456909155</v>
      </c>
      <c r="N83" s="656">
        <v>27.986428669520745</v>
      </c>
      <c r="O83" s="656">
        <v>27.48885754176543</v>
      </c>
    </row>
    <row r="84" spans="11:15">
      <c r="L84" s="534">
        <v>28</v>
      </c>
      <c r="M84" s="656">
        <v>11.472142902857144</v>
      </c>
      <c r="N84" s="656">
        <v>24.371857235714284</v>
      </c>
      <c r="O84" s="656">
        <v>32.395143782857147</v>
      </c>
    </row>
    <row r="85" spans="11:15">
      <c r="L85" s="534">
        <v>29</v>
      </c>
      <c r="M85" s="656">
        <v>11.32885715142857</v>
      </c>
      <c r="N85" s="656">
        <v>23.620857238571428</v>
      </c>
      <c r="O85" s="656">
        <v>14.974999971428572</v>
      </c>
    </row>
    <row r="86" spans="11:15">
      <c r="L86" s="534">
        <v>30</v>
      </c>
      <c r="M86" s="656">
        <v>11.152000155714285</v>
      </c>
      <c r="N86" s="656">
        <v>26.757428577142853</v>
      </c>
      <c r="O86" s="656">
        <v>14.12842846</v>
      </c>
    </row>
    <row r="87" spans="11:15">
      <c r="L87" s="534">
        <v>31</v>
      </c>
      <c r="M87" s="656">
        <v>10.852571488571428</v>
      </c>
      <c r="N87" s="656">
        <v>26.481285638571428</v>
      </c>
      <c r="O87" s="656">
        <v>10.121857098285714</v>
      </c>
    </row>
    <row r="88" spans="11:15">
      <c r="K88" s="534">
        <v>32</v>
      </c>
      <c r="L88" s="534">
        <v>32</v>
      </c>
      <c r="M88" s="656">
        <v>10.338285718645329</v>
      </c>
      <c r="N88" s="656">
        <v>25.506571633475126</v>
      </c>
      <c r="O88" s="656">
        <v>7.7241428239004906</v>
      </c>
    </row>
    <row r="89" spans="11:15">
      <c r="L89" s="534">
        <v>33</v>
      </c>
      <c r="M89" s="656">
        <v>11.413999967142857</v>
      </c>
      <c r="N89" s="656">
        <v>31.441428594285707</v>
      </c>
      <c r="O89" s="656">
        <v>8.5772858349999996</v>
      </c>
    </row>
    <row r="90" spans="11:15">
      <c r="L90" s="534">
        <v>34</v>
      </c>
      <c r="M90" s="656">
        <v>11.662143027142859</v>
      </c>
      <c r="N90" s="656">
        <v>33.365713935714282</v>
      </c>
      <c r="O90" s="656">
        <v>6.7090001108571427</v>
      </c>
    </row>
    <row r="91" spans="11:15">
      <c r="L91" s="534">
        <v>35</v>
      </c>
      <c r="M91" s="656">
        <v>11.541428702218141</v>
      </c>
      <c r="N91" s="656">
        <v>29.068999699183816</v>
      </c>
      <c r="O91" s="656">
        <v>5.7295714105878517</v>
      </c>
    </row>
    <row r="92" spans="11:15">
      <c r="L92" s="534">
        <v>36</v>
      </c>
      <c r="M92" s="656">
        <v>13.286857196262856</v>
      </c>
      <c r="N92" s="656">
        <v>26.005428859165701</v>
      </c>
      <c r="O92" s="656">
        <v>5.6865714618137853</v>
      </c>
    </row>
    <row r="93" spans="11:15">
      <c r="L93" s="534">
        <v>37</v>
      </c>
      <c r="M93" s="656">
        <v>15.49071434565947</v>
      </c>
      <c r="N93" s="656">
        <v>25.021857125418485</v>
      </c>
      <c r="O93" s="656">
        <v>5.3568570954459016</v>
      </c>
    </row>
    <row r="94" spans="11:15">
      <c r="L94" s="534">
        <v>38</v>
      </c>
      <c r="M94" s="656">
        <v>16.166143281119158</v>
      </c>
      <c r="N94" s="656">
        <v>27.854714257376486</v>
      </c>
      <c r="O94" s="656">
        <v>6.9268571308680906</v>
      </c>
    </row>
    <row r="95" spans="11:15">
      <c r="L95" s="534">
        <v>39</v>
      </c>
      <c r="M95" s="656">
        <v>16.810999734285712</v>
      </c>
      <c r="N95" s="656">
        <v>27.986571175714282</v>
      </c>
      <c r="O95" s="656">
        <v>9.9768571861428565</v>
      </c>
    </row>
    <row r="96" spans="11:15">
      <c r="K96" s="534">
        <v>40</v>
      </c>
      <c r="L96" s="534">
        <v>40</v>
      </c>
      <c r="M96" s="656">
        <v>14.579285758571428</v>
      </c>
      <c r="N96" s="656">
        <v>25.258999961428572</v>
      </c>
      <c r="O96" s="656">
        <v>7.1328571184285705</v>
      </c>
    </row>
    <row r="97" spans="10:15">
      <c r="L97" s="534">
        <v>41</v>
      </c>
      <c r="M97" s="656">
        <v>13.048857279999998</v>
      </c>
      <c r="N97" s="656">
        <v>25.185571671428566</v>
      </c>
      <c r="O97" s="656">
        <v>4.9102856772857146</v>
      </c>
    </row>
    <row r="98" spans="10:15">
      <c r="L98" s="534">
        <v>42</v>
      </c>
      <c r="M98" s="656">
        <v>14.871000289916955</v>
      </c>
      <c r="N98" s="656">
        <v>33.125999450683558</v>
      </c>
      <c r="O98" s="656">
        <v>6.3367142677306969</v>
      </c>
    </row>
    <row r="99" spans="10:15">
      <c r="L99" s="534">
        <v>43</v>
      </c>
      <c r="M99" s="656">
        <v>21.991714477142857</v>
      </c>
      <c r="N99" s="656">
        <v>41.127143314285711</v>
      </c>
      <c r="O99" s="656">
        <v>11.867142950714285</v>
      </c>
    </row>
    <row r="100" spans="10:15">
      <c r="L100" s="534">
        <v>44</v>
      </c>
      <c r="M100" s="656">
        <v>13.904857091428573</v>
      </c>
      <c r="N100" s="656">
        <v>33.038428169999996</v>
      </c>
      <c r="O100" s="656">
        <v>5.2337141718571427</v>
      </c>
    </row>
    <row r="101" spans="10:15">
      <c r="L101" s="534">
        <v>45</v>
      </c>
      <c r="M101" s="656">
        <v>13.184428621428571</v>
      </c>
      <c r="N101" s="656">
        <v>40.115713391428571</v>
      </c>
      <c r="O101" s="656">
        <v>5.0682858059999996</v>
      </c>
    </row>
    <row r="102" spans="10:15">
      <c r="L102" s="534">
        <v>46</v>
      </c>
      <c r="M102" s="656">
        <v>13.14228561857143</v>
      </c>
      <c r="N102" s="656">
        <v>43.881571090000001</v>
      </c>
      <c r="O102" s="656">
        <v>4.7745714188571426</v>
      </c>
    </row>
    <row r="103" spans="10:15">
      <c r="L103" s="534">
        <v>47</v>
      </c>
      <c r="M103" s="656">
        <v>15.124714305714289</v>
      </c>
      <c r="N103" s="656">
        <v>42.811571392857147</v>
      </c>
      <c r="O103" s="656">
        <v>5.635714394571429</v>
      </c>
    </row>
    <row r="104" spans="10:15">
      <c r="L104" s="534">
        <v>48</v>
      </c>
      <c r="M104" s="656">
        <v>27.692142758571432</v>
      </c>
      <c r="N104" s="656">
        <v>66.262570518571422</v>
      </c>
      <c r="O104" s="656">
        <v>27.02714340957143</v>
      </c>
    </row>
    <row r="105" spans="10:15">
      <c r="L105" s="534">
        <v>49</v>
      </c>
      <c r="M105" s="656">
        <v>64.694000790000004</v>
      </c>
      <c r="N105" s="656">
        <v>122.24228668571428</v>
      </c>
      <c r="O105" s="656">
        <v>80.020142697142845</v>
      </c>
    </row>
    <row r="106" spans="10:15">
      <c r="L106" s="534">
        <v>50</v>
      </c>
      <c r="M106" s="656">
        <v>43.356857299999994</v>
      </c>
      <c r="N106" s="656">
        <v>78.250285555714285</v>
      </c>
      <c r="O106" s="656">
        <v>98.373141695714281</v>
      </c>
    </row>
    <row r="107" spans="10:15">
      <c r="L107" s="534">
        <v>51</v>
      </c>
      <c r="M107" s="656">
        <v>66.695286888571431</v>
      </c>
      <c r="N107" s="656">
        <v>123.13128661428571</v>
      </c>
      <c r="O107" s="656">
        <v>141.80585590000001</v>
      </c>
    </row>
    <row r="108" spans="10:15">
      <c r="K108" s="534">
        <v>52</v>
      </c>
      <c r="L108" s="534">
        <v>52</v>
      </c>
      <c r="M108" s="656">
        <v>79.132000515714282</v>
      </c>
      <c r="N108" s="656">
        <v>151.04400198571429</v>
      </c>
      <c r="O108" s="656">
        <v>62.055856431428573</v>
      </c>
    </row>
    <row r="109" spans="10:15">
      <c r="J109" s="276">
        <v>2021</v>
      </c>
      <c r="L109" s="534">
        <v>1</v>
      </c>
      <c r="M109" s="656">
        <v>93.616000575714295</v>
      </c>
      <c r="N109" s="656">
        <v>194.93985855714286</v>
      </c>
      <c r="O109" s="656">
        <v>38.49128532428572</v>
      </c>
    </row>
    <row r="110" spans="10:15">
      <c r="L110" s="534">
        <v>2</v>
      </c>
      <c r="M110" s="656">
        <v>109.19371577142856</v>
      </c>
      <c r="N110" s="656">
        <v>191.56657192857145</v>
      </c>
      <c r="O110" s="656">
        <v>52.185428618571436</v>
      </c>
    </row>
    <row r="111" spans="10:15">
      <c r="L111" s="534">
        <v>3</v>
      </c>
      <c r="M111" s="656">
        <v>111.32100131428571</v>
      </c>
      <c r="N111" s="656">
        <v>253.28128705714289</v>
      </c>
      <c r="O111" s="656">
        <v>72.971142360000002</v>
      </c>
    </row>
    <row r="112" spans="10:15">
      <c r="L112" s="534">
        <v>4</v>
      </c>
      <c r="M112" s="656">
        <v>111.11885721428568</v>
      </c>
      <c r="N112" s="656">
        <v>244.7925720428571</v>
      </c>
      <c r="O112" s="656">
        <v>82.663999837142867</v>
      </c>
    </row>
    <row r="113" spans="11:15">
      <c r="L113" s="534">
        <v>5</v>
      </c>
      <c r="M113" s="656">
        <v>108.66071318571429</v>
      </c>
      <c r="N113" s="656">
        <v>220.6247188142857</v>
      </c>
      <c r="O113" s="656">
        <v>54.198429654285711</v>
      </c>
    </row>
    <row r="114" spans="11:15">
      <c r="L114" s="534">
        <v>6</v>
      </c>
      <c r="M114" s="656">
        <v>90.469143462857147</v>
      </c>
      <c r="N114" s="656">
        <v>163.06042698571429</v>
      </c>
      <c r="O114" s="656">
        <v>42.827428274285715</v>
      </c>
    </row>
    <row r="115" spans="11:15">
      <c r="L115" s="534">
        <v>7</v>
      </c>
      <c r="M115" s="656">
        <v>58.4</v>
      </c>
      <c r="N115" s="656">
        <v>104.39303571428574</v>
      </c>
      <c r="O115" s="656">
        <v>28.153690476190491</v>
      </c>
    </row>
    <row r="116" spans="11:15">
      <c r="L116" s="534">
        <v>8</v>
      </c>
      <c r="M116" s="656">
        <v>45.103515238095234</v>
      </c>
      <c r="N116" s="656">
        <v>61.820178571428535</v>
      </c>
      <c r="O116" s="656">
        <v>19.304999999999993</v>
      </c>
    </row>
    <row r="117" spans="11:15">
      <c r="L117" s="534">
        <v>9</v>
      </c>
      <c r="M117" s="656">
        <v>56.496856689453068</v>
      </c>
      <c r="N117" s="656">
        <v>85.507331848144418</v>
      </c>
      <c r="O117" s="656">
        <v>82.847664833068805</v>
      </c>
    </row>
    <row r="118" spans="11:15">
      <c r="L118" s="534">
        <v>10</v>
      </c>
      <c r="M118" s="656">
        <v>90.554714198571432</v>
      </c>
      <c r="N118" s="656">
        <v>173.29428537142854</v>
      </c>
      <c r="O118" s="656">
        <v>214.06428527142856</v>
      </c>
    </row>
    <row r="119" spans="11:15">
      <c r="L119" s="534">
        <v>11</v>
      </c>
      <c r="M119" s="656">
        <v>98.085857941428586</v>
      </c>
      <c r="N119" s="656">
        <v>159.83856852857141</v>
      </c>
      <c r="O119" s="656">
        <v>132.61828504285714</v>
      </c>
    </row>
    <row r="120" spans="11:15">
      <c r="L120" s="534">
        <v>12</v>
      </c>
      <c r="M120" s="656">
        <v>87.426713118571428</v>
      </c>
      <c r="N120" s="656">
        <v>160.54285757142858</v>
      </c>
      <c r="O120" s="656">
        <v>87.668715342857141</v>
      </c>
    </row>
    <row r="121" spans="11:15">
      <c r="K121" s="534">
        <v>13</v>
      </c>
      <c r="L121" s="534">
        <v>13</v>
      </c>
      <c r="M121" s="656">
        <v>85.733285082857151</v>
      </c>
      <c r="N121" s="656">
        <v>171.07471574285714</v>
      </c>
      <c r="O121" s="656">
        <v>94.954141882857144</v>
      </c>
    </row>
    <row r="122" spans="11:15">
      <c r="L122" s="534">
        <v>14</v>
      </c>
      <c r="M122" s="656">
        <v>98.095142921428561</v>
      </c>
      <c r="N122" s="656">
        <v>185.56500027142857</v>
      </c>
      <c r="O122" s="656">
        <v>151.11671445714288</v>
      </c>
    </row>
    <row r="123" spans="11:15">
      <c r="L123" s="534">
        <v>15</v>
      </c>
      <c r="M123" s="656">
        <v>83.773572649999991</v>
      </c>
      <c r="N123" s="656">
        <v>151.56014580000002</v>
      </c>
      <c r="O123" s="656">
        <v>111.99457114285714</v>
      </c>
    </row>
    <row r="124" spans="11:15">
      <c r="L124" s="534">
        <v>16</v>
      </c>
      <c r="M124" s="656">
        <v>56.958000185714283</v>
      </c>
      <c r="N124" s="656">
        <v>109.84099905714285</v>
      </c>
      <c r="O124" s="656">
        <v>90.672572548571438</v>
      </c>
    </row>
    <row r="125" spans="11:15">
      <c r="L125" s="534">
        <v>17</v>
      </c>
      <c r="M125" s="656">
        <v>48.746000017142855</v>
      </c>
      <c r="N125" s="656">
        <v>85.840285168571427</v>
      </c>
      <c r="O125" s="656">
        <v>75.281570977142863</v>
      </c>
    </row>
    <row r="126" spans="11:15">
      <c r="L126" s="534">
        <v>18</v>
      </c>
      <c r="M126" s="656">
        <v>40.494427817142864</v>
      </c>
      <c r="N126" s="656">
        <v>69.64942932142857</v>
      </c>
      <c r="O126" s="656">
        <v>93.952999661428592</v>
      </c>
    </row>
    <row r="127" spans="11:15">
      <c r="L127" s="534">
        <v>19</v>
      </c>
      <c r="M127" s="656">
        <v>35.466286249999996</v>
      </c>
      <c r="N127" s="656">
        <v>58.010286058571431</v>
      </c>
      <c r="O127" s="656">
        <v>72.684429168571427</v>
      </c>
    </row>
    <row r="128" spans="11:15">
      <c r="L128" s="534">
        <v>20</v>
      </c>
      <c r="M128" s="656">
        <v>28.18171392</v>
      </c>
      <c r="N128" s="656">
        <v>51.498000008571424</v>
      </c>
      <c r="O128" s="656">
        <v>98.886571605714281</v>
      </c>
    </row>
    <row r="129" spans="11:15">
      <c r="L129" s="534">
        <v>21</v>
      </c>
      <c r="M129" s="656">
        <v>26.549999781428571</v>
      </c>
      <c r="N129" s="656">
        <v>49.923428127142856</v>
      </c>
      <c r="O129" s="656">
        <v>58.580000197142859</v>
      </c>
    </row>
    <row r="130" spans="11:15">
      <c r="L130" s="534">
        <v>22</v>
      </c>
      <c r="M130" s="656">
        <v>21.825286048571424</v>
      </c>
      <c r="N130" s="656">
        <v>43.104427882857138</v>
      </c>
      <c r="O130" s="656">
        <v>38.582285198571427</v>
      </c>
    </row>
    <row r="131" spans="11:15">
      <c r="L131" s="534">
        <v>23</v>
      </c>
      <c r="M131" s="656">
        <v>20.536714282857144</v>
      </c>
      <c r="N131" s="656">
        <v>39.534857068571434</v>
      </c>
      <c r="O131" s="656">
        <v>58.388999669999997</v>
      </c>
    </row>
    <row r="132" spans="11:15">
      <c r="L132" s="534">
        <v>24</v>
      </c>
      <c r="M132" s="656">
        <v>18.521000181428573</v>
      </c>
      <c r="N132" s="656">
        <v>36.393142699999999</v>
      </c>
      <c r="O132" s="656">
        <v>52.608856201428573</v>
      </c>
    </row>
    <row r="133" spans="11:15">
      <c r="L133" s="534">
        <v>25</v>
      </c>
      <c r="M133" s="656">
        <v>17.337857111428569</v>
      </c>
      <c r="N133" s="656">
        <v>33.557857241428572</v>
      </c>
      <c r="O133" s="656">
        <v>30.324857167142856</v>
      </c>
    </row>
    <row r="134" spans="11:15">
      <c r="K134" s="534">
        <v>26</v>
      </c>
      <c r="L134" s="534">
        <v>26</v>
      </c>
      <c r="M134" s="656">
        <v>16.257714270000001</v>
      </c>
      <c r="N134" s="656">
        <v>29.931428365714286</v>
      </c>
      <c r="O134" s="656">
        <v>42.18199975142857</v>
      </c>
    </row>
    <row r="135" spans="11:15">
      <c r="L135" s="534">
        <v>27</v>
      </c>
      <c r="M135" s="656">
        <v>15.06657137</v>
      </c>
      <c r="N135" s="786">
        <v>26.386999947142861</v>
      </c>
      <c r="O135" s="656">
        <v>23.356142859999999</v>
      </c>
    </row>
    <row r="136" spans="11:15">
      <c r="L136" s="534">
        <v>28</v>
      </c>
      <c r="M136" s="656">
        <v>14.248142924285716</v>
      </c>
      <c r="N136" s="786">
        <v>26.172000340000004</v>
      </c>
      <c r="O136" s="656">
        <v>19.029285704285716</v>
      </c>
    </row>
    <row r="137" spans="11:15">
      <c r="L137" s="534">
        <v>29</v>
      </c>
      <c r="M137" s="656">
        <v>13.477857045714286</v>
      </c>
      <c r="N137" s="786">
        <v>25.836714065714286</v>
      </c>
      <c r="O137" s="656">
        <v>17.854285240000003</v>
      </c>
    </row>
    <row r="138" spans="11:15">
      <c r="L138" s="534">
        <v>30</v>
      </c>
      <c r="M138" s="656">
        <v>12.691000122857146</v>
      </c>
      <c r="N138" s="786">
        <v>25.251428605714288</v>
      </c>
      <c r="O138" s="656">
        <v>12.897285600000002</v>
      </c>
    </row>
    <row r="139" spans="11:15">
      <c r="L139" s="534">
        <v>31</v>
      </c>
      <c r="M139" s="656">
        <v>13.016714095714283</v>
      </c>
      <c r="N139" s="786">
        <v>27.221714565714283</v>
      </c>
      <c r="O139" s="656">
        <v>10.959428514999999</v>
      </c>
    </row>
    <row r="140" spans="11:15">
      <c r="L140" s="534">
        <v>32</v>
      </c>
      <c r="M140" s="656">
        <v>11.867571422857141</v>
      </c>
      <c r="N140" s="786">
        <v>26.08357157</v>
      </c>
      <c r="O140" s="656">
        <v>9.4098570685714282</v>
      </c>
    </row>
    <row r="141" spans="11:15">
      <c r="L141" s="534">
        <v>33</v>
      </c>
      <c r="M141" s="656">
        <v>11.566857065714288</v>
      </c>
      <c r="N141" s="786">
        <v>25.724999837142857</v>
      </c>
      <c r="O141" s="656">
        <v>11.666285786000001</v>
      </c>
    </row>
    <row r="142" spans="11:15">
      <c r="L142" s="534">
        <v>34</v>
      </c>
      <c r="M142" s="656">
        <v>13.598856790000001</v>
      </c>
      <c r="N142" s="786">
        <v>26.040285657142856</v>
      </c>
      <c r="O142" s="656">
        <v>14.739857265714283</v>
      </c>
    </row>
    <row r="143" spans="11:15">
      <c r="L143" s="534">
        <v>35</v>
      </c>
      <c r="M143" s="656">
        <v>18.389285224285715</v>
      </c>
      <c r="N143" s="656">
        <v>26.61128562</v>
      </c>
      <c r="O143" s="656">
        <v>23.257428305714285</v>
      </c>
    </row>
    <row r="144" spans="11:15">
      <c r="L144" s="534">
        <v>36</v>
      </c>
      <c r="M144" s="656">
        <v>17.729570935714285</v>
      </c>
      <c r="N144" s="656">
        <v>31.371142795714288</v>
      </c>
      <c r="O144" s="656">
        <v>24.894000052857141</v>
      </c>
    </row>
    <row r="145" spans="11:15">
      <c r="L145" s="534">
        <v>37</v>
      </c>
      <c r="M145" s="656">
        <v>17.365428380000001</v>
      </c>
      <c r="N145" s="656">
        <v>34.193142751428567</v>
      </c>
      <c r="O145" s="656">
        <v>23.149857660000002</v>
      </c>
    </row>
    <row r="146" spans="11:15">
      <c r="L146" s="534">
        <v>38</v>
      </c>
      <c r="M146" s="656">
        <v>17.876142775714285</v>
      </c>
      <c r="N146" s="656">
        <v>24.62042835714286</v>
      </c>
      <c r="O146" s="656">
        <v>13.527142932857144</v>
      </c>
    </row>
    <row r="147" spans="11:15">
      <c r="L147" s="534">
        <v>39</v>
      </c>
      <c r="M147" s="656">
        <v>17.151999882857144</v>
      </c>
      <c r="N147" s="787">
        <v>21.341285980000002</v>
      </c>
      <c r="O147" s="656">
        <v>10.351999963428572</v>
      </c>
    </row>
    <row r="148" spans="11:15">
      <c r="L148" s="534">
        <v>40</v>
      </c>
      <c r="M148" s="656">
        <v>24.65814318</v>
      </c>
      <c r="N148" s="787">
        <v>39.983428410000002</v>
      </c>
      <c r="O148" s="656">
        <v>63.700570922857146</v>
      </c>
    </row>
    <row r="149" spans="11:15">
      <c r="L149" s="534">
        <v>41</v>
      </c>
      <c r="M149" s="656">
        <v>24.683571132857143</v>
      </c>
      <c r="N149" s="787">
        <v>51.178142545714287</v>
      </c>
      <c r="O149" s="656">
        <v>63.922285895714289</v>
      </c>
    </row>
    <row r="150" spans="11:15">
      <c r="L150" s="534">
        <v>42</v>
      </c>
      <c r="M150" s="656">
        <v>30.132285525714284</v>
      </c>
      <c r="N150" s="787">
        <v>58.491857255714294</v>
      </c>
      <c r="O150" s="656">
        <v>72.515429361428573</v>
      </c>
    </row>
    <row r="151" spans="11:15">
      <c r="L151" s="534">
        <v>43</v>
      </c>
      <c r="M151" s="656">
        <v>21.635857172857147</v>
      </c>
      <c r="N151" s="787">
        <v>49.28842871714285</v>
      </c>
      <c r="O151" s="656">
        <v>61.990286690000005</v>
      </c>
    </row>
    <row r="152" spans="11:15">
      <c r="K152" s="534">
        <v>44</v>
      </c>
      <c r="L152" s="534">
        <v>44</v>
      </c>
      <c r="M152" s="656">
        <v>18.680143085714285</v>
      </c>
      <c r="N152" s="656">
        <v>50.456999099999997</v>
      </c>
      <c r="O152" s="656">
        <v>58.057570867142864</v>
      </c>
    </row>
    <row r="153" spans="11:15">
      <c r="L153" s="534">
        <v>45</v>
      </c>
      <c r="M153" s="656">
        <v>19.11199978285714</v>
      </c>
      <c r="N153" s="656">
        <v>55.461713520000004</v>
      </c>
      <c r="O153" s="656">
        <v>51.101286207142849</v>
      </c>
    </row>
    <row r="154" spans="11:15">
      <c r="L154" s="534">
        <v>46</v>
      </c>
      <c r="M154" s="656">
        <v>17.194857187142855</v>
      </c>
      <c r="N154" s="656">
        <v>52.329856329999991</v>
      </c>
      <c r="O154" s="656">
        <v>29.017713818571433</v>
      </c>
    </row>
    <row r="155" spans="11:15">
      <c r="L155" s="534">
        <v>47</v>
      </c>
      <c r="M155" s="656">
        <v>18.301142828571432</v>
      </c>
      <c r="N155" s="656">
        <v>73.723714555714295</v>
      </c>
      <c r="O155" s="656">
        <v>26.885714667142853</v>
      </c>
    </row>
    <row r="156" spans="11:15">
      <c r="L156" s="534">
        <v>48</v>
      </c>
      <c r="M156" s="656">
        <v>48.1</v>
      </c>
      <c r="N156" s="656">
        <v>112.8014285714287</v>
      </c>
      <c r="O156" s="656">
        <v>24.753715515714301</v>
      </c>
    </row>
    <row r="157" spans="11:15">
      <c r="L157" s="534">
        <v>49</v>
      </c>
      <c r="M157" s="656">
        <v>72.532000404285711</v>
      </c>
      <c r="N157" s="656">
        <v>251.49200183333332</v>
      </c>
      <c r="O157" s="656">
        <v>44.843001048333328</v>
      </c>
    </row>
    <row r="158" spans="11:15">
      <c r="L158" s="534">
        <v>50</v>
      </c>
      <c r="M158" s="656">
        <v>52.053428651428568</v>
      </c>
      <c r="N158" s="656">
        <v>142.42614309857143</v>
      </c>
      <c r="O158" s="656">
        <v>60.681712559999994</v>
      </c>
    </row>
    <row r="159" spans="11:15">
      <c r="L159" s="534">
        <v>51</v>
      </c>
      <c r="M159" s="656">
        <v>30.144714355714289</v>
      </c>
      <c r="N159" s="656">
        <v>77.181571959999999</v>
      </c>
      <c r="O159" s="656">
        <v>114.8148585642857</v>
      </c>
    </row>
    <row r="160" spans="11:15">
      <c r="K160" s="534">
        <v>52</v>
      </c>
      <c r="L160" s="534">
        <v>52</v>
      </c>
      <c r="M160" s="656">
        <v>24.471428735714284</v>
      </c>
      <c r="N160" s="656">
        <v>62.12314333285714</v>
      </c>
      <c r="O160" s="656">
        <v>50.073429108571432</v>
      </c>
    </row>
    <row r="161" spans="10:34">
      <c r="J161" s="276">
        <v>2022</v>
      </c>
      <c r="L161" s="534">
        <v>1</v>
      </c>
      <c r="M161" s="656">
        <v>27.003000530000001</v>
      </c>
      <c r="N161" s="656">
        <v>71.095855168571433</v>
      </c>
      <c r="O161" s="656">
        <v>42.987713951428574</v>
      </c>
    </row>
    <row r="162" spans="10:34">
      <c r="L162" s="534">
        <v>2</v>
      </c>
      <c r="M162" s="656">
        <v>21.311000005714284</v>
      </c>
      <c r="N162" s="656">
        <v>56.996714454285716</v>
      </c>
      <c r="O162" s="656">
        <v>27.815714701428572</v>
      </c>
    </row>
    <row r="163" spans="10:34">
      <c r="L163" s="534">
        <v>3</v>
      </c>
      <c r="M163" s="656">
        <v>18.403857367142855</v>
      </c>
      <c r="N163" s="656">
        <v>56.568285805714289</v>
      </c>
      <c r="O163" s="656">
        <v>25.573857171428568</v>
      </c>
    </row>
    <row r="164" spans="10:34">
      <c r="L164" s="534">
        <v>4</v>
      </c>
      <c r="M164" s="656">
        <v>39.156999861428574</v>
      </c>
      <c r="N164" s="656">
        <v>96.856569555714273</v>
      </c>
      <c r="O164" s="656">
        <v>46.27</v>
      </c>
    </row>
    <row r="165" spans="10:34" s="557" customFormat="1">
      <c r="J165" s="276"/>
      <c r="K165" s="534"/>
      <c r="L165" s="534">
        <v>5</v>
      </c>
      <c r="M165" s="656">
        <v>43.204429082857139</v>
      </c>
      <c r="N165" s="656">
        <v>81.592857355714287</v>
      </c>
      <c r="O165" s="656">
        <v>30.758285522857143</v>
      </c>
      <c r="P165" s="276"/>
      <c r="Q165" s="277"/>
      <c r="R165" s="783"/>
      <c r="S165" s="783"/>
      <c r="T165" s="783"/>
      <c r="U165" s="783"/>
      <c r="V165" s="783"/>
      <c r="W165" s="783"/>
      <c r="X165" s="783"/>
      <c r="Y165" s="783"/>
      <c r="Z165" s="783"/>
      <c r="AA165" s="783"/>
      <c r="AB165" s="783"/>
      <c r="AC165" s="783"/>
      <c r="AD165" s="783"/>
      <c r="AE165" s="783"/>
      <c r="AF165" s="692"/>
      <c r="AG165" s="692"/>
      <c r="AH165" s="692"/>
    </row>
    <row r="166" spans="10:34" s="557" customFormat="1">
      <c r="J166" s="276"/>
      <c r="K166" s="534">
        <v>6</v>
      </c>
      <c r="L166" s="534">
        <v>6</v>
      </c>
      <c r="M166" s="656">
        <v>79.27385765999999</v>
      </c>
      <c r="N166" s="656">
        <v>136.49742887285714</v>
      </c>
      <c r="O166" s="656">
        <v>66.892999371428573</v>
      </c>
      <c r="P166" s="276"/>
      <c r="Q166" s="277"/>
      <c r="R166" s="783"/>
      <c r="S166" s="783"/>
      <c r="T166" s="783"/>
      <c r="U166" s="783"/>
      <c r="V166" s="783"/>
      <c r="W166" s="783"/>
      <c r="X166" s="783"/>
      <c r="Y166" s="783"/>
      <c r="Z166" s="783"/>
      <c r="AA166" s="783"/>
      <c r="AB166" s="783"/>
      <c r="AC166" s="783"/>
      <c r="AD166" s="783"/>
      <c r="AE166" s="783"/>
      <c r="AF166" s="692"/>
      <c r="AG166" s="692"/>
      <c r="AH166" s="692"/>
    </row>
    <row r="167" spans="10:34" s="557" customFormat="1">
      <c r="J167" s="276"/>
      <c r="K167" s="534"/>
      <c r="L167" s="534">
        <v>7</v>
      </c>
      <c r="M167" s="656">
        <v>82.487914902714195</v>
      </c>
      <c r="N167" s="656">
        <v>140.91017132499999</v>
      </c>
      <c r="O167" s="656">
        <v>69.485213547142905</v>
      </c>
      <c r="P167" s="276"/>
      <c r="Q167" s="277"/>
      <c r="R167" s="783"/>
      <c r="S167" s="783"/>
      <c r="T167" s="783"/>
      <c r="U167" s="783"/>
      <c r="V167" s="783"/>
      <c r="W167" s="783"/>
      <c r="X167" s="783"/>
      <c r="Y167" s="783"/>
      <c r="Z167" s="783"/>
      <c r="AA167" s="783"/>
      <c r="AB167" s="783"/>
      <c r="AC167" s="783"/>
      <c r="AD167" s="783"/>
      <c r="AE167" s="783"/>
      <c r="AF167" s="692"/>
      <c r="AG167" s="692"/>
      <c r="AH167" s="692"/>
    </row>
    <row r="168" spans="10:34" s="557" customFormat="1">
      <c r="J168" s="276"/>
      <c r="K168" s="534"/>
      <c r="L168" s="534">
        <v>8</v>
      </c>
      <c r="M168" s="656">
        <v>69.997998918805749</v>
      </c>
      <c r="N168" s="656">
        <v>136.49742889404237</v>
      </c>
      <c r="O168" s="656">
        <v>66.892999376569193</v>
      </c>
      <c r="P168" s="276"/>
      <c r="Q168" s="277"/>
      <c r="R168" s="783"/>
      <c r="S168" s="783"/>
      <c r="T168" s="783"/>
      <c r="U168" s="783"/>
      <c r="V168" s="783"/>
      <c r="W168" s="783"/>
      <c r="X168" s="783"/>
      <c r="Y168" s="783"/>
      <c r="Z168" s="783"/>
      <c r="AA168" s="783"/>
      <c r="AB168" s="783"/>
      <c r="AC168" s="783"/>
      <c r="AD168" s="783"/>
      <c r="AE168" s="783"/>
      <c r="AF168" s="692"/>
      <c r="AG168" s="692"/>
      <c r="AH168" s="692"/>
    </row>
    <row r="169" spans="10:34" s="557" customFormat="1">
      <c r="J169" s="276"/>
      <c r="K169" s="534"/>
      <c r="L169" s="534">
        <v>9</v>
      </c>
      <c r="M169" s="656">
        <v>88.40642874285713</v>
      </c>
      <c r="N169" s="656">
        <v>201.53699821428572</v>
      </c>
      <c r="O169" s="656">
        <v>202.43557085714284</v>
      </c>
      <c r="P169" s="276"/>
      <c r="Q169" s="277"/>
      <c r="R169" s="783"/>
      <c r="S169" s="783"/>
      <c r="T169" s="783"/>
      <c r="U169" s="783"/>
      <c r="V169" s="783"/>
      <c r="W169" s="783"/>
      <c r="X169" s="783"/>
      <c r="Y169" s="783"/>
      <c r="Z169" s="783"/>
      <c r="AA169" s="783"/>
      <c r="AB169" s="783"/>
      <c r="AC169" s="783"/>
      <c r="AD169" s="783"/>
      <c r="AE169" s="783"/>
      <c r="AF169" s="692"/>
      <c r="AG169" s="692"/>
      <c r="AH169" s="692"/>
    </row>
    <row r="170" spans="10:34" s="557" customFormat="1">
      <c r="J170" s="276"/>
      <c r="K170" s="534"/>
      <c r="L170" s="534">
        <v>10</v>
      </c>
      <c r="M170" s="656">
        <v>97.012568035088606</v>
      </c>
      <c r="N170" s="656">
        <v>203.423558556426</v>
      </c>
      <c r="O170" s="656">
        <v>221.61685711214301</v>
      </c>
      <c r="P170" s="276"/>
      <c r="Q170" s="277"/>
      <c r="R170" s="783"/>
      <c r="S170" s="783"/>
      <c r="T170" s="783"/>
      <c r="U170" s="783"/>
      <c r="V170" s="783"/>
      <c r="W170" s="783"/>
      <c r="X170" s="783"/>
      <c r="Y170" s="783"/>
      <c r="Z170" s="783"/>
      <c r="AA170" s="783"/>
      <c r="AB170" s="783"/>
      <c r="AC170" s="783"/>
      <c r="AD170" s="783"/>
      <c r="AE170" s="783"/>
      <c r="AF170" s="692"/>
      <c r="AG170" s="692"/>
      <c r="AH170" s="692"/>
    </row>
    <row r="171" spans="10:34" s="557" customFormat="1">
      <c r="J171" s="276"/>
      <c r="K171" s="534"/>
      <c r="L171" s="534">
        <v>11</v>
      </c>
      <c r="M171" s="656">
        <v>119.25400107247444</v>
      </c>
      <c r="N171" s="656">
        <v>322.04871477399513</v>
      </c>
      <c r="O171" s="656">
        <v>75.359285627092575</v>
      </c>
      <c r="P171" s="276"/>
      <c r="Q171" s="277"/>
      <c r="R171" s="783"/>
      <c r="S171" s="783"/>
      <c r="T171" s="783"/>
      <c r="U171" s="783"/>
      <c r="V171" s="783"/>
      <c r="W171" s="783"/>
      <c r="X171" s="783"/>
      <c r="Y171" s="783"/>
      <c r="Z171" s="783"/>
      <c r="AA171" s="783"/>
      <c r="AB171" s="783"/>
      <c r="AC171" s="783"/>
      <c r="AD171" s="783"/>
      <c r="AE171" s="783"/>
      <c r="AF171" s="692"/>
      <c r="AG171" s="692"/>
      <c r="AH171" s="692"/>
    </row>
    <row r="172" spans="10:34" s="557" customFormat="1">
      <c r="J172" s="276"/>
      <c r="K172" s="534"/>
      <c r="L172" s="534">
        <v>12</v>
      </c>
      <c r="M172" s="656">
        <v>87.219570704868829</v>
      </c>
      <c r="N172" s="656">
        <v>190.45399911063015</v>
      </c>
      <c r="O172" s="656">
        <v>126.76628439766976</v>
      </c>
      <c r="P172" s="276"/>
      <c r="Q172" s="277"/>
      <c r="R172" s="783"/>
      <c r="S172" s="783"/>
      <c r="T172" s="783"/>
      <c r="U172" s="783"/>
      <c r="V172" s="783"/>
      <c r="W172" s="783"/>
      <c r="X172" s="783"/>
      <c r="Y172" s="783"/>
      <c r="Z172" s="783"/>
      <c r="AA172" s="783"/>
      <c r="AB172" s="783"/>
      <c r="AC172" s="783"/>
      <c r="AD172" s="783"/>
      <c r="AE172" s="783"/>
      <c r="AF172" s="692"/>
      <c r="AG172" s="692"/>
      <c r="AH172" s="692"/>
    </row>
    <row r="173" spans="10:34" s="557" customFormat="1">
      <c r="J173" s="276"/>
      <c r="K173" s="534">
        <v>13</v>
      </c>
      <c r="L173" s="534">
        <v>13</v>
      </c>
      <c r="M173" s="656">
        <v>94.784285714285701</v>
      </c>
      <c r="N173" s="656">
        <v>246.19428571428574</v>
      </c>
      <c r="O173" s="656">
        <v>182.03142857142853</v>
      </c>
      <c r="P173" s="276"/>
      <c r="Q173" s="277"/>
      <c r="R173" s="783"/>
      <c r="S173" s="783"/>
      <c r="T173" s="783"/>
      <c r="U173" s="783"/>
      <c r="V173" s="783"/>
      <c r="W173" s="783"/>
      <c r="X173" s="783"/>
      <c r="Y173" s="783"/>
      <c r="Z173" s="783"/>
      <c r="AA173" s="783"/>
      <c r="AB173" s="783"/>
      <c r="AC173" s="783"/>
      <c r="AD173" s="783"/>
      <c r="AE173" s="783"/>
      <c r="AF173" s="692"/>
      <c r="AG173" s="692"/>
      <c r="AH173" s="692"/>
    </row>
    <row r="174" spans="10:34" s="557" customFormat="1">
      <c r="J174" s="276"/>
      <c r="K174" s="534"/>
      <c r="L174" s="534">
        <v>14</v>
      </c>
      <c r="M174" s="656">
        <v>107.18971470424081</v>
      </c>
      <c r="N174" s="656">
        <v>299.53485761369933</v>
      </c>
      <c r="O174" s="656">
        <v>126.58499799455872</v>
      </c>
      <c r="P174" s="276"/>
      <c r="Q174" s="277"/>
      <c r="R174" s="783"/>
      <c r="S174" s="783"/>
      <c r="T174" s="783"/>
      <c r="U174" s="783"/>
      <c r="V174" s="783"/>
      <c r="W174" s="783"/>
      <c r="X174" s="783"/>
      <c r="Y174" s="783"/>
      <c r="Z174" s="783"/>
      <c r="AA174" s="783"/>
      <c r="AB174" s="783"/>
      <c r="AC174" s="783"/>
      <c r="AD174" s="783"/>
      <c r="AE174" s="783"/>
      <c r="AF174" s="692"/>
      <c r="AG174" s="692"/>
      <c r="AH174" s="692"/>
    </row>
    <row r="175" spans="10:34" s="557" customFormat="1">
      <c r="J175" s="276"/>
      <c r="K175" s="534"/>
      <c r="L175" s="534">
        <v>15</v>
      </c>
      <c r="M175" s="656">
        <v>81.303429194285712</v>
      </c>
      <c r="N175" s="656">
        <v>161.58600069999997</v>
      </c>
      <c r="O175" s="656">
        <v>108.36571609857143</v>
      </c>
      <c r="P175" s="276"/>
      <c r="Q175" s="277"/>
      <c r="R175" s="783"/>
      <c r="S175" s="783"/>
      <c r="T175" s="783"/>
      <c r="U175" s="783"/>
      <c r="V175" s="783"/>
      <c r="W175" s="783"/>
      <c r="X175" s="783"/>
      <c r="Y175" s="783"/>
      <c r="Z175" s="783"/>
      <c r="AA175" s="783"/>
      <c r="AB175" s="783"/>
      <c r="AC175" s="783"/>
      <c r="AD175" s="783"/>
      <c r="AE175" s="783"/>
      <c r="AF175" s="692"/>
      <c r="AG175" s="692"/>
      <c r="AH175" s="692"/>
    </row>
    <row r="176" spans="10:34" s="557" customFormat="1">
      <c r="J176" s="276"/>
      <c r="K176" s="534"/>
      <c r="L176" s="534">
        <v>16</v>
      </c>
      <c r="M176" s="656">
        <v>57.173570905412909</v>
      </c>
      <c r="N176" s="656">
        <v>100.25114222935244</v>
      </c>
      <c r="O176" s="656">
        <v>80.749999999999957</v>
      </c>
      <c r="P176" s="276"/>
      <c r="Q176" s="277"/>
      <c r="R176" s="783"/>
      <c r="S176" s="783"/>
      <c r="T176" s="783"/>
      <c r="U176" s="783"/>
      <c r="V176" s="783"/>
      <c r="W176" s="783"/>
      <c r="X176" s="783"/>
      <c r="Y176" s="783"/>
      <c r="Z176" s="783"/>
      <c r="AA176" s="783"/>
      <c r="AB176" s="783"/>
      <c r="AC176" s="783"/>
      <c r="AD176" s="783"/>
      <c r="AE176" s="783"/>
      <c r="AF176" s="692"/>
      <c r="AG176" s="692"/>
      <c r="AH176" s="692"/>
    </row>
    <row r="177" spans="10:34" s="557" customFormat="1">
      <c r="J177" s="276"/>
      <c r="K177" s="534"/>
      <c r="L177" s="534">
        <v>17</v>
      </c>
      <c r="M177" s="656">
        <v>56.173570905412902</v>
      </c>
      <c r="N177" s="656">
        <v>98.251142229351998</v>
      </c>
      <c r="O177" s="656">
        <v>74.78</v>
      </c>
      <c r="P177" s="276"/>
      <c r="Q177" s="277"/>
      <c r="R177" s="783"/>
      <c r="S177" s="783"/>
      <c r="T177" s="783"/>
      <c r="U177" s="783"/>
      <c r="V177" s="783"/>
      <c r="W177" s="783"/>
      <c r="X177" s="783"/>
      <c r="Y177" s="783"/>
      <c r="Z177" s="783"/>
      <c r="AA177" s="783"/>
      <c r="AB177" s="783"/>
      <c r="AC177" s="783"/>
      <c r="AD177" s="783"/>
      <c r="AE177" s="783"/>
      <c r="AF177" s="692"/>
      <c r="AG177" s="692"/>
      <c r="AH177" s="692"/>
    </row>
    <row r="178" spans="10:34" s="557" customFormat="1">
      <c r="J178" s="276"/>
      <c r="K178" s="534">
        <v>18</v>
      </c>
      <c r="L178" s="534">
        <v>18</v>
      </c>
      <c r="M178" s="656">
        <v>32.715714285714284</v>
      </c>
      <c r="N178" s="656">
        <v>58.212857142857146</v>
      </c>
      <c r="O178" s="656">
        <v>55.015714285714289</v>
      </c>
      <c r="P178" s="276"/>
      <c r="Q178" s="277"/>
      <c r="R178" s="783"/>
      <c r="S178" s="783"/>
      <c r="T178" s="783"/>
      <c r="U178" s="783"/>
      <c r="V178" s="783"/>
      <c r="W178" s="783"/>
      <c r="X178" s="783"/>
      <c r="Y178" s="783"/>
      <c r="Z178" s="783"/>
      <c r="AA178" s="783"/>
      <c r="AB178" s="783"/>
      <c r="AC178" s="783"/>
      <c r="AD178" s="783"/>
      <c r="AE178" s="783"/>
      <c r="AF178" s="692"/>
      <c r="AG178" s="692"/>
      <c r="AH178" s="692"/>
    </row>
    <row r="179" spans="10:34" s="557" customFormat="1">
      <c r="J179" s="276"/>
      <c r="K179" s="534"/>
      <c r="L179" s="534">
        <v>19</v>
      </c>
      <c r="M179" s="656">
        <v>28.384857177734325</v>
      </c>
      <c r="N179" s="656">
        <v>54.184856959751606</v>
      </c>
      <c r="O179" s="656">
        <v>63.114713941301552</v>
      </c>
      <c r="P179" s="276"/>
      <c r="Q179" s="277"/>
      <c r="R179" s="783"/>
      <c r="S179" s="783"/>
      <c r="T179" s="783"/>
      <c r="U179" s="783"/>
      <c r="V179" s="783"/>
      <c r="W179" s="783"/>
      <c r="X179" s="783"/>
      <c r="Y179" s="783"/>
      <c r="Z179" s="783"/>
      <c r="AA179" s="783"/>
      <c r="AB179" s="783"/>
      <c r="AC179" s="783"/>
      <c r="AD179" s="783"/>
      <c r="AE179" s="783"/>
      <c r="AF179" s="692"/>
      <c r="AG179" s="692"/>
      <c r="AH179" s="692"/>
    </row>
    <row r="180" spans="10:34" s="557" customFormat="1">
      <c r="J180" s="276"/>
      <c r="K180" s="534"/>
      <c r="L180" s="534">
        <v>20</v>
      </c>
      <c r="M180" s="656">
        <v>29.131428854806028</v>
      </c>
      <c r="N180" s="656">
        <v>62.818143027169334</v>
      </c>
      <c r="O180" s="656">
        <v>74.948570251464801</v>
      </c>
      <c r="P180" s="276"/>
      <c r="Q180" s="277"/>
      <c r="R180" s="783"/>
      <c r="S180" s="783"/>
      <c r="T180" s="783"/>
      <c r="U180" s="783"/>
      <c r="V180" s="783"/>
      <c r="W180" s="783"/>
      <c r="X180" s="783"/>
      <c r="Y180" s="783"/>
      <c r="Z180" s="783"/>
      <c r="AA180" s="783"/>
      <c r="AB180" s="783"/>
      <c r="AC180" s="783"/>
      <c r="AD180" s="783"/>
      <c r="AE180" s="783"/>
      <c r="AF180" s="692"/>
      <c r="AG180" s="692"/>
      <c r="AH180" s="692"/>
    </row>
    <row r="181" spans="10:34" s="557" customFormat="1">
      <c r="J181" s="276"/>
      <c r="K181" s="534"/>
      <c r="L181" s="534">
        <v>21</v>
      </c>
      <c r="M181" s="656">
        <v>24.248714174543085</v>
      </c>
      <c r="N181" s="656">
        <v>55.007428305489626</v>
      </c>
      <c r="O181" s="656">
        <v>40.69300024850024</v>
      </c>
      <c r="P181" s="276"/>
      <c r="Q181" s="277"/>
      <c r="R181" s="783"/>
      <c r="S181" s="783"/>
      <c r="T181" s="783"/>
      <c r="U181" s="783"/>
      <c r="V181" s="783"/>
      <c r="W181" s="783"/>
      <c r="X181" s="783"/>
      <c r="Y181" s="783"/>
      <c r="Z181" s="783"/>
      <c r="AA181" s="783"/>
      <c r="AB181" s="783"/>
      <c r="AC181" s="783"/>
      <c r="AD181" s="783"/>
      <c r="AE181" s="783"/>
      <c r="AF181" s="692"/>
      <c r="AG181" s="692"/>
      <c r="AH181" s="692"/>
    </row>
    <row r="182" spans="10:34" s="557" customFormat="1">
      <c r="J182" s="276"/>
      <c r="K182" s="534">
        <v>22</v>
      </c>
      <c r="L182" s="534">
        <v>22</v>
      </c>
      <c r="M182" s="656">
        <v>20.351571764285715</v>
      </c>
      <c r="N182" s="656">
        <v>46.462857382857138</v>
      </c>
      <c r="O182" s="656">
        <v>34.15499986857143</v>
      </c>
      <c r="P182" s="276"/>
      <c r="Q182" s="277"/>
      <c r="R182" s="783"/>
      <c r="S182" s="783"/>
      <c r="T182" s="783"/>
      <c r="U182" s="783"/>
      <c r="V182" s="783"/>
      <c r="W182" s="783"/>
      <c r="X182" s="783"/>
      <c r="Y182" s="783"/>
      <c r="Z182" s="783"/>
      <c r="AA182" s="783"/>
      <c r="AB182" s="783"/>
      <c r="AC182" s="783"/>
      <c r="AD182" s="783"/>
      <c r="AE182" s="783"/>
      <c r="AF182" s="692"/>
      <c r="AG182" s="692"/>
      <c r="AH182" s="692"/>
    </row>
    <row r="183" spans="10:34" s="557" customFormat="1">
      <c r="J183" s="276"/>
      <c r="K183" s="534"/>
      <c r="L183" s="534">
        <v>23</v>
      </c>
      <c r="M183" s="656">
        <v>18.67642865862161</v>
      </c>
      <c r="N183" s="656">
        <v>44.122500737508098</v>
      </c>
      <c r="O183" s="656">
        <v>38.822832743326785</v>
      </c>
      <c r="P183" s="276"/>
      <c r="Q183" s="277"/>
      <c r="R183" s="783"/>
      <c r="S183" s="783"/>
      <c r="T183" s="783"/>
      <c r="U183" s="783"/>
      <c r="V183" s="783"/>
      <c r="W183" s="783"/>
      <c r="X183" s="783"/>
      <c r="Y183" s="783"/>
      <c r="Z183" s="783"/>
      <c r="AA183" s="783"/>
      <c r="AB183" s="783"/>
      <c r="AC183" s="783"/>
      <c r="AD183" s="783"/>
      <c r="AE183" s="783"/>
      <c r="AF183" s="692"/>
      <c r="AG183" s="692"/>
      <c r="AH183" s="692"/>
    </row>
    <row r="184" spans="10:34" s="557" customFormat="1">
      <c r="J184" s="276"/>
      <c r="K184" s="534"/>
      <c r="L184" s="534">
        <v>24</v>
      </c>
      <c r="M184" s="656">
        <v>17.118428638571427</v>
      </c>
      <c r="N184" s="656">
        <v>40.649428780000001</v>
      </c>
      <c r="O184" s="656">
        <v>43.344285420000006</v>
      </c>
      <c r="P184" s="276"/>
      <c r="Q184" s="277"/>
      <c r="R184" s="783"/>
      <c r="S184" s="783"/>
      <c r="T184" s="783"/>
      <c r="U184" s="783"/>
      <c r="V184" s="783"/>
      <c r="W184" s="783"/>
      <c r="X184" s="783"/>
      <c r="Y184" s="783"/>
      <c r="Z184" s="783"/>
      <c r="AA184" s="783"/>
      <c r="AB184" s="783"/>
      <c r="AC184" s="783"/>
      <c r="AD184" s="783"/>
      <c r="AE184" s="783"/>
      <c r="AF184" s="692"/>
      <c r="AG184" s="692"/>
      <c r="AH184" s="692"/>
    </row>
    <row r="185" spans="10:34" s="557" customFormat="1">
      <c r="J185" s="276"/>
      <c r="K185" s="534"/>
      <c r="L185" s="534">
        <v>25</v>
      </c>
      <c r="M185" s="656">
        <v>15.889428547142858</v>
      </c>
      <c r="N185" s="656">
        <v>36.63071441571428</v>
      </c>
      <c r="O185" s="656">
        <v>27.371428898571427</v>
      </c>
      <c r="P185" s="276"/>
      <c r="Q185" s="277"/>
      <c r="R185" s="783"/>
      <c r="S185" s="783"/>
      <c r="T185" s="783"/>
      <c r="U185" s="783"/>
      <c r="V185" s="783"/>
      <c r="W185" s="783"/>
      <c r="X185" s="783"/>
      <c r="Y185" s="783"/>
      <c r="Z185" s="783"/>
      <c r="AA185" s="783"/>
      <c r="AB185" s="783"/>
      <c r="AC185" s="783"/>
      <c r="AD185" s="783"/>
      <c r="AE185" s="783"/>
      <c r="AF185" s="692"/>
      <c r="AG185" s="692"/>
      <c r="AH185" s="692"/>
    </row>
    <row r="186" spans="10:34" s="557" customFormat="1">
      <c r="J186" s="276"/>
      <c r="K186" s="534">
        <v>26</v>
      </c>
      <c r="L186" s="534">
        <v>26</v>
      </c>
      <c r="M186" s="656">
        <v>14.38928576857143</v>
      </c>
      <c r="N186" s="656">
        <v>34.614857537142861</v>
      </c>
      <c r="O186" s="656">
        <v>25.336999892857143</v>
      </c>
      <c r="P186" s="276"/>
      <c r="Q186" s="277"/>
      <c r="R186" s="783"/>
      <c r="S186" s="783"/>
      <c r="T186" s="783"/>
      <c r="U186" s="783"/>
      <c r="V186" s="783"/>
      <c r="W186" s="783"/>
      <c r="X186" s="783"/>
      <c r="Y186" s="783"/>
      <c r="Z186" s="783"/>
      <c r="AA186" s="783"/>
      <c r="AB186" s="783"/>
      <c r="AC186" s="783"/>
      <c r="AD186" s="783"/>
      <c r="AE186" s="783"/>
      <c r="AF186" s="692"/>
      <c r="AG186" s="692"/>
      <c r="AH186" s="692"/>
    </row>
    <row r="187" spans="10:34">
      <c r="M187" s="656"/>
      <c r="N187" s="656"/>
      <c r="O187" s="656"/>
    </row>
    <row r="188" spans="10:34">
      <c r="M188" s="656"/>
      <c r="N188" s="656"/>
      <c r="O188" s="656"/>
    </row>
    <row r="189" spans="10:34">
      <c r="M189" s="656"/>
      <c r="N189" s="656"/>
      <c r="O189" s="656"/>
    </row>
    <row r="190" spans="10:34">
      <c r="M190" s="656"/>
      <c r="N190" s="656"/>
      <c r="O190" s="656"/>
    </row>
    <row r="191" spans="10:34">
      <c r="M191" s="656"/>
      <c r="N191" s="656"/>
      <c r="O191" s="656"/>
    </row>
    <row r="192" spans="10:34">
      <c r="M192" s="656"/>
      <c r="N192" s="656"/>
      <c r="O192" s="656"/>
    </row>
    <row r="193" spans="13:15">
      <c r="M193" s="656"/>
      <c r="N193" s="656"/>
      <c r="O193" s="656"/>
    </row>
    <row r="194" spans="13:15">
      <c r="M194" s="656"/>
      <c r="N194" s="656"/>
      <c r="O194" s="656"/>
    </row>
    <row r="195" spans="13:15">
      <c r="M195" s="656"/>
      <c r="N195" s="656"/>
      <c r="O195" s="656"/>
    </row>
    <row r="196" spans="13:15">
      <c r="M196" s="656"/>
      <c r="N196" s="656"/>
      <c r="O196" s="656"/>
    </row>
    <row r="197" spans="13:15">
      <c r="M197" s="656"/>
      <c r="N197" s="656"/>
      <c r="O197" s="656"/>
    </row>
    <row r="198" spans="13:15">
      <c r="M198" s="656"/>
      <c r="N198" s="656"/>
      <c r="O198" s="656"/>
    </row>
    <row r="199" spans="13:15">
      <c r="M199" s="656"/>
      <c r="N199" s="656"/>
      <c r="O199" s="656"/>
    </row>
    <row r="200" spans="13:15">
      <c r="M200" s="656"/>
      <c r="N200" s="656"/>
      <c r="O200" s="656"/>
    </row>
    <row r="202" spans="13:15">
      <c r="M202" s="276" t="s">
        <v>261</v>
      </c>
      <c r="N202" s="276" t="s">
        <v>262</v>
      </c>
      <c r="O202" s="276" t="s">
        <v>263</v>
      </c>
    </row>
  </sheetData>
  <mergeCells count="2">
    <mergeCell ref="A3:G3"/>
    <mergeCell ref="A35:G35"/>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72"/>
  <sheetViews>
    <sheetView showGridLines="0" view="pageBreakPreview" zoomScaleNormal="100" zoomScaleSheetLayoutView="100" zoomScalePageLayoutView="115" workbookViewId="0">
      <selection activeCell="B18" sqref="M18"/>
    </sheetView>
  </sheetViews>
  <sheetFormatPr baseColWidth="10" defaultColWidth="9.33203125" defaultRowHeight="11.25"/>
  <cols>
    <col min="10" max="11" width="9.33203125" customWidth="1"/>
    <col min="13" max="16" width="9.33203125" style="277"/>
    <col min="17" max="17" width="11.6640625" style="277" bestFit="1" customWidth="1"/>
    <col min="18" max="18" width="15.1640625" style="277" customWidth="1"/>
    <col min="19" max="19" width="14.33203125" style="277" customWidth="1"/>
    <col min="20" max="20" width="14.5" style="277" customWidth="1"/>
    <col min="21" max="21" width="9.5" style="277" bestFit="1" customWidth="1"/>
    <col min="22" max="22" width="14.6640625" style="277" customWidth="1"/>
    <col min="23" max="23" width="9.5" style="277" customWidth="1"/>
    <col min="24" max="24" width="9.6640625" style="277" bestFit="1" customWidth="1"/>
    <col min="25" max="25" width="9.5" style="277" bestFit="1" customWidth="1"/>
    <col min="26" max="26" width="9.33203125" style="783"/>
    <col min="27" max="35" width="9.33203125" style="69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260</v>
      </c>
      <c r="P3" s="603"/>
      <c r="Q3" s="277" t="s">
        <v>264</v>
      </c>
      <c r="R3" s="277" t="s">
        <v>265</v>
      </c>
      <c r="S3" s="277" t="s">
        <v>266</v>
      </c>
      <c r="T3" s="277" t="s">
        <v>267</v>
      </c>
      <c r="U3" s="277" t="s">
        <v>268</v>
      </c>
      <c r="V3" s="277" t="s">
        <v>269</v>
      </c>
      <c r="W3" s="277" t="s">
        <v>270</v>
      </c>
      <c r="X3" s="277" t="s">
        <v>271</v>
      </c>
      <c r="Y3" s="277" t="s">
        <v>272</v>
      </c>
    </row>
    <row r="4" spans="1:25" ht="11.25" customHeight="1">
      <c r="A4" s="132"/>
      <c r="B4" s="132"/>
      <c r="C4" s="132"/>
      <c r="D4" s="132"/>
      <c r="E4" s="132"/>
      <c r="F4" s="132"/>
      <c r="G4" s="138"/>
      <c r="H4" s="138"/>
      <c r="I4" s="138"/>
      <c r="J4" s="148"/>
      <c r="K4" s="148"/>
      <c r="L4" s="148"/>
      <c r="N4" s="277">
        <v>2019</v>
      </c>
      <c r="O4" s="277">
        <v>1</v>
      </c>
      <c r="P4" s="603">
        <v>1</v>
      </c>
      <c r="Q4" s="788">
        <v>8.992857251428573</v>
      </c>
      <c r="R4" s="788">
        <v>4.4642857141428571</v>
      </c>
      <c r="S4" s="788">
        <v>57.514999934285704</v>
      </c>
      <c r="T4" s="788">
        <v>79.871427261428579</v>
      </c>
      <c r="U4" s="788">
        <v>13.115714484285716</v>
      </c>
      <c r="V4" s="788">
        <v>11.571904317142856</v>
      </c>
      <c r="W4" s="788">
        <v>1.2999999520000001</v>
      </c>
      <c r="X4" s="788">
        <v>121.75642612857142</v>
      </c>
      <c r="Y4" s="788">
        <v>64.398429325714275</v>
      </c>
    </row>
    <row r="5" spans="1:25" ht="11.25" customHeight="1">
      <c r="A5" s="176"/>
      <c r="B5" s="176"/>
      <c r="C5" s="176"/>
      <c r="D5" s="176"/>
      <c r="E5" s="176"/>
      <c r="F5" s="176"/>
      <c r="G5" s="176"/>
      <c r="H5" s="176"/>
      <c r="I5" s="176"/>
      <c r="J5" s="24"/>
      <c r="K5" s="24"/>
      <c r="L5" s="131"/>
      <c r="P5" s="603">
        <v>2</v>
      </c>
      <c r="Q5" s="788">
        <v>7.4904285157142843</v>
      </c>
      <c r="R5" s="788">
        <v>3.3685714177142856</v>
      </c>
      <c r="S5" s="788">
        <v>63.363856724285711</v>
      </c>
      <c r="T5" s="788">
        <v>84.184571402857145</v>
      </c>
      <c r="U5" s="788">
        <v>16.11014284285714</v>
      </c>
      <c r="V5" s="788">
        <v>11.570298602857141</v>
      </c>
      <c r="W5" s="788">
        <v>1.2999999520000001</v>
      </c>
      <c r="X5" s="788">
        <v>180.32999965714288</v>
      </c>
      <c r="Y5" s="788">
        <v>70.997858864285703</v>
      </c>
    </row>
    <row r="6" spans="1:25" ht="11.25" customHeight="1">
      <c r="A6" s="132"/>
      <c r="B6" s="291"/>
      <c r="C6" s="292"/>
      <c r="D6" s="293"/>
      <c r="E6" s="293"/>
      <c r="F6" s="177"/>
      <c r="G6" s="178"/>
      <c r="H6" s="178"/>
      <c r="I6" s="179"/>
      <c r="J6" s="24"/>
      <c r="K6" s="24"/>
      <c r="L6" s="19"/>
      <c r="P6" s="603">
        <v>3</v>
      </c>
      <c r="Q6" s="788">
        <v>14.36</v>
      </c>
      <c r="R6" s="788">
        <v>10.74</v>
      </c>
      <c r="S6" s="788">
        <v>80.75</v>
      </c>
      <c r="T6" s="788">
        <v>149.30000000000001</v>
      </c>
      <c r="U6" s="788">
        <v>29.23</v>
      </c>
      <c r="V6" s="788">
        <v>11.28</v>
      </c>
      <c r="W6" s="788">
        <v>1.33</v>
      </c>
      <c r="X6" s="788">
        <v>167.22</v>
      </c>
      <c r="Y6" s="788">
        <v>68.83</v>
      </c>
    </row>
    <row r="7" spans="1:25" ht="11.25" customHeight="1">
      <c r="A7" s="132"/>
      <c r="B7" s="180"/>
      <c r="C7" s="180"/>
      <c r="D7" s="181"/>
      <c r="E7" s="181"/>
      <c r="F7" s="177"/>
      <c r="G7" s="178"/>
      <c r="H7" s="178"/>
      <c r="I7" s="179"/>
      <c r="J7" s="25"/>
      <c r="K7" s="25"/>
      <c r="L7" s="22"/>
      <c r="P7" s="603">
        <v>4</v>
      </c>
      <c r="Q7" s="788">
        <v>17.131428719999999</v>
      </c>
      <c r="R7" s="788">
        <v>11.155714580142858</v>
      </c>
      <c r="S7" s="788">
        <v>85.689570837142853</v>
      </c>
      <c r="T7" s="788">
        <v>168.80999974285714</v>
      </c>
      <c r="U7" s="788">
        <v>36.200000218571425</v>
      </c>
      <c r="V7" s="788">
        <v>11.843988554285716</v>
      </c>
      <c r="W7" s="788">
        <v>3.0287143159999999</v>
      </c>
      <c r="X7" s="788">
        <v>185.51500375714286</v>
      </c>
      <c r="Y7" s="788">
        <v>70.089428494285713</v>
      </c>
    </row>
    <row r="8" spans="1:25" ht="11.25" customHeight="1">
      <c r="A8" s="132"/>
      <c r="B8" s="182"/>
      <c r="C8" s="132"/>
      <c r="D8" s="156"/>
      <c r="E8" s="156"/>
      <c r="F8" s="177"/>
      <c r="G8" s="178"/>
      <c r="H8" s="178"/>
      <c r="I8" s="179"/>
      <c r="J8" s="23"/>
      <c r="K8" s="23"/>
      <c r="L8" s="24"/>
      <c r="P8" s="603">
        <v>5</v>
      </c>
      <c r="Q8" s="788">
        <v>30.592286245714288</v>
      </c>
      <c r="R8" s="788">
        <v>16.463000024285716</v>
      </c>
      <c r="S8" s="788">
        <v>416.48700821428571</v>
      </c>
      <c r="T8" s="788">
        <v>195.24999782857142</v>
      </c>
      <c r="U8" s="788">
        <v>36.703999928571427</v>
      </c>
      <c r="V8" s="788">
        <v>12.496724401428571</v>
      </c>
      <c r="W8" s="788">
        <v>6.6928571292857146</v>
      </c>
      <c r="X8" s="788">
        <v>199.03571430000002</v>
      </c>
      <c r="Y8" s="788">
        <v>74.655428748571438</v>
      </c>
    </row>
    <row r="9" spans="1:25" ht="11.25" customHeight="1">
      <c r="A9" s="132"/>
      <c r="B9" s="182"/>
      <c r="C9" s="132"/>
      <c r="D9" s="156"/>
      <c r="E9" s="156"/>
      <c r="F9" s="177"/>
      <c r="G9" s="178"/>
      <c r="H9" s="178"/>
      <c r="I9" s="179"/>
      <c r="J9" s="25"/>
      <c r="K9" s="26"/>
      <c r="L9" s="22"/>
      <c r="P9" s="603">
        <v>6</v>
      </c>
      <c r="Q9" s="788">
        <v>20.372857142857146</v>
      </c>
      <c r="R9" s="788">
        <v>17.05857142857143</v>
      </c>
      <c r="S9" s="788">
        <v>426.67142857142863</v>
      </c>
      <c r="T9" s="788">
        <v>265.28000000000003</v>
      </c>
      <c r="U9" s="788">
        <v>51.29</v>
      </c>
      <c r="V9" s="788">
        <v>12.744285714285715</v>
      </c>
      <c r="W9" s="788">
        <v>14.464285714285714</v>
      </c>
      <c r="X9" s="788">
        <v>338.89857142857142</v>
      </c>
      <c r="Y9" s="788">
        <v>117.82857142857142</v>
      </c>
    </row>
    <row r="10" spans="1:25" ht="11.25" customHeight="1">
      <c r="A10" s="132"/>
      <c r="B10" s="182"/>
      <c r="C10" s="132"/>
      <c r="D10" s="156"/>
      <c r="E10" s="156"/>
      <c r="F10" s="177"/>
      <c r="G10" s="178"/>
      <c r="H10" s="178"/>
      <c r="I10" s="179"/>
      <c r="J10" s="25"/>
      <c r="K10" s="25"/>
      <c r="L10" s="22"/>
      <c r="P10" s="603">
        <v>7</v>
      </c>
      <c r="Q10" s="788">
        <v>28.837571554285717</v>
      </c>
      <c r="R10" s="788">
        <v>18.065285818571429</v>
      </c>
      <c r="S10" s="788">
        <v>581.62514822857145</v>
      </c>
      <c r="T10" s="788">
        <v>230.7322888857143</v>
      </c>
      <c r="U10" s="788">
        <v>46.224000658571427</v>
      </c>
      <c r="V10" s="788">
        <v>23.841369902857146</v>
      </c>
      <c r="W10" s="788">
        <v>21.059571402857141</v>
      </c>
      <c r="X10" s="788">
        <v>288.0957205571429</v>
      </c>
      <c r="Y10" s="788">
        <v>118.07871352857144</v>
      </c>
    </row>
    <row r="11" spans="1:25" ht="11.25" customHeight="1">
      <c r="A11" s="132"/>
      <c r="B11" s="156"/>
      <c r="C11" s="132"/>
      <c r="D11" s="156"/>
      <c r="E11" s="156"/>
      <c r="F11" s="177"/>
      <c r="G11" s="178"/>
      <c r="H11" s="178"/>
      <c r="I11" s="179"/>
      <c r="J11" s="25"/>
      <c r="K11" s="25"/>
      <c r="L11" s="22"/>
      <c r="O11" s="277">
        <v>8</v>
      </c>
      <c r="P11" s="603">
        <v>8</v>
      </c>
      <c r="Q11" s="788">
        <v>20.077857700000003</v>
      </c>
      <c r="R11" s="788">
        <v>14.531571660571432</v>
      </c>
      <c r="S11" s="788">
        <v>439.74099729999995</v>
      </c>
      <c r="T11" s="788">
        <v>219.37485614285717</v>
      </c>
      <c r="U11" s="788">
        <v>42.94585745571429</v>
      </c>
      <c r="V11" s="788">
        <v>23.894881112857146</v>
      </c>
      <c r="W11" s="788">
        <v>6.8928571428571432</v>
      </c>
      <c r="X11" s="788">
        <v>411.75142995714288</v>
      </c>
      <c r="Y11" s="788">
        <v>98.32</v>
      </c>
    </row>
    <row r="12" spans="1:25" ht="11.25" customHeight="1">
      <c r="A12" s="132"/>
      <c r="B12" s="156"/>
      <c r="C12" s="132"/>
      <c r="D12" s="156"/>
      <c r="E12" s="156"/>
      <c r="F12" s="177"/>
      <c r="G12" s="178"/>
      <c r="H12" s="178"/>
      <c r="I12" s="179"/>
      <c r="J12" s="25"/>
      <c r="K12" s="25"/>
      <c r="L12" s="22"/>
      <c r="P12" s="603">
        <v>9</v>
      </c>
      <c r="Q12" s="788">
        <v>26.317999977142858</v>
      </c>
      <c r="R12" s="788">
        <v>19.520428521428574</v>
      </c>
      <c r="S12" s="788">
        <v>316.26999772857147</v>
      </c>
      <c r="T12" s="788">
        <v>191.17842539999998</v>
      </c>
      <c r="U12" s="788">
        <v>34.696428571428569</v>
      </c>
      <c r="V12" s="788">
        <v>22.406962801428573</v>
      </c>
      <c r="W12" s="788">
        <v>3.3807143142857146</v>
      </c>
      <c r="X12" s="788">
        <v>249.46285358571427</v>
      </c>
      <c r="Y12" s="788">
        <v>120.90099988571428</v>
      </c>
    </row>
    <row r="13" spans="1:25" ht="11.25" customHeight="1">
      <c r="A13" s="132"/>
      <c r="B13" s="156"/>
      <c r="C13" s="132"/>
      <c r="D13" s="156"/>
      <c r="E13" s="156"/>
      <c r="F13" s="177"/>
      <c r="G13" s="178"/>
      <c r="H13" s="178"/>
      <c r="I13" s="179"/>
      <c r="J13" s="23"/>
      <c r="K13" s="23"/>
      <c r="L13" s="24"/>
      <c r="P13" s="603">
        <v>10</v>
      </c>
      <c r="Q13" s="788">
        <v>27.959571565714288</v>
      </c>
      <c r="R13" s="788">
        <v>20.831714628571426</v>
      </c>
      <c r="S13" s="788">
        <v>326.63642664285715</v>
      </c>
      <c r="T13" s="788">
        <v>184.08928571428572</v>
      </c>
      <c r="U13" s="788">
        <v>38.680999754285715</v>
      </c>
      <c r="V13" s="788">
        <v>23.828572680000001</v>
      </c>
      <c r="W13" s="788">
        <v>2.3840000118571427</v>
      </c>
      <c r="X13" s="788">
        <v>225.10000174285716</v>
      </c>
      <c r="Y13" s="788">
        <v>78.177285328571429</v>
      </c>
    </row>
    <row r="14" spans="1:25" ht="11.25" customHeight="1">
      <c r="A14" s="132"/>
      <c r="B14" s="156"/>
      <c r="C14" s="132"/>
      <c r="D14" s="156"/>
      <c r="E14" s="156"/>
      <c r="F14" s="177"/>
      <c r="G14" s="178"/>
      <c r="H14" s="178"/>
      <c r="I14" s="179"/>
      <c r="J14" s="25"/>
      <c r="K14" s="26"/>
      <c r="L14" s="22"/>
      <c r="P14" s="603">
        <v>11</v>
      </c>
      <c r="Q14" s="788">
        <v>27.959571565714288</v>
      </c>
      <c r="R14" s="788">
        <v>22.247142927987216</v>
      </c>
      <c r="S14" s="788">
        <v>416.08099801199745</v>
      </c>
      <c r="T14" s="788">
        <v>226.88085501534573</v>
      </c>
      <c r="U14" s="788">
        <v>42.633285522460888</v>
      </c>
      <c r="V14" s="788">
        <v>23.809881482805473</v>
      </c>
      <c r="W14" s="788">
        <v>1.9291428668158341</v>
      </c>
      <c r="X14" s="788">
        <v>217.45642525809117</v>
      </c>
      <c r="Y14" s="788">
        <v>44.638999938964801</v>
      </c>
    </row>
    <row r="15" spans="1:25" ht="11.25" customHeight="1">
      <c r="A15" s="132"/>
      <c r="B15" s="156"/>
      <c r="C15" s="132"/>
      <c r="D15" s="156"/>
      <c r="E15" s="156"/>
      <c r="F15" s="177"/>
      <c r="G15" s="178"/>
      <c r="H15" s="178"/>
      <c r="I15" s="179"/>
      <c r="J15" s="25"/>
      <c r="K15" s="26"/>
      <c r="L15" s="22"/>
      <c r="P15" s="603">
        <v>12</v>
      </c>
      <c r="Q15" s="788">
        <v>28.476714270455457</v>
      </c>
      <c r="R15" s="788">
        <v>21.707857131428572</v>
      </c>
      <c r="S15" s="788">
        <v>394.13957431428571</v>
      </c>
      <c r="T15" s="788">
        <v>203.44642857142858</v>
      </c>
      <c r="U15" s="788">
        <v>43.529285431428569</v>
      </c>
      <c r="V15" s="788">
        <v>19.572964258571432</v>
      </c>
      <c r="W15" s="788">
        <v>1.7968571012857144</v>
      </c>
      <c r="X15" s="788">
        <v>327.82142857142861</v>
      </c>
      <c r="Y15" s="788">
        <v>98.4</v>
      </c>
    </row>
    <row r="16" spans="1:25" ht="11.25" customHeight="1">
      <c r="A16" s="132"/>
      <c r="B16" s="156"/>
      <c r="C16" s="132"/>
      <c r="D16" s="156"/>
      <c r="E16" s="156"/>
      <c r="F16" s="177"/>
      <c r="G16" s="178"/>
      <c r="H16" s="178"/>
      <c r="I16" s="179"/>
      <c r="J16" s="25"/>
      <c r="K16" s="26"/>
      <c r="L16" s="22"/>
      <c r="P16" s="603">
        <v>13</v>
      </c>
      <c r="Q16" s="788">
        <v>24.844714028571435</v>
      </c>
      <c r="R16" s="788">
        <v>20.569142751428576</v>
      </c>
      <c r="S16" s="788">
        <v>522.42285592857138</v>
      </c>
      <c r="T16" s="788">
        <v>225.26185825714285</v>
      </c>
      <c r="U16" s="788">
        <v>57.974427901428569</v>
      </c>
      <c r="V16" s="788">
        <v>12.582738467142859</v>
      </c>
      <c r="W16" s="788">
        <v>1.6904285634285714</v>
      </c>
      <c r="X16" s="788">
        <v>339.04356602857143</v>
      </c>
      <c r="Y16" s="788">
        <v>92.103571201428579</v>
      </c>
    </row>
    <row r="17" spans="1:25" ht="11.25" customHeight="1">
      <c r="A17" s="132"/>
      <c r="B17" s="156"/>
      <c r="C17" s="132"/>
      <c r="D17" s="156"/>
      <c r="E17" s="156"/>
      <c r="F17" s="177"/>
      <c r="G17" s="178"/>
      <c r="H17" s="178"/>
      <c r="I17" s="179"/>
      <c r="J17" s="25"/>
      <c r="K17" s="26"/>
      <c r="L17" s="22"/>
      <c r="P17" s="603">
        <v>14</v>
      </c>
      <c r="Q17" s="788">
        <v>29.483285902857141</v>
      </c>
      <c r="R17" s="788">
        <v>18.767857142857142</v>
      </c>
      <c r="S17" s="788">
        <v>316.33943394285717</v>
      </c>
      <c r="T17" s="788">
        <v>152.47643277142856</v>
      </c>
      <c r="U17" s="788">
        <v>55.119428907142868</v>
      </c>
      <c r="V17" s="788">
        <v>21.303751674285714</v>
      </c>
      <c r="W17" s="788">
        <v>1.6808571647142858</v>
      </c>
      <c r="X17" s="788">
        <v>250.08571298571431</v>
      </c>
      <c r="Y17" s="788">
        <v>65.665856497142855</v>
      </c>
    </row>
    <row r="18" spans="1:25" ht="11.25" customHeight="1">
      <c r="A18" s="900" t="s">
        <v>553</v>
      </c>
      <c r="B18" s="900"/>
      <c r="C18" s="900"/>
      <c r="D18" s="900"/>
      <c r="E18" s="900"/>
      <c r="F18" s="900"/>
      <c r="G18" s="900"/>
      <c r="H18" s="900"/>
      <c r="I18" s="900"/>
      <c r="J18" s="900"/>
      <c r="K18" s="900"/>
      <c r="L18" s="900"/>
      <c r="P18" s="603">
        <v>15</v>
      </c>
      <c r="Q18" s="788">
        <v>20.040428705714284</v>
      </c>
      <c r="R18" s="788">
        <v>14.275999887714287</v>
      </c>
      <c r="S18" s="788">
        <v>168.45457024285716</v>
      </c>
      <c r="T18" s="788">
        <v>98.160714291428576</v>
      </c>
      <c r="U18" s="788">
        <v>27.713714872857139</v>
      </c>
      <c r="V18" s="788">
        <v>17.810774395714287</v>
      </c>
      <c r="W18" s="788">
        <v>1.7205714498571432</v>
      </c>
      <c r="X18" s="788">
        <v>148.48785617142858</v>
      </c>
      <c r="Y18" s="788">
        <v>49.633285522857136</v>
      </c>
    </row>
    <row r="19" spans="1:25" ht="11.25" customHeight="1">
      <c r="A19" s="25"/>
      <c r="B19" s="156"/>
      <c r="C19" s="132"/>
      <c r="D19" s="156"/>
      <c r="E19" s="156"/>
      <c r="F19" s="177"/>
      <c r="G19" s="178"/>
      <c r="H19" s="178"/>
      <c r="I19" s="179"/>
      <c r="J19" s="25"/>
      <c r="K19" s="26"/>
      <c r="L19" s="22"/>
      <c r="O19" s="277">
        <v>16</v>
      </c>
      <c r="P19" s="603">
        <v>16</v>
      </c>
      <c r="Q19" s="788">
        <v>16.072142737142858</v>
      </c>
      <c r="R19" s="788">
        <v>10.180143014285713</v>
      </c>
      <c r="S19" s="788">
        <v>131.80142647142856</v>
      </c>
      <c r="T19" s="788">
        <v>98.279714314285712</v>
      </c>
      <c r="U19" s="788">
        <v>22.869143077142859</v>
      </c>
      <c r="V19" s="788">
        <v>12.210951395714286</v>
      </c>
      <c r="W19" s="788">
        <v>1.789857131857143</v>
      </c>
      <c r="X19" s="788">
        <v>105.47928511571429</v>
      </c>
      <c r="Y19" s="788">
        <v>31.291000095714285</v>
      </c>
    </row>
    <row r="20" spans="1:25" ht="11.25" customHeight="1">
      <c r="A20" s="132"/>
      <c r="B20" s="156"/>
      <c r="C20" s="132"/>
      <c r="D20" s="156"/>
      <c r="E20" s="156"/>
      <c r="F20" s="177"/>
      <c r="G20" s="178"/>
      <c r="H20" s="178"/>
      <c r="I20" s="179"/>
      <c r="J20" s="25"/>
      <c r="K20" s="26"/>
      <c r="L20" s="22"/>
      <c r="P20" s="603">
        <v>17</v>
      </c>
      <c r="Q20" s="788">
        <v>15.383999960000001</v>
      </c>
      <c r="R20" s="788">
        <v>12.121571608857142</v>
      </c>
      <c r="S20" s="788">
        <v>143.84128789999997</v>
      </c>
      <c r="T20" s="788">
        <v>83.547571454285716</v>
      </c>
      <c r="U20" s="788">
        <v>20.273857388571425</v>
      </c>
      <c r="V20" s="788">
        <v>12.949641501428573</v>
      </c>
      <c r="W20" s="788">
        <v>1.6648571664285714</v>
      </c>
      <c r="X20" s="788">
        <v>103.81928579571429</v>
      </c>
      <c r="Y20" s="788">
        <v>25.921857015714284</v>
      </c>
    </row>
    <row r="21" spans="1:25" ht="11.25" customHeight="1">
      <c r="A21" s="132"/>
      <c r="B21" s="156"/>
      <c r="C21" s="132"/>
      <c r="D21" s="156"/>
      <c r="E21" s="156"/>
      <c r="F21" s="177"/>
      <c r="G21" s="178"/>
      <c r="H21" s="178"/>
      <c r="I21" s="179"/>
      <c r="J21" s="25"/>
      <c r="K21" s="29"/>
      <c r="L21" s="30"/>
      <c r="P21" s="603">
        <v>18</v>
      </c>
      <c r="Q21" s="788">
        <v>16.026142665714286</v>
      </c>
      <c r="R21" s="788">
        <v>11.996285711571428</v>
      </c>
      <c r="S21" s="788">
        <v>111.12314277285714</v>
      </c>
      <c r="T21" s="788">
        <v>74.392857142857139</v>
      </c>
      <c r="U21" s="788">
        <v>18.103142875714287</v>
      </c>
      <c r="V21" s="788">
        <v>11.493274145714285</v>
      </c>
      <c r="W21" s="788">
        <v>1.55</v>
      </c>
      <c r="X21" s="788">
        <v>91.532855442857141</v>
      </c>
      <c r="Y21" s="788">
        <v>22.190428595714284</v>
      </c>
    </row>
    <row r="22" spans="1:25" ht="11.25" customHeight="1">
      <c r="A22" s="137"/>
      <c r="B22" s="156"/>
      <c r="C22" s="132"/>
      <c r="D22" s="156"/>
      <c r="E22" s="156"/>
      <c r="F22" s="177"/>
      <c r="G22" s="178"/>
      <c r="H22" s="178"/>
      <c r="I22" s="179"/>
      <c r="J22" s="25"/>
      <c r="K22" s="26"/>
      <c r="L22" s="22"/>
      <c r="P22" s="603">
        <v>19</v>
      </c>
      <c r="Q22" s="788">
        <v>14.769714355714287</v>
      </c>
      <c r="R22" s="788">
        <v>10.123285769857144</v>
      </c>
      <c r="S22" s="788">
        <v>89.41828482428572</v>
      </c>
      <c r="T22" s="788">
        <v>60.613000051428571</v>
      </c>
      <c r="U22" s="788">
        <v>15.728999954285714</v>
      </c>
      <c r="V22" s="788">
        <v>10.883738517142858</v>
      </c>
      <c r="W22" s="788">
        <v>1.5914285865714286</v>
      </c>
      <c r="X22" s="788">
        <v>82.45500183</v>
      </c>
      <c r="Y22" s="788">
        <v>20.991285870000006</v>
      </c>
    </row>
    <row r="23" spans="1:25" ht="11.25" customHeight="1">
      <c r="A23" s="137"/>
      <c r="B23" s="156"/>
      <c r="C23" s="132"/>
      <c r="D23" s="156"/>
      <c r="E23" s="156"/>
      <c r="F23" s="177"/>
      <c r="G23" s="178"/>
      <c r="H23" s="178"/>
      <c r="I23" s="179"/>
      <c r="J23" s="25"/>
      <c r="K23" s="26"/>
      <c r="L23" s="22"/>
      <c r="P23" s="603">
        <v>20</v>
      </c>
      <c r="Q23" s="788">
        <v>13.81242861</v>
      </c>
      <c r="R23" s="788">
        <v>9.3731427190000005</v>
      </c>
      <c r="S23" s="788">
        <v>79.212427410000004</v>
      </c>
      <c r="T23" s="788">
        <v>72.321428569999995</v>
      </c>
      <c r="U23" s="788">
        <v>20.647571429999999</v>
      </c>
      <c r="V23" s="788">
        <v>11.153748650000001</v>
      </c>
      <c r="W23" s="788">
        <v>1.5371428389999999</v>
      </c>
      <c r="X23" s="788">
        <v>76.857142859999996</v>
      </c>
      <c r="Y23" s="788">
        <v>23.085714070000002</v>
      </c>
    </row>
    <row r="24" spans="1:25" ht="11.25" customHeight="1">
      <c r="A24" s="137"/>
      <c r="B24" s="156"/>
      <c r="C24" s="132"/>
      <c r="D24" s="156"/>
      <c r="E24" s="156"/>
      <c r="F24" s="177"/>
      <c r="G24" s="178"/>
      <c r="H24" s="178"/>
      <c r="I24" s="179"/>
      <c r="J24" s="26"/>
      <c r="K24" s="26"/>
      <c r="L24" s="22"/>
      <c r="P24" s="603">
        <v>21</v>
      </c>
      <c r="Q24" s="788">
        <v>12.849714414285714</v>
      </c>
      <c r="R24" s="788">
        <v>7.085428442285715</v>
      </c>
      <c r="S24" s="788">
        <v>62.717000688571432</v>
      </c>
      <c r="T24" s="788">
        <v>52.565571377142859</v>
      </c>
      <c r="U24" s="788">
        <v>14.46171447</v>
      </c>
      <c r="V24" s="788">
        <v>12</v>
      </c>
      <c r="W24" s="788">
        <v>1.5128571304285714</v>
      </c>
      <c r="X24" s="788">
        <v>58.057856968571436</v>
      </c>
      <c r="Y24" s="788">
        <v>17.858285902857144</v>
      </c>
    </row>
    <row r="25" spans="1:25" ht="11.25" customHeight="1">
      <c r="A25" s="137"/>
      <c r="B25" s="156"/>
      <c r="C25" s="132"/>
      <c r="D25" s="156"/>
      <c r="E25" s="156"/>
      <c r="F25" s="177"/>
      <c r="G25" s="178"/>
      <c r="H25" s="178"/>
      <c r="I25" s="179"/>
      <c r="J25" s="25"/>
      <c r="K25" s="29"/>
      <c r="L25" s="30"/>
      <c r="P25" s="603">
        <v>22</v>
      </c>
      <c r="Q25" s="788">
        <v>12.105428559999998</v>
      </c>
      <c r="R25" s="788">
        <v>7.3308571058571435</v>
      </c>
      <c r="S25" s="788">
        <v>41.633143151428598</v>
      </c>
      <c r="T25" s="788">
        <v>49.261999948571429</v>
      </c>
      <c r="U25" s="788">
        <v>12.621714454285712</v>
      </c>
      <c r="V25" s="788">
        <v>10.442797251571431</v>
      </c>
      <c r="W25" s="788">
        <v>1.5</v>
      </c>
      <c r="X25" s="788">
        <v>51.520714895714285</v>
      </c>
      <c r="Y25" s="788">
        <v>15.324571202857143</v>
      </c>
    </row>
    <row r="26" spans="1:25" ht="11.25" customHeight="1">
      <c r="A26" s="137"/>
      <c r="B26" s="156"/>
      <c r="C26" s="132"/>
      <c r="D26" s="156"/>
      <c r="E26" s="156"/>
      <c r="F26" s="138"/>
      <c r="G26" s="138"/>
      <c r="H26" s="138"/>
      <c r="I26" s="138"/>
      <c r="J26" s="23"/>
      <c r="K26" s="26"/>
      <c r="L26" s="22"/>
      <c r="P26" s="603">
        <v>23</v>
      </c>
      <c r="Q26" s="788">
        <v>11.272714207142856</v>
      </c>
      <c r="R26" s="788">
        <v>7.7242857718571427</v>
      </c>
      <c r="S26" s="788">
        <v>41.633143151428598</v>
      </c>
      <c r="T26" s="788">
        <v>40.500142779999997</v>
      </c>
      <c r="U26" s="788">
        <v>10.571857179142857</v>
      </c>
      <c r="V26" s="788">
        <v>10.979225701428572</v>
      </c>
      <c r="W26" s="788">
        <v>1.5</v>
      </c>
      <c r="X26" s="788">
        <v>46.520714351428573</v>
      </c>
      <c r="Y26" s="788">
        <v>13.868142808571431</v>
      </c>
    </row>
    <row r="27" spans="1:25" ht="11.25" customHeight="1">
      <c r="A27" s="137"/>
      <c r="B27" s="156"/>
      <c r="C27" s="132"/>
      <c r="D27" s="156"/>
      <c r="E27" s="156"/>
      <c r="F27" s="138"/>
      <c r="G27" s="138"/>
      <c r="H27" s="138"/>
      <c r="I27" s="138"/>
      <c r="J27" s="23"/>
      <c r="K27" s="26"/>
      <c r="L27" s="22"/>
      <c r="P27" s="603">
        <v>24</v>
      </c>
      <c r="Q27" s="788">
        <v>10.867999894285715</v>
      </c>
      <c r="R27" s="788">
        <v>8.8337143495714301</v>
      </c>
      <c r="S27" s="788">
        <v>78.434000150000003</v>
      </c>
      <c r="T27" s="788">
        <v>35.785857065714289</v>
      </c>
      <c r="U27" s="788">
        <v>9.2180000031428584</v>
      </c>
      <c r="V27" s="788">
        <v>11.096784181428571</v>
      </c>
      <c r="W27" s="788">
        <v>1.5</v>
      </c>
      <c r="X27" s="788">
        <v>42.473571777142858</v>
      </c>
      <c r="Y27" s="788">
        <v>12.512571334285715</v>
      </c>
    </row>
    <row r="28" spans="1:25" ht="11.25" customHeight="1">
      <c r="A28" s="136"/>
      <c r="B28" s="138"/>
      <c r="C28" s="138"/>
      <c r="D28" s="138"/>
      <c r="E28" s="138"/>
      <c r="F28" s="138"/>
      <c r="G28" s="138"/>
      <c r="H28" s="138"/>
      <c r="I28" s="138"/>
      <c r="J28" s="25"/>
      <c r="K28" s="26"/>
      <c r="L28" s="22"/>
      <c r="P28" s="603">
        <v>25</v>
      </c>
      <c r="Q28" s="788">
        <v>10.167285918857143</v>
      </c>
      <c r="R28" s="788">
        <v>7.6592858184285708</v>
      </c>
      <c r="S28" s="788">
        <v>77.872000559999989</v>
      </c>
      <c r="T28" s="788">
        <v>33.357000077142857</v>
      </c>
      <c r="U28" s="788">
        <v>8.9321429390000002</v>
      </c>
      <c r="V28" s="788">
        <v>10.461965969999998</v>
      </c>
      <c r="W28" s="788">
        <v>1.5</v>
      </c>
      <c r="X28" s="788">
        <v>43.729285104285715</v>
      </c>
      <c r="Y28" s="788">
        <v>11.450428658571429</v>
      </c>
    </row>
    <row r="29" spans="1:25" ht="11.25" customHeight="1">
      <c r="A29" s="136"/>
      <c r="B29" s="138"/>
      <c r="C29" s="138"/>
      <c r="D29" s="138"/>
      <c r="E29" s="138"/>
      <c r="F29" s="138"/>
      <c r="G29" s="138"/>
      <c r="H29" s="138"/>
      <c r="I29" s="138"/>
      <c r="J29" s="25"/>
      <c r="K29" s="26"/>
      <c r="L29" s="22"/>
      <c r="O29" s="277">
        <v>26</v>
      </c>
      <c r="P29" s="603">
        <v>26</v>
      </c>
      <c r="Q29" s="788">
        <v>9.3535717554285718</v>
      </c>
      <c r="R29" s="788">
        <v>6.2751428064285708</v>
      </c>
      <c r="S29" s="788">
        <v>76.447856358571428</v>
      </c>
      <c r="T29" s="788">
        <v>29.154571531428569</v>
      </c>
      <c r="U29" s="788">
        <v>8.3007144928571428</v>
      </c>
      <c r="V29" s="788">
        <v>11.259941372857144</v>
      </c>
      <c r="W29" s="788">
        <v>1.5</v>
      </c>
      <c r="X29" s="788">
        <v>44.616428919999997</v>
      </c>
      <c r="Y29" s="788">
        <v>9.6660000944285702</v>
      </c>
    </row>
    <row r="30" spans="1:25" ht="11.25" customHeight="1">
      <c r="A30" s="136"/>
      <c r="B30" s="138"/>
      <c r="C30" s="138"/>
      <c r="D30" s="138"/>
      <c r="E30" s="138"/>
      <c r="F30" s="138"/>
      <c r="G30" s="138"/>
      <c r="H30" s="138"/>
      <c r="I30" s="138"/>
      <c r="J30" s="25"/>
      <c r="K30" s="26"/>
      <c r="L30" s="22"/>
      <c r="P30" s="603">
        <v>27</v>
      </c>
      <c r="Q30" s="788">
        <v>8.86</v>
      </c>
      <c r="R30" s="788">
        <v>7.15</v>
      </c>
      <c r="S30" s="788">
        <v>77.430000000000007</v>
      </c>
      <c r="T30" s="788">
        <v>30.35</v>
      </c>
      <c r="U30" s="788">
        <v>8.59</v>
      </c>
      <c r="V30" s="788">
        <v>10.758154460361988</v>
      </c>
      <c r="W30" s="788">
        <v>1.59</v>
      </c>
      <c r="X30" s="788">
        <v>43.84</v>
      </c>
      <c r="Y30" s="788">
        <v>8.27</v>
      </c>
    </row>
    <row r="31" spans="1:25" ht="11.25" customHeight="1">
      <c r="A31" s="136"/>
      <c r="B31" s="138"/>
      <c r="C31" s="138"/>
      <c r="D31" s="138"/>
      <c r="E31" s="138"/>
      <c r="F31" s="138"/>
      <c r="G31" s="138"/>
      <c r="H31" s="138"/>
      <c r="I31" s="138"/>
      <c r="J31" s="25"/>
      <c r="K31" s="26"/>
      <c r="L31" s="22"/>
      <c r="P31" s="603">
        <v>28</v>
      </c>
      <c r="Q31" s="788">
        <v>8.9135712215714289</v>
      </c>
      <c r="R31" s="788">
        <v>5.7058570728571425</v>
      </c>
      <c r="S31" s="788">
        <v>76.24514443428572</v>
      </c>
      <c r="T31" s="788">
        <v>27.702285765714286</v>
      </c>
      <c r="U31" s="788">
        <v>7.8261427880000003</v>
      </c>
      <c r="V31" s="788">
        <v>11.139168601428571</v>
      </c>
      <c r="W31" s="788">
        <v>1.6000000240000001</v>
      </c>
      <c r="X31" s="788">
        <v>39.995714458571435</v>
      </c>
      <c r="Y31" s="788">
        <v>7.4899999752857136</v>
      </c>
    </row>
    <row r="32" spans="1:25" ht="11.25" customHeight="1">
      <c r="A32" s="136"/>
      <c r="B32" s="138"/>
      <c r="C32" s="138"/>
      <c r="D32" s="138"/>
      <c r="E32" s="138"/>
      <c r="F32" s="138"/>
      <c r="G32" s="138"/>
      <c r="H32" s="138"/>
      <c r="I32" s="138"/>
      <c r="J32" s="26"/>
      <c r="K32" s="26"/>
      <c r="L32" s="22"/>
      <c r="P32" s="603">
        <v>29</v>
      </c>
      <c r="Q32" s="788">
        <v>9.1244284766060932</v>
      </c>
      <c r="R32" s="788">
        <v>6.4564285959516052</v>
      </c>
      <c r="S32" s="788">
        <v>66.31271307809007</v>
      </c>
      <c r="T32" s="788">
        <v>29.940428597586454</v>
      </c>
      <c r="U32" s="788">
        <v>7.6488569804600273</v>
      </c>
      <c r="V32" s="788">
        <v>10.810358456202879</v>
      </c>
      <c r="W32" s="788">
        <v>1.6000000238418504</v>
      </c>
      <c r="X32" s="788">
        <v>42.704285757882197</v>
      </c>
      <c r="Y32" s="788">
        <v>6.46428571428571</v>
      </c>
    </row>
    <row r="33" spans="1:25" ht="11.25" customHeight="1">
      <c r="A33" s="136"/>
      <c r="B33" s="138"/>
      <c r="C33" s="138"/>
      <c r="D33" s="138"/>
      <c r="E33" s="138"/>
      <c r="F33" s="138"/>
      <c r="G33" s="138"/>
      <c r="H33" s="138"/>
      <c r="I33" s="138"/>
      <c r="J33" s="25"/>
      <c r="K33" s="26"/>
      <c r="L33" s="22"/>
      <c r="P33" s="603">
        <v>30</v>
      </c>
      <c r="Q33" s="788">
        <v>8.5528571428571407</v>
      </c>
      <c r="R33" s="788">
        <v>4.6828571428571433</v>
      </c>
      <c r="S33" s="788">
        <v>72.048571428571435</v>
      </c>
      <c r="T33" s="788">
        <v>36.729999999999997</v>
      </c>
      <c r="U33" s="788">
        <v>8.18</v>
      </c>
      <c r="V33" s="788">
        <v>12.61</v>
      </c>
      <c r="W33" s="788">
        <v>1.6285714285714283</v>
      </c>
      <c r="X33" s="788">
        <v>44.611428571428576</v>
      </c>
      <c r="Y33" s="788">
        <v>8.2285714285714295</v>
      </c>
    </row>
    <row r="34" spans="1:25" ht="11.25" customHeight="1">
      <c r="A34" s="136"/>
      <c r="B34" s="138"/>
      <c r="C34" s="138"/>
      <c r="D34" s="138"/>
      <c r="E34" s="138"/>
      <c r="F34" s="138"/>
      <c r="G34" s="138"/>
      <c r="H34" s="138"/>
      <c r="I34" s="138"/>
      <c r="J34" s="25"/>
      <c r="K34" s="34"/>
      <c r="L34" s="22"/>
      <c r="P34" s="603">
        <v>31</v>
      </c>
      <c r="Q34" s="788">
        <v>8.6655714172857152</v>
      </c>
      <c r="R34" s="788">
        <v>6.0697142064285714</v>
      </c>
      <c r="S34" s="788">
        <v>71.543143134285714</v>
      </c>
      <c r="T34" s="788">
        <v>31.720428468571431</v>
      </c>
      <c r="U34" s="788">
        <v>7.0618571554285712</v>
      </c>
      <c r="V34" s="788">
        <v>12.322975702857141</v>
      </c>
      <c r="W34" s="788">
        <v>1.7000000479999999</v>
      </c>
      <c r="X34" s="788">
        <v>43.444999694285706</v>
      </c>
      <c r="Y34" s="788">
        <v>6.7562857354285706</v>
      </c>
    </row>
    <row r="35" spans="1:25" ht="11.25" customHeight="1">
      <c r="A35" s="136"/>
      <c r="B35" s="138"/>
      <c r="C35" s="138"/>
      <c r="D35" s="138"/>
      <c r="E35" s="138"/>
      <c r="F35" s="138"/>
      <c r="G35" s="138"/>
      <c r="H35" s="138"/>
      <c r="I35" s="138"/>
      <c r="J35" s="25"/>
      <c r="K35" s="34"/>
      <c r="L35" s="38"/>
      <c r="P35" s="603">
        <v>32</v>
      </c>
      <c r="Q35" s="788">
        <v>8.8231430052857132</v>
      </c>
      <c r="R35" s="788">
        <v>7.5088570807142858</v>
      </c>
      <c r="S35" s="788">
        <v>73.754999434285722</v>
      </c>
      <c r="T35" s="788">
        <v>23.255857194285714</v>
      </c>
      <c r="U35" s="788">
        <v>6.2595714159999991</v>
      </c>
      <c r="V35" s="788">
        <v>12.551451548571427</v>
      </c>
      <c r="W35" s="788">
        <v>1.7214285988571427</v>
      </c>
      <c r="X35" s="788">
        <v>38.432857512857147</v>
      </c>
      <c r="Y35" s="788">
        <v>6.4201429230000002</v>
      </c>
    </row>
    <row r="36" spans="1:25" ht="11.25" customHeight="1">
      <c r="A36" s="136"/>
      <c r="B36" s="138"/>
      <c r="C36" s="138"/>
      <c r="D36" s="138"/>
      <c r="E36" s="138"/>
      <c r="F36" s="138"/>
      <c r="G36" s="138"/>
      <c r="H36" s="138"/>
      <c r="I36" s="138"/>
      <c r="J36" s="25"/>
      <c r="K36" s="29"/>
      <c r="L36" s="22"/>
      <c r="P36" s="603">
        <v>33</v>
      </c>
      <c r="Q36" s="788">
        <v>7.5077142715714285</v>
      </c>
      <c r="R36" s="788">
        <v>3.2121428764285715</v>
      </c>
      <c r="S36" s="788">
        <v>68.878572191428574</v>
      </c>
      <c r="T36" s="788">
        <v>21.297428674285715</v>
      </c>
      <c r="U36" s="788">
        <v>6.3691428730000004</v>
      </c>
      <c r="V36" s="788">
        <v>12.137084417142857</v>
      </c>
      <c r="W36" s="788">
        <v>1.7482857022857143</v>
      </c>
      <c r="X36" s="788">
        <v>36.690713608571421</v>
      </c>
      <c r="Y36" s="788">
        <v>4.7154285567142855</v>
      </c>
    </row>
    <row r="37" spans="1:25" ht="11.25" customHeight="1">
      <c r="A37" s="136"/>
      <c r="B37" s="138"/>
      <c r="C37" s="138"/>
      <c r="D37" s="138"/>
      <c r="E37" s="138"/>
      <c r="F37" s="138"/>
      <c r="G37" s="138"/>
      <c r="H37" s="138"/>
      <c r="I37" s="138"/>
      <c r="J37" s="25"/>
      <c r="K37" s="29"/>
      <c r="L37" s="22"/>
      <c r="P37" s="603">
        <v>34</v>
      </c>
      <c r="Q37" s="788">
        <v>7.6147142817142859</v>
      </c>
      <c r="R37" s="788">
        <v>3.3949999810000002</v>
      </c>
      <c r="S37" s="788">
        <v>65.663999831428569</v>
      </c>
      <c r="T37" s="788">
        <v>20.922428674285715</v>
      </c>
      <c r="U37" s="788">
        <v>6.115428584</v>
      </c>
      <c r="V37" s="788">
        <v>12.034524235714285</v>
      </c>
      <c r="W37" s="788">
        <v>1.7482857022857143</v>
      </c>
      <c r="X37" s="788">
        <v>34.872856138571429</v>
      </c>
      <c r="Y37" s="788">
        <v>5.7421428814285713</v>
      </c>
    </row>
    <row r="38" spans="1:25" ht="11.25" customHeight="1">
      <c r="A38" s="136"/>
      <c r="B38" s="138"/>
      <c r="C38" s="138"/>
      <c r="D38" s="138"/>
      <c r="E38" s="138"/>
      <c r="F38" s="138"/>
      <c r="G38" s="138"/>
      <c r="H38" s="138"/>
      <c r="I38" s="138"/>
      <c r="J38" s="25"/>
      <c r="K38" s="29"/>
      <c r="L38" s="22"/>
      <c r="P38" s="603">
        <v>35</v>
      </c>
      <c r="Q38" s="788">
        <v>8.7815715245714294</v>
      </c>
      <c r="R38" s="788">
        <v>7.1025714534285722</v>
      </c>
      <c r="S38" s="788">
        <v>65.224427905714279</v>
      </c>
      <c r="T38" s="788">
        <v>19.458285740000001</v>
      </c>
      <c r="U38" s="788">
        <v>6.3137143680000003</v>
      </c>
      <c r="V38" s="788">
        <v>12.041607177142856</v>
      </c>
      <c r="W38" s="788">
        <v>1.75</v>
      </c>
      <c r="X38" s="788">
        <v>34.16142872428572</v>
      </c>
      <c r="Y38" s="788">
        <v>6.5945714541428577</v>
      </c>
    </row>
    <row r="39" spans="1:25" ht="11.25" customHeight="1">
      <c r="O39" s="277">
        <v>36</v>
      </c>
      <c r="P39" s="603">
        <v>36</v>
      </c>
      <c r="Q39" s="788">
        <v>8.2851428302857144</v>
      </c>
      <c r="R39" s="788">
        <v>6.7619999824285708</v>
      </c>
      <c r="S39" s="788">
        <v>60.719142914285719</v>
      </c>
      <c r="T39" s="788">
        <v>25.369000025714286</v>
      </c>
      <c r="U39" s="788">
        <v>5.8737142427142857</v>
      </c>
      <c r="V39" s="788">
        <v>12.055594308571429</v>
      </c>
      <c r="W39" s="788">
        <v>1.6425714154285713</v>
      </c>
      <c r="X39" s="788">
        <v>35.968571799999999</v>
      </c>
      <c r="Y39" s="788">
        <v>4.9847143037142851</v>
      </c>
    </row>
    <row r="40" spans="1:25" ht="11.25" customHeight="1">
      <c r="A40" s="900" t="s">
        <v>554</v>
      </c>
      <c r="B40" s="900"/>
      <c r="C40" s="900"/>
      <c r="D40" s="900"/>
      <c r="E40" s="900"/>
      <c r="F40" s="900"/>
      <c r="G40" s="900"/>
      <c r="H40" s="900"/>
      <c r="I40" s="900"/>
      <c r="J40" s="900"/>
      <c r="K40" s="900"/>
      <c r="L40" s="900"/>
      <c r="P40" s="603">
        <v>37</v>
      </c>
      <c r="Q40" s="788">
        <v>7.6475714954285712</v>
      </c>
      <c r="R40" s="788">
        <v>6.5272856442857137</v>
      </c>
      <c r="S40" s="788">
        <v>62.679428645714289</v>
      </c>
      <c r="T40" s="788">
        <v>28.136857168571428</v>
      </c>
      <c r="U40" s="788">
        <v>6.1154285838571436</v>
      </c>
      <c r="V40" s="788">
        <v>12.130952835714286</v>
      </c>
      <c r="W40" s="788">
        <v>1.6457142658571429</v>
      </c>
      <c r="X40" s="788">
        <v>34.324999674285714</v>
      </c>
      <c r="Y40" s="788">
        <v>5.502714293285714</v>
      </c>
    </row>
    <row r="41" spans="1:25" ht="11.25" customHeight="1">
      <c r="P41" s="603">
        <v>38</v>
      </c>
      <c r="Q41" s="788">
        <v>7.6971428571428575</v>
      </c>
      <c r="R41" s="788">
        <v>5.444285714285714</v>
      </c>
      <c r="S41" s="788">
        <v>65.47</v>
      </c>
      <c r="T41" s="788">
        <v>29.351428571428567</v>
      </c>
      <c r="U41" s="788">
        <v>6.8328571428571419</v>
      </c>
      <c r="V41" s="788">
        <v>12.194285714285716</v>
      </c>
      <c r="W41" s="788">
        <v>1.6014285714285712</v>
      </c>
      <c r="X41" s="788">
        <v>33.131428571428572</v>
      </c>
      <c r="Y41" s="788">
        <v>6.8414285714285716</v>
      </c>
    </row>
    <row r="42" spans="1:25" ht="11.25" customHeight="1">
      <c r="A42" s="136"/>
      <c r="B42" s="138"/>
      <c r="C42" s="138"/>
      <c r="D42" s="138"/>
      <c r="E42" s="138"/>
      <c r="F42" s="138"/>
      <c r="G42" s="138"/>
      <c r="H42" s="138"/>
      <c r="I42" s="138"/>
      <c r="P42" s="603">
        <v>39</v>
      </c>
      <c r="Q42" s="788">
        <v>7.6702859061104887</v>
      </c>
      <c r="R42" s="788">
        <v>5.896142857415323</v>
      </c>
      <c r="S42" s="788">
        <v>72.930715288434641</v>
      </c>
      <c r="T42" s="788">
        <v>26.470285688127774</v>
      </c>
      <c r="U42" s="788">
        <v>9.2337144442966927</v>
      </c>
      <c r="V42" s="788">
        <v>12.167024339948341</v>
      </c>
      <c r="W42" s="788">
        <v>1.4285714115415273</v>
      </c>
      <c r="X42" s="788">
        <v>32.532142911638481</v>
      </c>
      <c r="Y42" s="788">
        <v>5.5879999569484111</v>
      </c>
    </row>
    <row r="43" spans="1:25" ht="11.25" customHeight="1">
      <c r="A43" s="136"/>
      <c r="B43" s="138"/>
      <c r="C43" s="138"/>
      <c r="D43" s="138"/>
      <c r="E43" s="138"/>
      <c r="F43" s="138"/>
      <c r="G43" s="138"/>
      <c r="H43" s="138"/>
      <c r="I43" s="138"/>
      <c r="P43" s="603">
        <v>40</v>
      </c>
      <c r="Q43" s="788">
        <v>6.5494285314285721</v>
      </c>
      <c r="R43" s="788">
        <v>3.8238571030000004</v>
      </c>
      <c r="S43" s="788">
        <v>70.661287578571418</v>
      </c>
      <c r="T43" s="788">
        <v>28.190571377142856</v>
      </c>
      <c r="U43" s="788">
        <v>9.6928569934285722</v>
      </c>
      <c r="V43" s="788">
        <v>12.594642775714282</v>
      </c>
      <c r="W43" s="788">
        <v>1.3999999759999999</v>
      </c>
      <c r="X43" s="788">
        <v>36.384999957142853</v>
      </c>
      <c r="Y43" s="788">
        <v>8.0550000327142861</v>
      </c>
    </row>
    <row r="44" spans="1:25" ht="11.25" customHeight="1">
      <c r="A44" s="136"/>
      <c r="B44" s="138"/>
      <c r="C44" s="138"/>
      <c r="D44" s="138"/>
      <c r="E44" s="138"/>
      <c r="F44" s="138"/>
      <c r="G44" s="138"/>
      <c r="H44" s="138"/>
      <c r="I44" s="138"/>
      <c r="P44" s="603">
        <v>41</v>
      </c>
      <c r="Q44" s="788">
        <v>8.096428529999999</v>
      </c>
      <c r="R44" s="788">
        <v>4.0404286040000006</v>
      </c>
      <c r="S44" s="788">
        <v>65.047571455714291</v>
      </c>
      <c r="T44" s="788">
        <v>47.010571615714284</v>
      </c>
      <c r="U44" s="788">
        <v>10.709857054714286</v>
      </c>
      <c r="V44" s="788">
        <v>13.274107117142858</v>
      </c>
      <c r="W44" s="788">
        <v>1.3785714251428571</v>
      </c>
      <c r="X44" s="788">
        <v>40.987143380000006</v>
      </c>
      <c r="Y44" s="788">
        <v>6.9969999451428562</v>
      </c>
    </row>
    <row r="45" spans="1:25" ht="11.25" customHeight="1">
      <c r="A45" s="136"/>
      <c r="B45" s="138"/>
      <c r="C45" s="138"/>
      <c r="D45" s="138"/>
      <c r="E45" s="138"/>
      <c r="F45" s="138"/>
      <c r="G45" s="138"/>
      <c r="H45" s="138"/>
      <c r="I45" s="138"/>
      <c r="P45" s="603">
        <v>42</v>
      </c>
      <c r="Q45" s="788">
        <v>7.4685714285714289</v>
      </c>
      <c r="R45" s="788">
        <v>4.8257142857142856</v>
      </c>
      <c r="S45" s="788">
        <v>67.597142857142856</v>
      </c>
      <c r="T45" s="788">
        <v>47.291428571428575</v>
      </c>
      <c r="U45" s="788">
        <v>8.5642857142857132</v>
      </c>
      <c r="V45" s="788">
        <v>13.001428571428571</v>
      </c>
      <c r="W45" s="788">
        <v>1.3499999999999999</v>
      </c>
      <c r="X45" s="788">
        <v>37.554285714285712</v>
      </c>
      <c r="Y45" s="788">
        <v>6.2985714285714289</v>
      </c>
    </row>
    <row r="46" spans="1:25" ht="11.25" customHeight="1">
      <c r="A46" s="136"/>
      <c r="B46" s="138"/>
      <c r="C46" s="138"/>
      <c r="D46" s="138"/>
      <c r="E46" s="138"/>
      <c r="F46" s="138"/>
      <c r="G46" s="138"/>
      <c r="H46" s="138"/>
      <c r="I46" s="138"/>
      <c r="P46" s="603">
        <v>43</v>
      </c>
      <c r="Q46" s="788">
        <v>8.9041427881428579</v>
      </c>
      <c r="R46" s="788">
        <v>7.354714223857143</v>
      </c>
      <c r="S46" s="788">
        <v>80.445570807142857</v>
      </c>
      <c r="T46" s="788">
        <v>71.934570317142857</v>
      </c>
      <c r="U46" s="788">
        <v>12.279142925142859</v>
      </c>
      <c r="V46" s="788">
        <v>13.139822822857143</v>
      </c>
      <c r="W46" s="788">
        <v>1.2642857177142857</v>
      </c>
      <c r="X46" s="788">
        <v>52.87071446142857</v>
      </c>
      <c r="Y46" s="788">
        <v>11.989999907285712</v>
      </c>
    </row>
    <row r="47" spans="1:25" ht="11.25" customHeight="1">
      <c r="A47" s="136"/>
      <c r="B47" s="138"/>
      <c r="C47" s="138"/>
      <c r="D47" s="138"/>
      <c r="E47" s="138"/>
      <c r="F47" s="138"/>
      <c r="G47" s="138"/>
      <c r="H47" s="138"/>
      <c r="I47" s="138"/>
      <c r="O47" s="277">
        <v>44</v>
      </c>
      <c r="P47" s="603">
        <v>44</v>
      </c>
      <c r="Q47" s="788">
        <v>7.8245713370000001</v>
      </c>
      <c r="R47" s="788">
        <v>6.0929999348571409</v>
      </c>
      <c r="S47" s="788">
        <v>68.079284669999993</v>
      </c>
      <c r="T47" s="788">
        <v>33.011999948571429</v>
      </c>
      <c r="U47" s="788">
        <v>8.685571329857142</v>
      </c>
      <c r="V47" s="788">
        <v>13.275356975714287</v>
      </c>
      <c r="W47" s="788">
        <v>1.1857142621428574</v>
      </c>
      <c r="X47" s="788">
        <v>36.208572388571426</v>
      </c>
      <c r="Y47" s="788">
        <v>7.9394285338571438</v>
      </c>
    </row>
    <row r="48" spans="1:25">
      <c r="A48" s="136"/>
      <c r="B48" s="138"/>
      <c r="C48" s="138"/>
      <c r="D48" s="138"/>
      <c r="E48" s="138"/>
      <c r="F48" s="138"/>
      <c r="G48" s="138"/>
      <c r="H48" s="138"/>
      <c r="I48" s="138"/>
      <c r="P48" s="603">
        <v>45</v>
      </c>
      <c r="Q48" s="788">
        <v>9.4607142031428566</v>
      </c>
      <c r="R48" s="788">
        <v>6.8107141777142859</v>
      </c>
      <c r="S48" s="788">
        <v>71.555715832857132</v>
      </c>
      <c r="T48" s="788">
        <v>77.119000028571435</v>
      </c>
      <c r="U48" s="788">
        <v>11.169571467285715</v>
      </c>
      <c r="V48" s="788">
        <v>14</v>
      </c>
      <c r="W48" s="788">
        <v>1.1200000049999999</v>
      </c>
      <c r="X48" s="788">
        <v>61.867856707142856</v>
      </c>
      <c r="Y48" s="788">
        <v>10.621285710571428</v>
      </c>
    </row>
    <row r="49" spans="1:25">
      <c r="A49" s="136"/>
      <c r="B49" s="138"/>
      <c r="C49" s="138"/>
      <c r="D49" s="138"/>
      <c r="E49" s="138"/>
      <c r="F49" s="138"/>
      <c r="G49" s="138"/>
      <c r="H49" s="138"/>
      <c r="I49" s="138"/>
      <c r="P49" s="603">
        <v>46</v>
      </c>
      <c r="Q49" s="788">
        <v>9.3077141910000005</v>
      </c>
      <c r="R49" s="788">
        <v>7.0327142307142854</v>
      </c>
      <c r="S49" s="788">
        <v>91.077428547142858</v>
      </c>
      <c r="T49" s="788">
        <v>102.37485722571429</v>
      </c>
      <c r="U49" s="788">
        <v>13.601000102857142</v>
      </c>
      <c r="V49" s="788">
        <v>14.050535747142858</v>
      </c>
      <c r="W49" s="788">
        <v>1.1085714441428569</v>
      </c>
      <c r="X49" s="788">
        <v>108.26642826857143</v>
      </c>
      <c r="Y49" s="788">
        <v>19.484428541428574</v>
      </c>
    </row>
    <row r="50" spans="1:25">
      <c r="A50" s="136"/>
      <c r="B50" s="138"/>
      <c r="C50" s="138"/>
      <c r="D50" s="138"/>
      <c r="E50" s="138"/>
      <c r="F50" s="138"/>
      <c r="G50" s="138"/>
      <c r="H50" s="138"/>
      <c r="I50" s="138"/>
      <c r="P50" s="603">
        <v>47</v>
      </c>
      <c r="Q50" s="788">
        <v>9.4625713492857138</v>
      </c>
      <c r="R50" s="788">
        <v>5.5844285494285719</v>
      </c>
      <c r="S50" s="788">
        <v>81.972856794285704</v>
      </c>
      <c r="T50" s="788">
        <v>82.511857174285723</v>
      </c>
      <c r="U50" s="788">
        <v>10.628571509714286</v>
      </c>
      <c r="V50" s="788">
        <v>13.985775811428573</v>
      </c>
      <c r="W50" s="788">
        <v>1.1000000240000001</v>
      </c>
      <c r="X50" s="788">
        <v>123.16000039999999</v>
      </c>
      <c r="Y50" s="788">
        <v>19.475428171428575</v>
      </c>
    </row>
    <row r="51" spans="1:25">
      <c r="A51" s="136"/>
      <c r="B51" s="138"/>
      <c r="C51" s="138"/>
      <c r="D51" s="138"/>
      <c r="E51" s="138"/>
      <c r="F51" s="138"/>
      <c r="G51" s="138"/>
      <c r="H51" s="138"/>
      <c r="I51" s="138"/>
      <c r="P51" s="603">
        <v>48</v>
      </c>
      <c r="Q51" s="788">
        <v>10.788142817999999</v>
      </c>
      <c r="R51" s="788">
        <v>7.5644286014285722</v>
      </c>
      <c r="S51" s="788">
        <v>84.626999989999987</v>
      </c>
      <c r="T51" s="788">
        <v>67.75</v>
      </c>
      <c r="U51" s="788">
        <v>8.4404285975714277</v>
      </c>
      <c r="V51" s="788">
        <v>13.781128474285714</v>
      </c>
      <c r="W51" s="788">
        <v>1.1000000240000001</v>
      </c>
      <c r="X51" s="788">
        <v>94.382143292857137</v>
      </c>
      <c r="Y51" s="788">
        <v>16.918428555714282</v>
      </c>
    </row>
    <row r="52" spans="1:25">
      <c r="A52" s="136"/>
      <c r="B52" s="138"/>
      <c r="C52" s="138"/>
      <c r="D52" s="138"/>
      <c r="E52" s="138"/>
      <c r="F52" s="138"/>
      <c r="G52" s="138"/>
      <c r="H52" s="138"/>
      <c r="I52" s="138"/>
      <c r="P52" s="603">
        <v>49</v>
      </c>
      <c r="Q52" s="788">
        <v>12.195857184142856</v>
      </c>
      <c r="R52" s="788">
        <v>8.7971429828571424</v>
      </c>
      <c r="S52" s="788">
        <v>127.52371543</v>
      </c>
      <c r="T52" s="788">
        <v>92.821572431428564</v>
      </c>
      <c r="U52" s="788">
        <v>12.563142707428572</v>
      </c>
      <c r="V52" s="788">
        <v>13.148691448571428</v>
      </c>
      <c r="W52" s="788">
        <v>1.1000000000000001</v>
      </c>
      <c r="X52" s="788">
        <v>134.38285718142859</v>
      </c>
      <c r="Y52" s="788">
        <v>23.580285755714289</v>
      </c>
    </row>
    <row r="53" spans="1:25">
      <c r="A53" s="136"/>
      <c r="B53" s="138"/>
      <c r="C53" s="138"/>
      <c r="D53" s="138"/>
      <c r="E53" s="138"/>
      <c r="F53" s="138"/>
      <c r="G53" s="138"/>
      <c r="H53" s="138"/>
      <c r="I53" s="138"/>
      <c r="P53" s="603">
        <v>50</v>
      </c>
      <c r="Q53" s="788">
        <v>12.195857184142856</v>
      </c>
      <c r="R53" s="788">
        <v>8.7971429828571424</v>
      </c>
      <c r="S53" s="788">
        <v>183.5428575857143</v>
      </c>
      <c r="T53" s="788">
        <v>117.73200008285714</v>
      </c>
      <c r="U53" s="788">
        <v>21.506999832857144</v>
      </c>
      <c r="V53" s="788">
        <v>12.61392865857143</v>
      </c>
      <c r="W53" s="788">
        <v>1.1014285939999999</v>
      </c>
      <c r="X53" s="788">
        <v>210.99928282857144</v>
      </c>
      <c r="Y53" s="788">
        <v>41.892142702857143</v>
      </c>
    </row>
    <row r="54" spans="1:25">
      <c r="A54" s="136"/>
      <c r="B54" s="138"/>
      <c r="C54" s="138"/>
      <c r="D54" s="138"/>
      <c r="E54" s="138"/>
      <c r="F54" s="138"/>
      <c r="G54" s="138"/>
      <c r="H54" s="138"/>
      <c r="I54" s="138"/>
      <c r="P54" s="603">
        <v>51</v>
      </c>
      <c r="Q54" s="788">
        <v>18.622142792857144</v>
      </c>
      <c r="R54" s="788">
        <v>18.057571141428571</v>
      </c>
      <c r="S54" s="788">
        <v>292.95071844285718</v>
      </c>
      <c r="T54" s="788">
        <v>180.44057028571427</v>
      </c>
      <c r="U54" s="788">
        <v>47.032857078571432</v>
      </c>
      <c r="V54" s="788">
        <v>12.600475584285714</v>
      </c>
      <c r="W54" s="788">
        <v>1.1000000240000001</v>
      </c>
      <c r="X54" s="788">
        <v>166.85428727142857</v>
      </c>
      <c r="Y54" s="788">
        <v>39.827428544285716</v>
      </c>
    </row>
    <row r="55" spans="1:25">
      <c r="A55" s="136"/>
      <c r="B55" s="138"/>
      <c r="C55" s="138"/>
      <c r="D55" s="138"/>
      <c r="E55" s="138"/>
      <c r="F55" s="138"/>
      <c r="G55" s="138"/>
      <c r="H55" s="138"/>
      <c r="I55" s="138"/>
      <c r="P55" s="603">
        <v>52</v>
      </c>
      <c r="Q55" s="788">
        <v>29.98</v>
      </c>
      <c r="R55" s="788">
        <v>19.592142921428572</v>
      </c>
      <c r="S55" s="788">
        <v>381.11599999999993</v>
      </c>
      <c r="T55" s="788">
        <v>222.82728794285717</v>
      </c>
      <c r="U55" s="788">
        <v>45.963714052857135</v>
      </c>
      <c r="V55" s="788">
        <v>12.617798667142859</v>
      </c>
      <c r="W55" s="788">
        <v>1.4000000274285713</v>
      </c>
      <c r="X55" s="788">
        <v>293.28928701428578</v>
      </c>
      <c r="Y55" s="788">
        <v>62.57285690285714</v>
      </c>
    </row>
    <row r="56" spans="1:25">
      <c r="A56" s="136"/>
      <c r="B56" s="138"/>
      <c r="C56" s="138"/>
      <c r="D56" s="138"/>
      <c r="E56" s="138"/>
      <c r="F56" s="138"/>
      <c r="G56" s="138"/>
      <c r="H56" s="138"/>
      <c r="I56" s="138"/>
      <c r="O56" s="277">
        <v>53</v>
      </c>
      <c r="P56" s="603">
        <v>53</v>
      </c>
      <c r="Q56" s="788">
        <v>16.182714325714286</v>
      </c>
      <c r="R56" s="788">
        <v>8.7855713015714283</v>
      </c>
      <c r="S56" s="788">
        <v>271.83385794285715</v>
      </c>
      <c r="T56" s="788">
        <v>172.15485925714285</v>
      </c>
      <c r="U56" s="788">
        <v>29.933428355714284</v>
      </c>
      <c r="V56" s="788">
        <v>12.85226127</v>
      </c>
      <c r="W56" s="788">
        <v>1.4571428811428571</v>
      </c>
      <c r="X56" s="788">
        <v>278.16286141428571</v>
      </c>
      <c r="Y56" s="788">
        <v>97.806430279999987</v>
      </c>
    </row>
    <row r="57" spans="1:25">
      <c r="A57" s="136"/>
      <c r="B57" s="138"/>
      <c r="C57" s="138"/>
      <c r="D57" s="138"/>
      <c r="E57" s="138"/>
      <c r="F57" s="138"/>
      <c r="G57" s="138"/>
      <c r="H57" s="138"/>
      <c r="I57" s="138"/>
      <c r="N57" s="277">
        <v>2020</v>
      </c>
      <c r="P57" s="603">
        <v>1</v>
      </c>
      <c r="Q57" s="788">
        <v>12.763571330479184</v>
      </c>
      <c r="R57" s="788">
        <v>7.4842857292720009</v>
      </c>
      <c r="S57" s="788">
        <v>176.20814078194715</v>
      </c>
      <c r="T57" s="788">
        <v>130.2321406773155</v>
      </c>
      <c r="U57" s="788">
        <v>24.27742849077493</v>
      </c>
      <c r="V57" s="788">
        <v>14.514315741402715</v>
      </c>
      <c r="W57" s="788">
        <v>2.278571367263786</v>
      </c>
      <c r="X57" s="788">
        <v>468.15499877929659</v>
      </c>
      <c r="Y57" s="788">
        <v>152.80385916573601</v>
      </c>
    </row>
    <row r="58" spans="1:25">
      <c r="A58" s="136"/>
      <c r="B58" s="138"/>
      <c r="C58" s="138"/>
      <c r="D58" s="138"/>
      <c r="E58" s="138"/>
      <c r="F58" s="138"/>
      <c r="G58" s="138"/>
      <c r="H58" s="138"/>
      <c r="I58" s="138"/>
      <c r="P58" s="603">
        <v>2</v>
      </c>
      <c r="Q58" s="788">
        <v>13.386285781428571</v>
      </c>
      <c r="R58" s="788">
        <v>6.9174285272857139</v>
      </c>
      <c r="S58" s="788">
        <v>159.75199889999999</v>
      </c>
      <c r="T58" s="788">
        <v>106.97614288285715</v>
      </c>
      <c r="U58" s="788">
        <v>30.680286678571431</v>
      </c>
      <c r="V58" s="788">
        <v>13.21958133142857</v>
      </c>
      <c r="W58" s="788">
        <v>1.8857142757142857</v>
      </c>
      <c r="X58" s="788">
        <v>213.59428187142859</v>
      </c>
      <c r="Y58" s="788">
        <v>97.949856347142855</v>
      </c>
    </row>
    <row r="59" spans="1:25">
      <c r="A59" s="136"/>
      <c r="B59" s="138"/>
      <c r="C59" s="138"/>
      <c r="D59" s="138"/>
      <c r="E59" s="138"/>
      <c r="F59" s="138"/>
      <c r="G59" s="138"/>
      <c r="H59" s="138"/>
      <c r="I59" s="138"/>
      <c r="P59" s="603">
        <v>3</v>
      </c>
      <c r="Q59" s="788">
        <v>15.196428435714285</v>
      </c>
      <c r="R59" s="788">
        <v>11.330428599714283</v>
      </c>
      <c r="S59" s="788">
        <v>243.87700107142857</v>
      </c>
      <c r="T59" s="788">
        <v>137.04186028571428</v>
      </c>
      <c r="U59" s="788">
        <v>40.240000044285715</v>
      </c>
      <c r="V59" s="788">
        <v>16.855534282857143</v>
      </c>
      <c r="W59" s="788">
        <v>6.3075712748571418</v>
      </c>
      <c r="X59" s="788">
        <v>247.26214164285713</v>
      </c>
      <c r="Y59" s="788">
        <v>78.131857190000005</v>
      </c>
    </row>
    <row r="60" spans="1:25">
      <c r="A60" s="136"/>
      <c r="B60" s="138"/>
      <c r="C60" s="138"/>
      <c r="D60" s="138"/>
      <c r="E60" s="138"/>
      <c r="F60" s="138"/>
      <c r="G60" s="138"/>
      <c r="H60" s="138"/>
      <c r="I60" s="138"/>
      <c r="P60" s="603">
        <v>4</v>
      </c>
      <c r="Q60" s="788">
        <v>16.57199968714286</v>
      </c>
      <c r="R60" s="788">
        <v>12.821999958571428</v>
      </c>
      <c r="S60" s="788">
        <v>236.61043005714285</v>
      </c>
      <c r="T60" s="788">
        <v>121.29742760000001</v>
      </c>
      <c r="U60" s="788">
        <v>26.470714297142855</v>
      </c>
      <c r="V60" s="788">
        <v>22.011848449999999</v>
      </c>
      <c r="W60" s="788">
        <v>4.3669999327142861</v>
      </c>
      <c r="X60" s="788">
        <v>212.78856985714287</v>
      </c>
      <c r="Y60" s="788">
        <v>52.875</v>
      </c>
    </row>
    <row r="61" spans="1:25">
      <c r="A61" s="136"/>
      <c r="B61" s="138"/>
      <c r="C61" s="138"/>
      <c r="D61" s="138"/>
      <c r="E61" s="138"/>
      <c r="F61" s="138"/>
      <c r="G61" s="138"/>
      <c r="H61" s="138"/>
      <c r="I61" s="138"/>
      <c r="P61" s="603">
        <v>5</v>
      </c>
      <c r="Q61" s="788">
        <v>25.675428661428576</v>
      </c>
      <c r="R61" s="788">
        <v>18.254856927142857</v>
      </c>
      <c r="S61" s="788">
        <v>392.82542635714287</v>
      </c>
      <c r="T61" s="788">
        <v>216.11300005714287</v>
      </c>
      <c r="U61" s="788">
        <v>48.707714625714289</v>
      </c>
      <c r="V61" s="788">
        <v>14.496191432857142</v>
      </c>
      <c r="W61" s="788">
        <v>2.6891428574285712</v>
      </c>
      <c r="X61" s="788">
        <v>410.15428595714286</v>
      </c>
      <c r="Y61" s="788">
        <v>99.128998899999985</v>
      </c>
    </row>
    <row r="62" spans="1:25" ht="19.149999999999999" customHeight="1">
      <c r="A62" s="136"/>
      <c r="B62" s="138"/>
      <c r="C62" s="138"/>
      <c r="D62" s="138"/>
      <c r="E62" s="138"/>
      <c r="F62" s="138"/>
      <c r="G62" s="138"/>
      <c r="H62" s="138"/>
      <c r="I62" s="138"/>
      <c r="P62" s="603">
        <v>6</v>
      </c>
      <c r="Q62" s="788">
        <v>22.638571330479174</v>
      </c>
      <c r="R62" s="788">
        <v>17.332571574619813</v>
      </c>
      <c r="S62" s="788">
        <v>448.59157017299066</v>
      </c>
      <c r="T62" s="788">
        <v>221.35714285714261</v>
      </c>
      <c r="U62" s="788">
        <v>51.925000326974022</v>
      </c>
      <c r="V62" s="788">
        <v>17.659045491899729</v>
      </c>
      <c r="W62" s="788">
        <v>9.7964284079415354</v>
      </c>
      <c r="X62" s="788">
        <v>622.45499965122758</v>
      </c>
      <c r="Y62" s="788">
        <v>151.47385733468144</v>
      </c>
    </row>
    <row r="63" spans="1:25">
      <c r="A63" s="136"/>
      <c r="B63" s="138"/>
      <c r="C63" s="138"/>
      <c r="D63" s="138"/>
      <c r="E63" s="138"/>
      <c r="F63" s="138"/>
      <c r="G63" s="138"/>
      <c r="H63" s="138"/>
      <c r="I63" s="138"/>
      <c r="P63" s="603">
        <v>7</v>
      </c>
      <c r="Q63" s="788">
        <v>24.818285805714286</v>
      </c>
      <c r="R63" s="788">
        <v>19.436000279999998</v>
      </c>
      <c r="S63" s="788">
        <v>374.25799560000002</v>
      </c>
      <c r="T63" s="788">
        <v>142.54771639999998</v>
      </c>
      <c r="U63" s="788">
        <v>37.997142247142854</v>
      </c>
      <c r="V63" s="788">
        <v>23.642735891428568</v>
      </c>
      <c r="W63" s="788">
        <v>10.810714449000001</v>
      </c>
      <c r="X63" s="788">
        <v>434.32357352857144</v>
      </c>
      <c r="Y63" s="788">
        <v>148.12728554285715</v>
      </c>
    </row>
    <row r="64" spans="1:25" ht="6" customHeight="1">
      <c r="A64" s="136"/>
      <c r="B64" s="138"/>
      <c r="C64" s="138"/>
      <c r="D64" s="138"/>
      <c r="E64" s="138"/>
      <c r="F64" s="138"/>
      <c r="G64" s="138"/>
      <c r="H64" s="138"/>
      <c r="I64" s="138"/>
      <c r="O64" s="277">
        <v>8</v>
      </c>
      <c r="P64" s="603">
        <v>8</v>
      </c>
      <c r="Q64" s="788">
        <v>16.877285957336387</v>
      </c>
      <c r="R64" s="788">
        <v>13.084142684936484</v>
      </c>
      <c r="S64" s="788">
        <v>289.19357081821948</v>
      </c>
      <c r="T64" s="788">
        <v>162.01200212751087</v>
      </c>
      <c r="U64" s="788">
        <v>30.780285699026873</v>
      </c>
      <c r="V64" s="788">
        <v>23.681545802525072</v>
      </c>
      <c r="W64" s="788">
        <v>21.290571621486073</v>
      </c>
      <c r="X64" s="788">
        <v>403.40571376255542</v>
      </c>
      <c r="Y64" s="788">
        <v>143.28899928501644</v>
      </c>
    </row>
    <row r="65" spans="1:25" ht="24.75" customHeight="1">
      <c r="A65" s="873" t="s">
        <v>555</v>
      </c>
      <c r="B65" s="873"/>
      <c r="C65" s="873"/>
      <c r="D65" s="873"/>
      <c r="E65" s="873"/>
      <c r="F65" s="873"/>
      <c r="G65" s="873"/>
      <c r="H65" s="873"/>
      <c r="I65" s="873"/>
      <c r="J65" s="873"/>
      <c r="K65" s="873"/>
      <c r="L65" s="873"/>
      <c r="P65" s="603">
        <v>9</v>
      </c>
      <c r="Q65" s="788">
        <v>20.463000162857146</v>
      </c>
      <c r="R65" s="788">
        <v>16.131428717142857</v>
      </c>
      <c r="S65" s="788">
        <v>302.38613892857137</v>
      </c>
      <c r="T65" s="788">
        <v>174.72028894285717</v>
      </c>
      <c r="U65" s="788">
        <v>36.13400023285714</v>
      </c>
      <c r="V65" s="788">
        <v>23.625475747142854</v>
      </c>
      <c r="W65" s="788">
        <v>11.064000130142858</v>
      </c>
      <c r="X65" s="788">
        <v>388.35356794285718</v>
      </c>
      <c r="Y65" s="788">
        <v>84.357999531428575</v>
      </c>
    </row>
    <row r="66" spans="1:25" ht="20.25" customHeight="1">
      <c r="P66" s="603">
        <v>10</v>
      </c>
      <c r="Q66" s="788">
        <v>20.001714159999999</v>
      </c>
      <c r="R66" s="788">
        <v>16.133428572857145</v>
      </c>
      <c r="S66" s="788">
        <v>219.49971445714283</v>
      </c>
      <c r="T66" s="788">
        <v>118.91071428571429</v>
      </c>
      <c r="U66" s="788">
        <v>22.61842863857143</v>
      </c>
      <c r="V66" s="788">
        <v>23.72583552857143</v>
      </c>
      <c r="W66" s="788">
        <v>5.0324285712857142</v>
      </c>
      <c r="X66" s="788">
        <v>317.96785625714284</v>
      </c>
      <c r="Y66" s="788">
        <v>76.472572329999977</v>
      </c>
    </row>
    <row r="67" spans="1:25">
      <c r="P67" s="603">
        <v>11</v>
      </c>
      <c r="Q67" s="788">
        <v>20.464285714285715</v>
      </c>
      <c r="R67" s="788">
        <v>16.275285719999999</v>
      </c>
      <c r="S67" s="788">
        <v>210.39014761428572</v>
      </c>
      <c r="T67" s="788">
        <v>145.36899785714286</v>
      </c>
      <c r="U67" s="788">
        <v>39.343428748571434</v>
      </c>
      <c r="V67" s="788">
        <v>23.714347295714287</v>
      </c>
      <c r="W67" s="788">
        <v>12.165999821428571</v>
      </c>
      <c r="X67" s="788">
        <v>377.62500435714281</v>
      </c>
      <c r="Y67" s="788">
        <v>110.78628649857141</v>
      </c>
    </row>
    <row r="68" spans="1:25">
      <c r="P68" s="603">
        <v>12</v>
      </c>
      <c r="Q68" s="788">
        <v>23.032714026314846</v>
      </c>
      <c r="R68" s="788">
        <v>20.180714198521169</v>
      </c>
      <c r="S68" s="788">
        <v>335.19785417829189</v>
      </c>
      <c r="T68" s="788">
        <v>171.26185716901472</v>
      </c>
      <c r="U68" s="788">
        <v>46.286999838692772</v>
      </c>
      <c r="V68" s="788">
        <v>23.623331614903002</v>
      </c>
      <c r="W68" s="788">
        <v>11.119714055742502</v>
      </c>
      <c r="X68" s="788">
        <v>380.85929216657314</v>
      </c>
      <c r="Y68" s="788">
        <v>113.32999965122723</v>
      </c>
    </row>
    <row r="69" spans="1:25">
      <c r="P69" s="603">
        <v>13</v>
      </c>
      <c r="Q69" s="788">
        <v>27.558857236589642</v>
      </c>
      <c r="R69" s="788">
        <v>21.319143022809669</v>
      </c>
      <c r="S69" s="788">
        <v>569.31741768973188</v>
      </c>
      <c r="T69" s="788">
        <v>241.59529113769531</v>
      </c>
      <c r="U69" s="788">
        <v>63.414285387311629</v>
      </c>
      <c r="V69" s="788">
        <v>22.128154209681874</v>
      </c>
      <c r="W69" s="788">
        <v>6.0048571995326432</v>
      </c>
      <c r="X69" s="788">
        <v>332.15285818917374</v>
      </c>
      <c r="Y69" s="788">
        <v>97.158571515764294</v>
      </c>
    </row>
    <row r="70" spans="1:25">
      <c r="P70" s="603">
        <v>14</v>
      </c>
      <c r="Q70" s="788">
        <v>18.795857294285714</v>
      </c>
      <c r="R70" s="788">
        <v>18.168000220000003</v>
      </c>
      <c r="S70" s="788">
        <v>298.48543221428571</v>
      </c>
      <c r="T70" s="788">
        <v>156.28586031428571</v>
      </c>
      <c r="U70" s="788">
        <v>40.567142485714285</v>
      </c>
      <c r="V70" s="788">
        <v>21.36</v>
      </c>
      <c r="W70" s="788">
        <v>4.6619999238571435</v>
      </c>
      <c r="X70" s="788">
        <v>272.16142927142863</v>
      </c>
      <c r="Y70" s="788">
        <v>87.023999895714283</v>
      </c>
    </row>
    <row r="71" spans="1:25">
      <c r="P71" s="603">
        <v>15</v>
      </c>
      <c r="Q71" s="788">
        <v>16.380999974285714</v>
      </c>
      <c r="R71" s="788">
        <v>14.786285537142858</v>
      </c>
      <c r="S71" s="788">
        <v>196.30642698571427</v>
      </c>
      <c r="T71" s="788">
        <v>126.20242854857143</v>
      </c>
      <c r="U71" s="788">
        <v>27.609000341428576</v>
      </c>
      <c r="V71" s="788">
        <v>23.601429802857144</v>
      </c>
      <c r="W71" s="788">
        <v>2.5870000464285714</v>
      </c>
      <c r="X71" s="788">
        <v>174.17928642857143</v>
      </c>
      <c r="Y71" s="788">
        <v>56.692000798571428</v>
      </c>
    </row>
    <row r="72" spans="1:25">
      <c r="O72" s="277">
        <v>16</v>
      </c>
      <c r="P72" s="603">
        <v>16</v>
      </c>
      <c r="Q72" s="788">
        <v>15.142857142857142</v>
      </c>
      <c r="R72" s="788">
        <v>11.113285608857142</v>
      </c>
      <c r="S72" s="788">
        <v>144.25785718571427</v>
      </c>
      <c r="T72" s="788">
        <v>112.32742854857143</v>
      </c>
      <c r="U72" s="788">
        <v>23.319143022857144</v>
      </c>
      <c r="V72" s="788">
        <v>16.145714351428573</v>
      </c>
      <c r="W72" s="788">
        <v>1.9568571534285717</v>
      </c>
      <c r="X72" s="788">
        <v>124.01500048571428</v>
      </c>
      <c r="Y72" s="788">
        <v>41.578285762857142</v>
      </c>
    </row>
    <row r="73" spans="1:25">
      <c r="P73" s="603">
        <v>17</v>
      </c>
      <c r="Q73" s="788">
        <v>14.535142626081141</v>
      </c>
      <c r="R73" s="788">
        <v>7.95871441704886</v>
      </c>
      <c r="S73" s="788">
        <v>118.61742946079741</v>
      </c>
      <c r="T73" s="788">
        <v>86.636999947684131</v>
      </c>
      <c r="U73" s="788">
        <v>19.662570953369116</v>
      </c>
      <c r="V73" s="788">
        <v>14.007261548723459</v>
      </c>
      <c r="W73" s="788">
        <v>2.0897142546517471</v>
      </c>
      <c r="X73" s="788">
        <v>109.72071402413471</v>
      </c>
      <c r="Y73" s="788">
        <v>32.277857099260544</v>
      </c>
    </row>
    <row r="74" spans="1:25">
      <c r="P74" s="603">
        <v>18</v>
      </c>
      <c r="Q74" s="788">
        <v>15.919285638571427</v>
      </c>
      <c r="R74" s="788">
        <v>12.133857388142859</v>
      </c>
      <c r="S74" s="788">
        <v>119.46943012857146</v>
      </c>
      <c r="T74" s="788">
        <v>95.79771531714286</v>
      </c>
      <c r="U74" s="788">
        <v>21.329571314285715</v>
      </c>
      <c r="V74" s="788">
        <v>12.484048571428572</v>
      </c>
      <c r="W74" s="788">
        <v>2.074857081857143</v>
      </c>
      <c r="X74" s="788">
        <v>121.69785745714287</v>
      </c>
      <c r="Y74" s="788">
        <v>27.218570980000003</v>
      </c>
    </row>
    <row r="75" spans="1:25">
      <c r="P75" s="603">
        <v>19</v>
      </c>
      <c r="Q75" s="788">
        <v>16.148714472857144</v>
      </c>
      <c r="R75" s="788">
        <v>14.776714189999998</v>
      </c>
      <c r="S75" s="788">
        <v>179.62085941428572</v>
      </c>
      <c r="T75" s="788">
        <v>63.654857091428575</v>
      </c>
      <c r="U75" s="788">
        <v>18.961428234285709</v>
      </c>
      <c r="V75" s="788">
        <v>11.436902861999998</v>
      </c>
      <c r="W75" s="788">
        <v>1.6491428614285712</v>
      </c>
      <c r="X75" s="788">
        <v>98.23285565285714</v>
      </c>
      <c r="Y75" s="788">
        <v>23.996714454285712</v>
      </c>
    </row>
    <row r="76" spans="1:25">
      <c r="P76" s="603">
        <v>20</v>
      </c>
      <c r="Q76" s="788">
        <v>13.91285719</v>
      </c>
      <c r="R76" s="788">
        <v>10.484285559</v>
      </c>
      <c r="S76" s="788">
        <v>132.41042655714287</v>
      </c>
      <c r="T76" s="788">
        <v>63.017857142857146</v>
      </c>
      <c r="U76" s="788">
        <v>17.724285941428572</v>
      </c>
      <c r="V76" s="788">
        <v>12.01881</v>
      </c>
      <c r="W76" s="788">
        <v>1.6491428614285712</v>
      </c>
      <c r="X76" s="788">
        <v>74.486427307142861</v>
      </c>
      <c r="Y76" s="788">
        <v>27.218570980000003</v>
      </c>
    </row>
    <row r="77" spans="1:25">
      <c r="P77" s="603">
        <v>21</v>
      </c>
      <c r="Q77" s="788">
        <v>12.832571710859</v>
      </c>
      <c r="R77" s="788">
        <v>8.7072857448032899</v>
      </c>
      <c r="S77" s="788">
        <v>118.96285901750787</v>
      </c>
      <c r="T77" s="788">
        <v>55.553428649902308</v>
      </c>
      <c r="U77" s="788">
        <v>14.547714369637587</v>
      </c>
      <c r="V77" s="788">
        <v>11.963334356035457</v>
      </c>
      <c r="W77" s="788">
        <v>1.6175714560917398</v>
      </c>
      <c r="X77" s="788">
        <v>66.354285648890865</v>
      </c>
      <c r="Y77" s="788">
        <v>17.639571326119512</v>
      </c>
    </row>
    <row r="78" spans="1:25">
      <c r="P78" s="603">
        <v>22</v>
      </c>
      <c r="Q78" s="788">
        <v>11.589857237142857</v>
      </c>
      <c r="R78" s="788">
        <v>7.6087141037142851</v>
      </c>
      <c r="S78" s="788">
        <v>92.527713229999989</v>
      </c>
      <c r="T78" s="788">
        <v>48.85114288285714</v>
      </c>
      <c r="U78" s="788">
        <v>12.851142882857143</v>
      </c>
      <c r="V78" s="788">
        <v>11.972144264285713</v>
      </c>
      <c r="W78" s="788">
        <v>1.7258571555714286</v>
      </c>
      <c r="X78" s="788">
        <v>60.742857795714293</v>
      </c>
      <c r="Y78" s="788">
        <v>13.389714241428573</v>
      </c>
    </row>
    <row r="79" spans="1:25">
      <c r="P79" s="603">
        <v>23</v>
      </c>
      <c r="Q79" s="788">
        <v>10.866000038571428</v>
      </c>
      <c r="R79" s="788">
        <v>6.6898570742857144</v>
      </c>
      <c r="S79" s="788">
        <v>86.262142725714284</v>
      </c>
      <c r="T79" s="788">
        <v>49.02971431142857</v>
      </c>
      <c r="U79" s="788">
        <v>13.300571305714286</v>
      </c>
      <c r="V79" s="788">
        <v>12.060297148571431</v>
      </c>
      <c r="W79" s="788">
        <v>2.2755714314285713</v>
      </c>
      <c r="X79" s="788">
        <v>60.932143074285719</v>
      </c>
      <c r="Y79" s="788">
        <v>13.06000001</v>
      </c>
    </row>
    <row r="80" spans="1:25">
      <c r="O80" s="277">
        <v>24</v>
      </c>
      <c r="P80" s="603">
        <v>24</v>
      </c>
      <c r="Q80" s="788">
        <v>10.893428530011814</v>
      </c>
      <c r="R80" s="788">
        <v>6.3937142235892095</v>
      </c>
      <c r="S80" s="788">
        <v>80.154999869210343</v>
      </c>
      <c r="T80" s="788">
        <v>39.363000052315797</v>
      </c>
      <c r="U80" s="788">
        <v>11.205857140677287</v>
      </c>
      <c r="V80" s="788">
        <v>12.025059972490542</v>
      </c>
      <c r="W80" s="788">
        <v>2.2755714314324473</v>
      </c>
      <c r="X80" s="788">
        <v>56.771429334367994</v>
      </c>
      <c r="Y80" s="788">
        <v>10.094714164733857</v>
      </c>
    </row>
    <row r="81" spans="15:25">
      <c r="P81" s="603">
        <v>25</v>
      </c>
      <c r="Q81" s="788">
        <v>9.7685713087142858</v>
      </c>
      <c r="R81" s="788">
        <v>5.4858571460000007</v>
      </c>
      <c r="S81" s="788">
        <v>71.438000270000003</v>
      </c>
      <c r="T81" s="788">
        <v>31.88514287142857</v>
      </c>
      <c r="U81" s="788">
        <v>9.1724285395714276</v>
      </c>
      <c r="V81" s="788">
        <v>11.867550168571428</v>
      </c>
      <c r="W81" s="788">
        <v>1.7577142885714285</v>
      </c>
      <c r="X81" s="788">
        <v>51.780714305714291</v>
      </c>
      <c r="Y81" s="788">
        <v>9.1595716474285691</v>
      </c>
    </row>
    <row r="82" spans="15:25">
      <c r="P82" s="603">
        <v>26</v>
      </c>
      <c r="Q82" s="788">
        <v>9.3011428291428579</v>
      </c>
      <c r="R82" s="788">
        <v>5.6422856875714285</v>
      </c>
      <c r="S82" s="788">
        <v>70.798141479999998</v>
      </c>
      <c r="T82" s="788">
        <v>29.80342864857143</v>
      </c>
      <c r="U82" s="788">
        <v>8.6642858641428564</v>
      </c>
      <c r="V82" s="788">
        <v>11.961507115714285</v>
      </c>
      <c r="W82" s="788">
        <v>1.7387143204285713</v>
      </c>
      <c r="X82" s="788">
        <v>47.265713828571435</v>
      </c>
      <c r="Y82" s="788">
        <v>8.8348572594285706</v>
      </c>
    </row>
    <row r="83" spans="15:25">
      <c r="P83" s="603">
        <v>27</v>
      </c>
      <c r="Q83" s="788">
        <v>9.0898572376796078</v>
      </c>
      <c r="R83" s="788">
        <v>4.8411428587777223</v>
      </c>
      <c r="S83" s="788">
        <v>72.323284694126613</v>
      </c>
      <c r="T83" s="788">
        <v>28.875142778669062</v>
      </c>
      <c r="U83" s="788">
        <v>8.3150001253400507</v>
      </c>
      <c r="V83" s="788">
        <v>12.125935554504371</v>
      </c>
      <c r="W83" s="788">
        <v>2.0545714242117699</v>
      </c>
      <c r="X83" s="788">
        <v>44.601428440638877</v>
      </c>
      <c r="Y83" s="788">
        <v>8.4665715353829452</v>
      </c>
    </row>
    <row r="84" spans="15:25">
      <c r="P84" s="603">
        <v>28</v>
      </c>
      <c r="Q84" s="788">
        <v>8.3315715788571421</v>
      </c>
      <c r="R84" s="788">
        <v>4.0902857780000001</v>
      </c>
      <c r="S84" s="788">
        <v>70.352427891428562</v>
      </c>
      <c r="T84" s="788">
        <v>27.071428571428573</v>
      </c>
      <c r="U84" s="788">
        <v>7.9792855807142846</v>
      </c>
      <c r="V84" s="788">
        <v>12.036131450000001</v>
      </c>
      <c r="W84" s="788">
        <v>1.862857103571429</v>
      </c>
      <c r="X84" s="788">
        <v>42.742857252857149</v>
      </c>
      <c r="Y84" s="788">
        <v>7.6952857290000001</v>
      </c>
    </row>
    <row r="85" spans="15:25">
      <c r="P85" s="603">
        <v>29</v>
      </c>
      <c r="Q85" s="788">
        <v>8.7399999755714273</v>
      </c>
      <c r="R85" s="788">
        <v>3.3690000857142857</v>
      </c>
      <c r="S85" s="788">
        <v>69.363000051428585</v>
      </c>
      <c r="T85" s="788">
        <v>26.369142805714286</v>
      </c>
      <c r="U85" s="788">
        <v>7.2952857698571441</v>
      </c>
      <c r="V85" s="788">
        <v>12.01250158142857</v>
      </c>
      <c r="W85" s="788">
        <v>2.1428571427142855</v>
      </c>
      <c r="X85" s="788">
        <v>40.262857164285712</v>
      </c>
      <c r="Y85" s="788">
        <v>7.1297142847142867</v>
      </c>
    </row>
    <row r="86" spans="15:25">
      <c r="P86" s="603">
        <v>30</v>
      </c>
      <c r="Q86" s="788">
        <v>8.2612857819999999</v>
      </c>
      <c r="R86" s="788">
        <v>3.9334286622857135</v>
      </c>
      <c r="S86" s="788">
        <v>68.101856775714282</v>
      </c>
      <c r="T86" s="788">
        <v>23.077571325714285</v>
      </c>
      <c r="U86" s="788">
        <v>7.5452858379999999</v>
      </c>
      <c r="V86" s="788">
        <v>12.065415654285715</v>
      </c>
      <c r="W86" s="788">
        <v>2.0148571899999999</v>
      </c>
      <c r="X86" s="788">
        <v>39.827141895714291</v>
      </c>
      <c r="Y86" s="788">
        <v>8.1214285577142853</v>
      </c>
    </row>
    <row r="87" spans="15:25">
      <c r="P87" s="603">
        <v>31</v>
      </c>
      <c r="Q87" s="788">
        <v>7.5295715331428577</v>
      </c>
      <c r="R87" s="788">
        <v>3.8718570981428577</v>
      </c>
      <c r="S87" s="788">
        <v>66.163572037142856</v>
      </c>
      <c r="T87" s="788">
        <v>20.36314283098493</v>
      </c>
      <c r="U87" s="788">
        <v>7.1267142297142865</v>
      </c>
      <c r="V87" s="788">
        <v>12.064045632857143</v>
      </c>
      <c r="W87" s="788">
        <v>2.0708571672857143</v>
      </c>
      <c r="X87" s="788">
        <v>37.761428834285709</v>
      </c>
      <c r="Y87" s="788">
        <v>8.1097143717142863</v>
      </c>
    </row>
    <row r="88" spans="15:25">
      <c r="O88" s="277">
        <v>32</v>
      </c>
      <c r="P88" s="603">
        <v>32</v>
      </c>
      <c r="Q88" s="788">
        <v>7.1332857268197154</v>
      </c>
      <c r="R88" s="788">
        <v>3.9694285733359158</v>
      </c>
      <c r="S88" s="788">
        <v>69.589143480573355</v>
      </c>
      <c r="T88" s="788">
        <v>20.36</v>
      </c>
      <c r="U88" s="788">
        <v>6.828428472791396</v>
      </c>
      <c r="V88" s="788">
        <v>11.89809417724604</v>
      </c>
      <c r="W88" s="788">
        <v>1.7728571551186658</v>
      </c>
      <c r="X88" s="788">
        <v>37.760714394705587</v>
      </c>
      <c r="Y88" s="788">
        <v>10.538714272635294</v>
      </c>
    </row>
    <row r="89" spans="15:25">
      <c r="P89" s="603">
        <v>33</v>
      </c>
      <c r="Q89" s="788">
        <v>7.307000092</v>
      </c>
      <c r="R89" s="788">
        <v>4.0542857307142848</v>
      </c>
      <c r="S89" s="788">
        <v>67.52914374142857</v>
      </c>
      <c r="T89" s="788">
        <v>23.369000025714286</v>
      </c>
      <c r="U89" s="788">
        <v>6.6690000125714279</v>
      </c>
      <c r="V89" s="788">
        <v>11.954105787142856</v>
      </c>
      <c r="W89" s="788">
        <v>1.7154285907142857</v>
      </c>
      <c r="X89" s="788">
        <v>38.402142115714284</v>
      </c>
      <c r="Y89" s="788">
        <v>6.1292857952857149</v>
      </c>
    </row>
    <row r="90" spans="15:25">
      <c r="P90" s="603">
        <v>34</v>
      </c>
      <c r="Q90" s="788">
        <v>6.8864285605714288</v>
      </c>
      <c r="R90" s="788">
        <v>3.8852857181428568</v>
      </c>
      <c r="S90" s="788">
        <v>67.307859692857136</v>
      </c>
      <c r="T90" s="788">
        <v>24.434428622857144</v>
      </c>
      <c r="U90" s="788">
        <v>6.6477142742857138</v>
      </c>
      <c r="V90" s="788">
        <v>11.958392961428572</v>
      </c>
      <c r="W90" s="788">
        <v>2.26100002</v>
      </c>
      <c r="X90" s="788">
        <v>36.792856487142856</v>
      </c>
      <c r="Y90" s="788">
        <v>6.0765714645714288</v>
      </c>
    </row>
    <row r="91" spans="15:25">
      <c r="P91" s="603">
        <v>35</v>
      </c>
      <c r="Q91" s="788">
        <v>6.9537143707275364</v>
      </c>
      <c r="R91" s="788">
        <v>3.3560000147138283</v>
      </c>
      <c r="S91" s="788">
        <v>62.870428357805473</v>
      </c>
      <c r="T91" s="788">
        <v>21.077428545270632</v>
      </c>
      <c r="U91" s="788">
        <v>6.0071428843906904</v>
      </c>
      <c r="V91" s="788">
        <v>12.309941428048228</v>
      </c>
      <c r="W91" s="788">
        <v>1.5178571258272411</v>
      </c>
      <c r="X91" s="788">
        <v>37.991428375244077</v>
      </c>
      <c r="Y91" s="788">
        <v>5.9287142923900031</v>
      </c>
    </row>
    <row r="92" spans="15:25">
      <c r="P92" s="603">
        <v>36</v>
      </c>
      <c r="Q92" s="788">
        <v>6.8990000316074882</v>
      </c>
      <c r="R92" s="788">
        <v>3.1212857110159686</v>
      </c>
      <c r="S92" s="788">
        <v>65.621286119733483</v>
      </c>
      <c r="T92" s="788">
        <v>23.857142857142815</v>
      </c>
      <c r="U92" s="788">
        <v>6.0528572627476231</v>
      </c>
      <c r="V92" s="788">
        <v>12.697084290640644</v>
      </c>
      <c r="W92" s="788">
        <v>1.0650000040020247</v>
      </c>
      <c r="X92" s="788">
        <v>40.24999999999995</v>
      </c>
      <c r="Y92" s="788">
        <v>6.6625714302062962</v>
      </c>
    </row>
    <row r="93" spans="15:25">
      <c r="P93" s="603">
        <v>37</v>
      </c>
      <c r="Q93" s="788">
        <v>6.6838571003505107</v>
      </c>
      <c r="R93" s="788">
        <v>3.6978571414947474</v>
      </c>
      <c r="S93" s="788">
        <v>65.927430289132204</v>
      </c>
      <c r="T93" s="788">
        <v>21.696428571428545</v>
      </c>
      <c r="U93" s="788">
        <v>5.992857115609298</v>
      </c>
      <c r="V93" s="788">
        <v>12.722499983651257</v>
      </c>
      <c r="W93" s="788">
        <v>1.5737142903464156</v>
      </c>
      <c r="X93" s="788">
        <v>41.220714024135006</v>
      </c>
      <c r="Y93" s="788">
        <v>6.7525714465549971</v>
      </c>
    </row>
    <row r="94" spans="15:25">
      <c r="P94" s="603">
        <v>38</v>
      </c>
      <c r="Q94" s="788">
        <v>7.5399999618530247</v>
      </c>
      <c r="R94" s="788">
        <v>4.336428608285714</v>
      </c>
      <c r="S94" s="788">
        <v>68.259427751813561</v>
      </c>
      <c r="T94" s="788">
        <v>32.958285740443614</v>
      </c>
      <c r="U94" s="788">
        <v>6.3054285049438423</v>
      </c>
      <c r="V94" s="788">
        <v>12.757261548723429</v>
      </c>
      <c r="W94" s="788">
        <v>1.6808571304593714</v>
      </c>
      <c r="X94" s="788">
        <v>38.451428549630243</v>
      </c>
      <c r="Y94" s="788">
        <v>6.3287143026079411</v>
      </c>
    </row>
    <row r="95" spans="15:25">
      <c r="P95" s="603">
        <v>39</v>
      </c>
      <c r="Q95" s="788">
        <v>6.875</v>
      </c>
      <c r="R95" s="788">
        <v>3.7</v>
      </c>
      <c r="S95" s="788">
        <v>75.159429278571437</v>
      </c>
      <c r="T95" s="788">
        <v>41.827428545714284</v>
      </c>
      <c r="U95" s="788">
        <v>7.6855713981428568</v>
      </c>
      <c r="V95" s="788">
        <v>12.744882855714284</v>
      </c>
      <c r="W95" s="788">
        <v>1.6871428661428571</v>
      </c>
      <c r="X95" s="788">
        <v>41.307143075714286</v>
      </c>
      <c r="Y95" s="788">
        <v>7.4534285069999999</v>
      </c>
    </row>
    <row r="96" spans="15:25">
      <c r="O96" s="277">
        <v>40</v>
      </c>
      <c r="P96" s="603">
        <v>40</v>
      </c>
      <c r="Q96" s="788">
        <v>6.0911429268571426</v>
      </c>
      <c r="R96" s="788">
        <v>3.501428569857143</v>
      </c>
      <c r="S96" s="788">
        <v>73.523286004285723</v>
      </c>
      <c r="T96" s="788">
        <v>30.178571428571427</v>
      </c>
      <c r="U96" s="788">
        <v>7.8047143392857157</v>
      </c>
      <c r="V96" s="788">
        <v>13.59601129857143</v>
      </c>
      <c r="W96" s="788">
        <v>1.6130000010000001</v>
      </c>
      <c r="X96" s="788">
        <v>45.036428724285713</v>
      </c>
      <c r="Y96" s="788">
        <v>6.0369999748571432</v>
      </c>
    </row>
    <row r="97" spans="14:25">
      <c r="P97" s="603">
        <v>41</v>
      </c>
      <c r="Q97" s="788">
        <v>5.8652857372857152</v>
      </c>
      <c r="R97" s="788">
        <v>4.2169999735714283</v>
      </c>
      <c r="S97" s="788">
        <v>67.761285509999993</v>
      </c>
      <c r="T97" s="788">
        <v>24.547571454285713</v>
      </c>
      <c r="U97" s="788">
        <v>6.762428624428571</v>
      </c>
      <c r="V97" s="788">
        <v>13.258037294285714</v>
      </c>
      <c r="W97" s="788">
        <v>1.8452857051428571</v>
      </c>
      <c r="X97" s="788">
        <v>44.255714417142862</v>
      </c>
      <c r="Y97" s="788">
        <v>6.8767141612857143</v>
      </c>
    </row>
    <row r="98" spans="14:25">
      <c r="P98" s="603">
        <v>42</v>
      </c>
      <c r="Q98" s="788">
        <v>6.6280000550406255</v>
      </c>
      <c r="R98" s="788">
        <v>4.7599999564034556</v>
      </c>
      <c r="S98" s="788">
        <v>71.132857186453606</v>
      </c>
      <c r="T98" s="788">
        <v>41.773857116699205</v>
      </c>
      <c r="U98" s="788">
        <v>7.8334286553519048</v>
      </c>
      <c r="V98" s="788">
        <v>12.748987061636742</v>
      </c>
      <c r="W98" s="788">
        <v>1.9990000043596503</v>
      </c>
      <c r="X98" s="788">
        <v>49.407857077462303</v>
      </c>
      <c r="Y98" s="788">
        <v>6.4478571755545433</v>
      </c>
    </row>
    <row r="99" spans="14:25">
      <c r="P99" s="603">
        <v>43</v>
      </c>
      <c r="Q99" s="788">
        <v>7.1351429394285715</v>
      </c>
      <c r="R99" s="788">
        <v>5.693714175857143</v>
      </c>
      <c r="S99" s="788">
        <v>76.869857788571409</v>
      </c>
      <c r="T99" s="788">
        <v>39.60114288285714</v>
      </c>
      <c r="U99" s="788">
        <v>6.4934286387142857</v>
      </c>
      <c r="V99" s="788">
        <v>12.771309988571426</v>
      </c>
      <c r="W99" s="788">
        <v>1.5481428758571429</v>
      </c>
      <c r="X99" s="788">
        <v>49.056428090000004</v>
      </c>
      <c r="Y99" s="788">
        <v>6.2457143240000006</v>
      </c>
    </row>
    <row r="100" spans="14:25">
      <c r="P100" s="603">
        <v>44</v>
      </c>
      <c r="Q100" s="788">
        <v>6.1070000102857147</v>
      </c>
      <c r="R100" s="788">
        <v>4.3958570957142857</v>
      </c>
      <c r="S100" s="788">
        <v>68.664999825714276</v>
      </c>
      <c r="T100" s="788">
        <v>36.702285765714286</v>
      </c>
      <c r="U100" s="788">
        <v>5.6301428931428577</v>
      </c>
      <c r="V100" s="788">
        <v>13.156308445714286</v>
      </c>
      <c r="W100" s="788">
        <v>1.4392857041428573</v>
      </c>
      <c r="X100" s="788">
        <v>48.241428374285711</v>
      </c>
      <c r="Y100" s="788">
        <v>6.5374285491428568</v>
      </c>
    </row>
    <row r="101" spans="14:25">
      <c r="P101" s="603">
        <v>45</v>
      </c>
      <c r="Q101" s="788">
        <v>5.6735714502857144</v>
      </c>
      <c r="R101" s="788">
        <v>4.5134285178571432</v>
      </c>
      <c r="S101" s="788">
        <v>62.049999781428575</v>
      </c>
      <c r="T101" s="788">
        <v>27.797571454285713</v>
      </c>
      <c r="U101" s="788">
        <v>5.3054286411428562</v>
      </c>
      <c r="V101" s="788">
        <v>12.687737055714285</v>
      </c>
      <c r="W101" s="788">
        <v>1.380714297142857</v>
      </c>
      <c r="X101" s="788">
        <v>46.33071463571428</v>
      </c>
      <c r="Y101" s="788">
        <v>6.183142798285715</v>
      </c>
    </row>
    <row r="102" spans="14:25">
      <c r="P102" s="603">
        <v>46</v>
      </c>
      <c r="Q102" s="788">
        <v>5.9637143271428581</v>
      </c>
      <c r="R102" s="788">
        <v>5.3014286587142854</v>
      </c>
      <c r="S102" s="788">
        <v>57.546571460000003</v>
      </c>
      <c r="T102" s="788">
        <v>32.208285740000001</v>
      </c>
      <c r="U102" s="788">
        <v>5.1785714285714288</v>
      </c>
      <c r="V102" s="788">
        <v>13.157975741428572</v>
      </c>
      <c r="W102" s="788">
        <v>1.3845714331428574</v>
      </c>
      <c r="X102" s="788">
        <v>44.693571362857142</v>
      </c>
      <c r="Y102" s="788">
        <v>7.3267143794285712</v>
      </c>
    </row>
    <row r="103" spans="14:25">
      <c r="P103" s="603">
        <v>47</v>
      </c>
      <c r="Q103" s="788">
        <v>6.7792857034285712</v>
      </c>
      <c r="R103" s="788">
        <v>3.8094285555714285</v>
      </c>
      <c r="S103" s="788">
        <v>56.944714135714285</v>
      </c>
      <c r="T103" s="788">
        <v>25.351285662857144</v>
      </c>
      <c r="U103" s="788">
        <v>6.1274285315714279</v>
      </c>
      <c r="V103" s="788">
        <v>12.246785572857144</v>
      </c>
      <c r="W103" s="788">
        <v>1.5065714290000003</v>
      </c>
      <c r="X103" s="788">
        <v>42.967857361428564</v>
      </c>
      <c r="Y103" s="788">
        <v>9.6325714934285713</v>
      </c>
    </row>
    <row r="104" spans="14:25">
      <c r="P104" s="603">
        <v>48</v>
      </c>
      <c r="Q104" s="788">
        <v>8.2138571738571429</v>
      </c>
      <c r="R104" s="788">
        <v>5.0787143024285717</v>
      </c>
      <c r="S104" s="788">
        <v>56.829999651428572</v>
      </c>
      <c r="T104" s="788">
        <v>37.994142805714283</v>
      </c>
      <c r="U104" s="788">
        <v>8.188285623714286</v>
      </c>
      <c r="V104" s="788">
        <v>13.367501529999998</v>
      </c>
      <c r="W104" s="788">
        <v>1.0268571504285715</v>
      </c>
      <c r="X104" s="788">
        <v>63.644285474285716</v>
      </c>
      <c r="Y104" s="788">
        <v>13.102857045714286</v>
      </c>
    </row>
    <row r="105" spans="14:25">
      <c r="P105" s="603">
        <v>49</v>
      </c>
      <c r="Q105" s="788">
        <v>17.68042864142857</v>
      </c>
      <c r="R105" s="788">
        <v>12.998142924285714</v>
      </c>
      <c r="S105" s="788">
        <v>90.966000160000007</v>
      </c>
      <c r="T105" s="788">
        <v>88.630856108571422</v>
      </c>
      <c r="U105" s="788">
        <v>14.530285971857142</v>
      </c>
      <c r="V105" s="788">
        <v>13.053452899999998</v>
      </c>
      <c r="W105" s="788">
        <v>1.0737142817142857</v>
      </c>
      <c r="X105" s="788">
        <v>90.734285625714293</v>
      </c>
      <c r="Y105" s="788">
        <v>17.667142595714285</v>
      </c>
    </row>
    <row r="106" spans="14:25">
      <c r="P106" s="603">
        <v>50</v>
      </c>
      <c r="Q106" s="788">
        <v>12.617142812857141</v>
      </c>
      <c r="R106" s="788">
        <v>11.908142771714285</v>
      </c>
      <c r="S106" s="788">
        <v>83.198000225714296</v>
      </c>
      <c r="T106" s="788">
        <v>44.297571454285716</v>
      </c>
      <c r="U106" s="788">
        <v>9.220428467142856</v>
      </c>
      <c r="V106" s="788">
        <v>13.068511554285712</v>
      </c>
      <c r="W106" s="788">
        <v>1.2921428212857144</v>
      </c>
      <c r="X106" s="788">
        <v>57.20714296714285</v>
      </c>
      <c r="Y106" s="788">
        <v>14.238999775714285</v>
      </c>
    </row>
    <row r="107" spans="14:25">
      <c r="P107" s="603">
        <v>51</v>
      </c>
      <c r="Q107" s="788">
        <v>19.502285685714288</v>
      </c>
      <c r="R107" s="788">
        <v>17.91042859142857</v>
      </c>
      <c r="S107" s="788">
        <v>93.582571842857163</v>
      </c>
      <c r="T107" s="788">
        <v>77.60742949714286</v>
      </c>
      <c r="U107" s="788">
        <v>9.7118571817142847</v>
      </c>
      <c r="V107" s="788">
        <v>12.987917082857143</v>
      </c>
      <c r="W107" s="788">
        <v>1.2780000142857142</v>
      </c>
      <c r="X107" s="788">
        <v>76.025713785714288</v>
      </c>
      <c r="Y107" s="788">
        <v>17.224714688571428</v>
      </c>
    </row>
    <row r="108" spans="14:25">
      <c r="O108" s="277">
        <v>52</v>
      </c>
      <c r="P108" s="603">
        <v>52</v>
      </c>
      <c r="Q108" s="788">
        <v>24.478714262857146</v>
      </c>
      <c r="R108" s="788">
        <v>20.052142824285713</v>
      </c>
      <c r="S108" s="788">
        <v>198.89756992857141</v>
      </c>
      <c r="T108" s="788">
        <v>158.34513965714288</v>
      </c>
      <c r="U108" s="788">
        <v>34.910285677142852</v>
      </c>
      <c r="V108" s="788">
        <v>18.967856814285714</v>
      </c>
      <c r="W108" s="788">
        <v>7.1757142371428566</v>
      </c>
      <c r="X108" s="788">
        <v>180.25785610000003</v>
      </c>
      <c r="Y108" s="788">
        <v>54.019857132857133</v>
      </c>
    </row>
    <row r="109" spans="14:25">
      <c r="N109" s="277">
        <v>2021</v>
      </c>
      <c r="P109" s="603">
        <v>1</v>
      </c>
      <c r="Q109" s="788">
        <v>32.471142904285713</v>
      </c>
      <c r="R109" s="788">
        <v>23.040428705714284</v>
      </c>
      <c r="S109" s="788">
        <v>363.19999692857135</v>
      </c>
      <c r="T109" s="788">
        <v>212.58328465714288</v>
      </c>
      <c r="U109" s="788">
        <v>44.205428261428565</v>
      </c>
      <c r="V109" s="788">
        <v>22.357858387142851</v>
      </c>
      <c r="W109" s="788">
        <v>6.7241427552857145</v>
      </c>
      <c r="X109" s="788">
        <v>233.42357307142856</v>
      </c>
      <c r="Y109" s="788">
        <v>70.259001594285721</v>
      </c>
    </row>
    <row r="110" spans="14:25">
      <c r="P110" s="603">
        <v>2</v>
      </c>
      <c r="Q110" s="788">
        <v>29.357571737142859</v>
      </c>
      <c r="R110" s="788">
        <v>22.506999971428574</v>
      </c>
      <c r="S110" s="788">
        <v>323.79400198571426</v>
      </c>
      <c r="T110" s="788">
        <v>154.41086031428571</v>
      </c>
      <c r="U110" s="788">
        <v>27.91428565857143</v>
      </c>
      <c r="V110" s="788">
        <v>16.044107027142857</v>
      </c>
      <c r="W110" s="788">
        <v>3.2384286270000002</v>
      </c>
      <c r="X110" s="788">
        <v>199.51214380000002</v>
      </c>
      <c r="Y110" s="788">
        <v>58.126999447142857</v>
      </c>
    </row>
    <row r="111" spans="14:25">
      <c r="P111" s="603">
        <v>3</v>
      </c>
      <c r="Q111" s="788">
        <v>27.718428745714288</v>
      </c>
      <c r="R111" s="788">
        <v>21.345142638571424</v>
      </c>
      <c r="S111" s="788">
        <v>401.6544320142857</v>
      </c>
      <c r="T111" s="788">
        <v>185.14285714285714</v>
      </c>
      <c r="U111" s="788">
        <v>39.37385668142857</v>
      </c>
      <c r="V111" s="788">
        <v>18.835116929999998</v>
      </c>
      <c r="W111" s="788">
        <v>6.560571466571429</v>
      </c>
      <c r="X111" s="788">
        <v>380.69428361428572</v>
      </c>
      <c r="Y111" s="788">
        <v>74.927428108571434</v>
      </c>
    </row>
    <row r="112" spans="14:25">
      <c r="P112" s="603">
        <v>4</v>
      </c>
      <c r="Q112" s="788">
        <v>30.739285877142859</v>
      </c>
      <c r="R112" s="788">
        <v>24.126143047142854</v>
      </c>
      <c r="S112" s="788">
        <v>367.00971765714274</v>
      </c>
      <c r="T112" s="788">
        <v>156.14856614285716</v>
      </c>
      <c r="U112" s="788">
        <v>23.497714179999999</v>
      </c>
      <c r="V112" s="788">
        <v>16.004641395714284</v>
      </c>
      <c r="W112" s="788">
        <v>5.1067142825714296</v>
      </c>
      <c r="X112" s="788">
        <v>322.4650006857143</v>
      </c>
      <c r="Y112" s="788">
        <v>68.394571574285706</v>
      </c>
    </row>
    <row r="113" spans="15:25">
      <c r="P113" s="603">
        <v>5</v>
      </c>
      <c r="Q113" s="788">
        <v>25.584571565714288</v>
      </c>
      <c r="R113" s="788">
        <v>22.874571391428567</v>
      </c>
      <c r="S113" s="788">
        <v>260.95085362857145</v>
      </c>
      <c r="T113" s="788">
        <v>108.66671425714286</v>
      </c>
      <c r="U113" s="788">
        <v>21.321428571428573</v>
      </c>
      <c r="V113" s="788">
        <v>16.024463924285715</v>
      </c>
      <c r="W113" s="788">
        <v>3.1654285022857147</v>
      </c>
      <c r="X113" s="788">
        <v>203.94785854285715</v>
      </c>
      <c r="Y113" s="788">
        <v>56.864572254285704</v>
      </c>
    </row>
    <row r="114" spans="15:25">
      <c r="P114" s="603">
        <v>6</v>
      </c>
      <c r="Q114" s="788">
        <v>18.677976190476191</v>
      </c>
      <c r="R114" s="788">
        <v>19.115142824285716</v>
      </c>
      <c r="S114" s="788">
        <v>266.1391427142857</v>
      </c>
      <c r="T114" s="788">
        <v>132.98228671428572</v>
      </c>
      <c r="U114" s="788">
        <v>30.396999359999999</v>
      </c>
      <c r="V114" s="788">
        <v>15.963094302857142</v>
      </c>
      <c r="W114" s="788">
        <v>5.8411428927142861</v>
      </c>
      <c r="X114" s="788">
        <v>317.90785435714287</v>
      </c>
      <c r="Y114" s="788">
        <v>60.405000412857149</v>
      </c>
    </row>
    <row r="115" spans="15:25">
      <c r="P115" s="603">
        <v>7</v>
      </c>
      <c r="Q115" s="788">
        <v>18.677976190476191</v>
      </c>
      <c r="R115" s="788">
        <v>18.677976190476191</v>
      </c>
      <c r="S115" s="788">
        <v>231.286666666667</v>
      </c>
      <c r="T115" s="788">
        <v>91.321428571428569</v>
      </c>
      <c r="U115" s="788">
        <v>18.5625</v>
      </c>
      <c r="V115" s="788">
        <v>14.07</v>
      </c>
      <c r="W115" s="788">
        <v>3.3580000000000001</v>
      </c>
      <c r="X115" s="788">
        <v>339.78</v>
      </c>
      <c r="Y115" s="788">
        <v>76.87</v>
      </c>
    </row>
    <row r="116" spans="15:25">
      <c r="P116" s="603">
        <v>8</v>
      </c>
      <c r="Q116" s="788">
        <v>15.895833333333314</v>
      </c>
      <c r="R116" s="788">
        <v>8.1069999999999993</v>
      </c>
      <c r="S116" s="788">
        <v>131.62660714285707</v>
      </c>
      <c r="T116" s="788">
        <v>104.375</v>
      </c>
      <c r="U116" s="788">
        <v>21.619</v>
      </c>
      <c r="V116" s="788">
        <v>13.162619047619055</v>
      </c>
      <c r="W116" s="788">
        <v>2.181</v>
      </c>
      <c r="X116" s="788">
        <v>264.85700000000003</v>
      </c>
      <c r="Y116" s="788">
        <v>119.958</v>
      </c>
    </row>
    <row r="117" spans="15:25">
      <c r="P117" s="603">
        <v>9</v>
      </c>
      <c r="Q117" s="788">
        <v>16.03157152448377</v>
      </c>
      <c r="R117" s="788">
        <v>10.70885712759833</v>
      </c>
      <c r="S117" s="788">
        <v>115.81614358084498</v>
      </c>
      <c r="T117" s="788">
        <v>81.571428571428527</v>
      </c>
      <c r="U117" s="788">
        <v>19.778999873570012</v>
      </c>
      <c r="V117" s="788">
        <v>11.839642660958372</v>
      </c>
      <c r="W117" s="788">
        <v>2.5798570939472714</v>
      </c>
      <c r="X117" s="788">
        <v>195.40928431919602</v>
      </c>
      <c r="Y117" s="788">
        <v>71.76285661969861</v>
      </c>
    </row>
    <row r="118" spans="15:25">
      <c r="P118" s="603">
        <v>10</v>
      </c>
      <c r="Q118" s="788">
        <v>28.276142392857142</v>
      </c>
      <c r="R118" s="788">
        <v>21.731714248571429</v>
      </c>
      <c r="S118" s="788">
        <v>254.39099884285716</v>
      </c>
      <c r="T118" s="788">
        <v>146.17256928571427</v>
      </c>
      <c r="U118" s="788">
        <v>29.352285658571429</v>
      </c>
      <c r="V118" s="788">
        <v>10.568511418142858</v>
      </c>
      <c r="W118" s="788">
        <v>2.1962857415714288</v>
      </c>
      <c r="X118" s="788">
        <v>212.2000013</v>
      </c>
      <c r="Y118" s="788">
        <v>56.04871422714286</v>
      </c>
    </row>
    <row r="119" spans="15:25">
      <c r="P119" s="603">
        <v>11</v>
      </c>
      <c r="Q119" s="788">
        <v>28.634571619999999</v>
      </c>
      <c r="R119" s="788">
        <v>21.524857657142856</v>
      </c>
      <c r="S119" s="788">
        <v>320.82542418571427</v>
      </c>
      <c r="T119" s="788">
        <v>138.12514602857144</v>
      </c>
      <c r="U119" s="788">
        <v>28.100000654285715</v>
      </c>
      <c r="V119" s="788">
        <v>11.367022922857142</v>
      </c>
      <c r="W119" s="788">
        <v>2.7152857098571426</v>
      </c>
      <c r="X119" s="788">
        <v>229.93857247142856</v>
      </c>
      <c r="Y119" s="788">
        <v>63.309571402857145</v>
      </c>
    </row>
    <row r="120" spans="15:25">
      <c r="P120" s="603">
        <v>12</v>
      </c>
      <c r="Q120" s="788">
        <v>28.223285404285715</v>
      </c>
      <c r="R120" s="788">
        <v>22.087285995714286</v>
      </c>
      <c r="S120" s="788">
        <v>295.67700197142852</v>
      </c>
      <c r="T120" s="788">
        <v>176.22028785714286</v>
      </c>
      <c r="U120" s="788">
        <v>43.393999101428577</v>
      </c>
      <c r="V120" s="788">
        <v>14.060239925714285</v>
      </c>
      <c r="W120" s="788">
        <v>3.625</v>
      </c>
      <c r="X120" s="788">
        <v>287.37429152857146</v>
      </c>
      <c r="Y120" s="788">
        <v>68.27</v>
      </c>
    </row>
    <row r="121" spans="15:25">
      <c r="O121" s="277">
        <v>13</v>
      </c>
      <c r="P121" s="603">
        <v>13</v>
      </c>
      <c r="Q121" s="788">
        <v>27.516571317142855</v>
      </c>
      <c r="R121" s="788">
        <v>23.321285792857143</v>
      </c>
      <c r="S121" s="788">
        <v>358.4028538428571</v>
      </c>
      <c r="T121" s="788">
        <v>161.61914497142857</v>
      </c>
      <c r="U121" s="788">
        <v>39.082286288571431</v>
      </c>
      <c r="V121" s="788">
        <v>20.107797215142853</v>
      </c>
      <c r="W121" s="788">
        <v>4.0744285582857147</v>
      </c>
      <c r="X121" s="788">
        <v>292.37857055714284</v>
      </c>
      <c r="Y121" s="788">
        <v>61.654713765714291</v>
      </c>
    </row>
    <row r="122" spans="15:25">
      <c r="P122" s="603">
        <v>14</v>
      </c>
      <c r="Q122" s="788">
        <v>29.126714707142856</v>
      </c>
      <c r="R122" s="788">
        <v>26.810000011428574</v>
      </c>
      <c r="S122" s="788">
        <v>415.37771607142855</v>
      </c>
      <c r="T122" s="788">
        <v>180.97614180000002</v>
      </c>
      <c r="U122" s="788">
        <v>40.325571332857145</v>
      </c>
      <c r="V122" s="788">
        <v>23.453333172857139</v>
      </c>
      <c r="W122" s="788">
        <v>2.8194285800000003</v>
      </c>
      <c r="X122" s="788">
        <v>281.81714740000001</v>
      </c>
      <c r="Y122" s="788">
        <v>68.710573468571425</v>
      </c>
    </row>
    <row r="123" spans="15:25">
      <c r="P123" s="603">
        <v>15</v>
      </c>
      <c r="Q123" s="604">
        <v>28.420428685714288</v>
      </c>
      <c r="R123" s="604">
        <v>22.159857068571426</v>
      </c>
      <c r="S123" s="604">
        <v>388.02957154285713</v>
      </c>
      <c r="T123" s="604">
        <v>187.79186137142855</v>
      </c>
      <c r="U123" s="604">
        <v>52.19757080285715</v>
      </c>
      <c r="V123" s="604">
        <v>23.194762912857147</v>
      </c>
      <c r="W123" s="604">
        <v>2.7518571105714291</v>
      </c>
      <c r="X123" s="604">
        <v>319.64357211428575</v>
      </c>
      <c r="Y123" s="604">
        <v>74.239000592857138</v>
      </c>
    </row>
    <row r="124" spans="15:25">
      <c r="P124" s="603">
        <v>16</v>
      </c>
      <c r="Q124" s="788">
        <v>21.880999702857146</v>
      </c>
      <c r="R124" s="788">
        <v>20.447000231428571</v>
      </c>
      <c r="S124" s="788">
        <v>189.56900242857142</v>
      </c>
      <c r="T124" s="788">
        <v>107.50585611428572</v>
      </c>
      <c r="U124" s="788">
        <v>28.65042877285714</v>
      </c>
      <c r="V124" s="788">
        <v>18.780238424285709</v>
      </c>
      <c r="W124" s="788">
        <v>1.8839999778571432</v>
      </c>
      <c r="X124" s="788">
        <v>174.665717</v>
      </c>
      <c r="Y124" s="788">
        <v>39.415857042857148</v>
      </c>
    </row>
    <row r="125" spans="15:25">
      <c r="P125" s="603">
        <v>17</v>
      </c>
      <c r="Q125" s="788">
        <v>18.000999994285714</v>
      </c>
      <c r="R125" s="788">
        <v>14.095428602857144</v>
      </c>
      <c r="S125" s="788">
        <v>140.97214290000002</v>
      </c>
      <c r="T125" s="788">
        <v>90.738142825714277</v>
      </c>
      <c r="U125" s="788">
        <v>20.563142504285715</v>
      </c>
      <c r="V125" s="788">
        <v>13.920417241428572</v>
      </c>
      <c r="W125" s="788">
        <v>1.7985714162857143</v>
      </c>
      <c r="X125" s="788">
        <v>112.05499922142857</v>
      </c>
      <c r="Y125" s="788">
        <v>25.886856898571434</v>
      </c>
    </row>
    <row r="126" spans="15:25">
      <c r="P126" s="603">
        <v>18</v>
      </c>
      <c r="Q126" s="788">
        <v>16.076714378571427</v>
      </c>
      <c r="R126" s="788">
        <v>12.509142604285715</v>
      </c>
      <c r="S126" s="788">
        <v>114.69700078571428</v>
      </c>
      <c r="T126" s="788">
        <v>67.130999974285714</v>
      </c>
      <c r="U126" s="788">
        <v>16.68214280285714</v>
      </c>
      <c r="V126" s="788">
        <v>10.773084301857143</v>
      </c>
      <c r="W126" s="788">
        <v>1.8058571475714285</v>
      </c>
      <c r="X126" s="788">
        <v>79.242856705714289</v>
      </c>
      <c r="Y126" s="788">
        <v>19.646428789999998</v>
      </c>
    </row>
    <row r="127" spans="15:25">
      <c r="P127" s="603">
        <v>19</v>
      </c>
      <c r="Q127" s="788">
        <v>15.213571411428573</v>
      </c>
      <c r="R127" s="788">
        <v>8.5715713499999993</v>
      </c>
      <c r="S127" s="788">
        <v>99.656284881428547</v>
      </c>
      <c r="T127" s="788">
        <v>64.428571428571431</v>
      </c>
      <c r="U127" s="788">
        <v>17.039285524285713</v>
      </c>
      <c r="V127" s="788">
        <v>11.989167077142856</v>
      </c>
      <c r="W127" s="788">
        <v>1.8551428488571429</v>
      </c>
      <c r="X127" s="788">
        <v>73.040000915714288</v>
      </c>
      <c r="Y127" s="788">
        <v>16.286999974285717</v>
      </c>
    </row>
    <row r="128" spans="15:25">
      <c r="P128" s="603">
        <v>20</v>
      </c>
      <c r="Q128" s="788">
        <v>14.241714205714286</v>
      </c>
      <c r="R128" s="788">
        <v>7.0702857972857149</v>
      </c>
      <c r="S128" s="788">
        <v>88.480572290000026</v>
      </c>
      <c r="T128" s="788">
        <v>61.482142857142854</v>
      </c>
      <c r="U128" s="788">
        <v>13.813714164285713</v>
      </c>
      <c r="V128" s="788">
        <v>12.071368352857144</v>
      </c>
      <c r="W128" s="788">
        <v>1.7121428761428572</v>
      </c>
      <c r="X128" s="788">
        <v>68.874286108571425</v>
      </c>
      <c r="Y128" s="788">
        <v>14.018428667142857</v>
      </c>
    </row>
    <row r="129" spans="15:26">
      <c r="P129" s="603">
        <v>21</v>
      </c>
      <c r="Q129" s="788">
        <v>14.091571398571428</v>
      </c>
      <c r="R129" s="788">
        <v>7.0830000470000005</v>
      </c>
      <c r="S129" s="788">
        <v>98.34657178714285</v>
      </c>
      <c r="T129" s="788">
        <v>63.72614288285714</v>
      </c>
      <c r="U129" s="788">
        <v>14.927285738571429</v>
      </c>
      <c r="V129" s="788">
        <v>12.066725457142857</v>
      </c>
      <c r="W129" s="788">
        <v>1.9470000094285715</v>
      </c>
      <c r="X129" s="788">
        <v>68.332856858571418</v>
      </c>
      <c r="Y129" s="788">
        <v>14.466285705714286</v>
      </c>
    </row>
    <row r="130" spans="15:26">
      <c r="P130" s="603">
        <v>22</v>
      </c>
      <c r="Q130" s="788">
        <v>12.206428662857144</v>
      </c>
      <c r="R130" s="788">
        <v>6.5260000228571426</v>
      </c>
      <c r="S130" s="788">
        <v>88.19400133428573</v>
      </c>
      <c r="T130" s="788">
        <v>49.041857040000004</v>
      </c>
      <c r="U130" s="788">
        <v>12.11642851</v>
      </c>
      <c r="V130" s="788">
        <v>12.046847342857143</v>
      </c>
      <c r="W130" s="788">
        <v>1.9281428372857143</v>
      </c>
      <c r="X130" s="788">
        <v>60.234999522857144</v>
      </c>
      <c r="Y130" s="788">
        <v>11.637142864285716</v>
      </c>
    </row>
    <row r="131" spans="15:26">
      <c r="P131" s="603">
        <v>23</v>
      </c>
      <c r="Q131" s="788">
        <v>10.714285714285714</v>
      </c>
      <c r="R131" s="788">
        <v>6.0984286581428568</v>
      </c>
      <c r="S131" s="788">
        <v>67.392570495714281</v>
      </c>
      <c r="T131" s="788">
        <v>49.232000077142857</v>
      </c>
      <c r="U131" s="788">
        <v>10.973142897142859</v>
      </c>
      <c r="V131" s="788">
        <v>12.030653000000001</v>
      </c>
      <c r="W131" s="788">
        <v>1.8262857195714286</v>
      </c>
      <c r="X131" s="788">
        <v>55.279285977142862</v>
      </c>
      <c r="Y131" s="788">
        <v>10.373285701857142</v>
      </c>
    </row>
    <row r="132" spans="15:26">
      <c r="P132" s="534">
        <v>24</v>
      </c>
      <c r="Q132" s="788">
        <v>10.648285731428571</v>
      </c>
      <c r="R132" s="788">
        <v>5.3554284574285722</v>
      </c>
      <c r="S132" s="788">
        <v>74.302856445714283</v>
      </c>
      <c r="T132" s="788">
        <v>54.952285765714286</v>
      </c>
      <c r="U132" s="788">
        <v>10.649856976285715</v>
      </c>
      <c r="V132" s="788">
        <v>11.902322768571427</v>
      </c>
      <c r="W132" s="788">
        <v>1.3272857154285713</v>
      </c>
      <c r="X132" s="788">
        <v>49.072856904285722</v>
      </c>
      <c r="Y132" s="788">
        <v>9.3365716934285707</v>
      </c>
    </row>
    <row r="133" spans="15:26">
      <c r="P133" s="534">
        <v>25</v>
      </c>
      <c r="Q133" s="788">
        <v>10.931000164428569</v>
      </c>
      <c r="R133" s="788">
        <v>6.0032857149999996</v>
      </c>
      <c r="S133" s="788">
        <v>70.370715551428574</v>
      </c>
      <c r="T133" s="788">
        <v>39.565571377142859</v>
      </c>
      <c r="U133" s="788">
        <v>8.8067141942857141</v>
      </c>
      <c r="V133" s="788">
        <v>11.966488567142857</v>
      </c>
      <c r="W133" s="788">
        <v>1.2890000087142857</v>
      </c>
      <c r="X133" s="788">
        <v>43.960000174285717</v>
      </c>
      <c r="Y133" s="788">
        <v>8.5024284634285721</v>
      </c>
    </row>
    <row r="134" spans="15:26">
      <c r="O134" s="277">
        <v>26</v>
      </c>
      <c r="P134" s="534">
        <v>26</v>
      </c>
      <c r="Q134" s="788">
        <v>9.871286118714286</v>
      </c>
      <c r="R134" s="788">
        <v>4.9715714455714286</v>
      </c>
      <c r="S134" s="788">
        <v>60.400571005714291</v>
      </c>
      <c r="T134" s="788">
        <v>43.083285740000001</v>
      </c>
      <c r="U134" s="788">
        <v>8.6310001098571423</v>
      </c>
      <c r="V134" s="788">
        <v>11.885477065714285</v>
      </c>
      <c r="W134" s="788">
        <v>1.732857125</v>
      </c>
      <c r="X134" s="788">
        <v>41.416428701428572</v>
      </c>
      <c r="Y134" s="788">
        <v>7.8322857448571428</v>
      </c>
    </row>
    <row r="135" spans="15:26">
      <c r="P135" s="534">
        <v>27</v>
      </c>
      <c r="Q135" s="788">
        <v>9.2658571514285715</v>
      </c>
      <c r="R135" s="788">
        <v>4.8162857462857147</v>
      </c>
      <c r="S135" s="788">
        <v>66.665999275714285</v>
      </c>
      <c r="T135" s="788">
        <v>33.029857091428575</v>
      </c>
      <c r="U135" s="788">
        <v>7.6702857698571432</v>
      </c>
      <c r="V135" s="788">
        <v>11.995894294285714</v>
      </c>
      <c r="W135" s="788">
        <v>1.8799999952857143</v>
      </c>
      <c r="X135" s="788">
        <v>38.669285909999992</v>
      </c>
      <c r="Y135" s="788">
        <v>7.0652857510000002</v>
      </c>
    </row>
    <row r="136" spans="15:26">
      <c r="P136" s="534">
        <v>28</v>
      </c>
      <c r="Q136" s="788">
        <v>8.3581429888571428</v>
      </c>
      <c r="R136" s="788">
        <v>4.1457142830000002</v>
      </c>
      <c r="S136" s="788">
        <v>66.009428840000012</v>
      </c>
      <c r="T136" s="788">
        <v>29.922571454285713</v>
      </c>
      <c r="U136" s="788">
        <v>6.9708570752857142</v>
      </c>
      <c r="V136" s="788">
        <v>11.927797181428572</v>
      </c>
      <c r="W136" s="788">
        <v>1.8718571149999998</v>
      </c>
      <c r="X136" s="788">
        <v>36.412143161428574</v>
      </c>
      <c r="Y136" s="788">
        <v>6.2407143457142853</v>
      </c>
    </row>
    <row r="137" spans="15:26">
      <c r="P137" s="534">
        <v>29</v>
      </c>
      <c r="Q137" s="788">
        <v>8.2642856324285709</v>
      </c>
      <c r="R137" s="788">
        <v>4.2404285498571426</v>
      </c>
      <c r="S137" s="788">
        <v>61.976286207142856</v>
      </c>
      <c r="T137" s="788">
        <v>30.851285662857144</v>
      </c>
      <c r="U137" s="788">
        <v>7.1941427504285702</v>
      </c>
      <c r="V137" s="788">
        <v>12.045535904285714</v>
      </c>
      <c r="W137" s="788">
        <v>1.7868571450000001</v>
      </c>
      <c r="X137" s="788">
        <v>36.787142614285713</v>
      </c>
      <c r="Y137" s="788">
        <v>6.221285752</v>
      </c>
    </row>
    <row r="138" spans="15:26">
      <c r="P138" s="534">
        <v>30</v>
      </c>
      <c r="Q138" s="788">
        <v>7.629714148142857</v>
      </c>
      <c r="R138" s="788">
        <v>3.9339999471428575</v>
      </c>
      <c r="S138" s="788">
        <v>56.385429927142859</v>
      </c>
      <c r="T138" s="788">
        <v>26.327428545714287</v>
      </c>
      <c r="U138" s="788">
        <v>6.6857143130000001</v>
      </c>
      <c r="V138" s="788">
        <v>11.927261488571427</v>
      </c>
      <c r="W138" s="788">
        <v>1.8862856968571431</v>
      </c>
      <c r="X138" s="788">
        <v>39.564285824285712</v>
      </c>
      <c r="Y138" s="788">
        <v>5.7022857667142848</v>
      </c>
    </row>
    <row r="139" spans="15:26">
      <c r="P139" s="534">
        <v>31</v>
      </c>
      <c r="Q139" s="788">
        <v>7.8445713860000001</v>
      </c>
      <c r="R139" s="788">
        <v>4.2642856665714284</v>
      </c>
      <c r="S139" s="788">
        <v>63.196000779999999</v>
      </c>
      <c r="T139" s="788">
        <v>30.940428597142859</v>
      </c>
      <c r="U139" s="788">
        <v>7.3144286019999996</v>
      </c>
      <c r="V139" s="788">
        <v>13.712319918571428</v>
      </c>
      <c r="W139" s="788">
        <v>1.8420000075714285</v>
      </c>
      <c r="X139" s="788">
        <v>41.400714874285711</v>
      </c>
      <c r="Y139" s="788">
        <v>7.1649999617142859</v>
      </c>
    </row>
    <row r="140" spans="15:26">
      <c r="P140" s="534">
        <v>32</v>
      </c>
      <c r="Q140" s="788">
        <v>7.8535714147142865</v>
      </c>
      <c r="R140" s="788">
        <v>4.0602857387142857</v>
      </c>
      <c r="S140" s="788">
        <v>61.839428492857145</v>
      </c>
      <c r="T140" s="788">
        <v>23.267714362857141</v>
      </c>
      <c r="U140" s="788">
        <v>6.1658571107142865</v>
      </c>
      <c r="V140" s="788">
        <v>13.989404405714286</v>
      </c>
      <c r="W140" s="788">
        <v>1.8741428512857143</v>
      </c>
      <c r="X140" s="788">
        <v>39.942857471428567</v>
      </c>
      <c r="Y140" s="788">
        <v>7.2785714695714301</v>
      </c>
    </row>
    <row r="141" spans="15:26">
      <c r="O141" s="277">
        <v>33</v>
      </c>
      <c r="P141" s="534">
        <v>33</v>
      </c>
      <c r="Q141" s="788">
        <v>7.8434285441428573</v>
      </c>
      <c r="R141" s="788">
        <v>3.7991428715714286</v>
      </c>
      <c r="S141" s="788">
        <v>59.987286159999996</v>
      </c>
      <c r="T141" s="788">
        <v>22.755999974285714</v>
      </c>
      <c r="U141" s="788">
        <v>5.9981428554285712</v>
      </c>
      <c r="V141" s="788">
        <v>13.973928587142856</v>
      </c>
      <c r="W141" s="788">
        <v>1.871857132285714</v>
      </c>
      <c r="X141" s="788">
        <v>37.965715135714291</v>
      </c>
      <c r="Y141" s="788">
        <v>5.154142958714286</v>
      </c>
    </row>
    <row r="142" spans="15:26">
      <c r="P142" s="534">
        <v>34</v>
      </c>
      <c r="Q142" s="788">
        <v>8.0232857294285722</v>
      </c>
      <c r="R142" s="788">
        <v>3.6017142020000001</v>
      </c>
      <c r="S142" s="788">
        <v>63.141999381428562</v>
      </c>
      <c r="T142" s="788">
        <v>21.678714208571428</v>
      </c>
      <c r="U142" s="788">
        <v>5.9428571975714277</v>
      </c>
      <c r="V142" s="788">
        <v>14.050774301428572</v>
      </c>
      <c r="W142" s="788">
        <v>1.8375714168571429</v>
      </c>
      <c r="X142" s="788">
        <v>37.97857121285714</v>
      </c>
      <c r="Y142" s="788">
        <v>6.0459999357142857</v>
      </c>
    </row>
    <row r="143" spans="15:26">
      <c r="P143" s="534">
        <v>35</v>
      </c>
      <c r="Q143" s="788">
        <v>9.1238570895714286</v>
      </c>
      <c r="R143" s="788">
        <v>6.7515713490000007</v>
      </c>
      <c r="S143" s="788">
        <v>62.449570247142852</v>
      </c>
      <c r="T143" s="788">
        <v>29.398714337142856</v>
      </c>
      <c r="U143" s="788">
        <v>5.5928570885714288</v>
      </c>
      <c r="V143" s="788">
        <v>13.988035748571429</v>
      </c>
      <c r="W143" s="788">
        <v>1.654571413857143</v>
      </c>
      <c r="X143" s="788">
        <v>37.199285234285711</v>
      </c>
      <c r="Y143" s="788">
        <v>5.7705714702857147</v>
      </c>
      <c r="Z143" s="784"/>
    </row>
    <row r="144" spans="15:26">
      <c r="P144" s="534">
        <v>36</v>
      </c>
      <c r="Q144" s="788">
        <v>8.2869999062857129</v>
      </c>
      <c r="R144" s="788">
        <v>5.5024285997142854</v>
      </c>
      <c r="S144" s="788">
        <v>62.160142081428567</v>
      </c>
      <c r="T144" s="788">
        <v>24.535714285714285</v>
      </c>
      <c r="U144" s="788">
        <v>5.7147143908571421</v>
      </c>
      <c r="V144" s="788">
        <v>13.989464348571429</v>
      </c>
      <c r="W144" s="788">
        <v>1.7275714362857142</v>
      </c>
      <c r="X144" s="788">
        <v>36.553570882857137</v>
      </c>
      <c r="Y144" s="788">
        <v>7.9151426724285718</v>
      </c>
    </row>
    <row r="145" spans="15:25">
      <c r="P145" s="534">
        <v>37</v>
      </c>
      <c r="Q145" s="788">
        <v>7.2742856564285701</v>
      </c>
      <c r="R145" s="788">
        <v>5.7037142345714287</v>
      </c>
      <c r="S145" s="788">
        <v>63.491571698571427</v>
      </c>
      <c r="T145" s="788">
        <v>33.851285662857144</v>
      </c>
      <c r="U145" s="788">
        <v>6.5815715108571435</v>
      </c>
      <c r="V145" s="788">
        <v>13.932678497142856</v>
      </c>
      <c r="W145" s="788">
        <v>1.6434285640000001</v>
      </c>
      <c r="X145" s="788">
        <v>36.635714938571432</v>
      </c>
      <c r="Y145" s="788">
        <v>5.2711429254285713</v>
      </c>
    </row>
    <row r="146" spans="15:25">
      <c r="P146" s="534">
        <v>38</v>
      </c>
      <c r="Q146" s="788">
        <v>5.7302856442857149</v>
      </c>
      <c r="R146" s="788">
        <v>4.6181428091428574</v>
      </c>
      <c r="S146" s="788">
        <v>66.366000039999989</v>
      </c>
      <c r="T146" s="788">
        <v>30.833285740000001</v>
      </c>
      <c r="U146" s="788">
        <v>6.3408571651428574</v>
      </c>
      <c r="V146" s="788">
        <v>14.030597005714284</v>
      </c>
      <c r="W146" s="788">
        <v>1.7824285711428571</v>
      </c>
      <c r="X146" s="788">
        <v>36.422143117142859</v>
      </c>
      <c r="Y146" s="788">
        <v>4.8772857188571432</v>
      </c>
    </row>
    <row r="147" spans="15:25">
      <c r="P147" s="534">
        <v>39</v>
      </c>
      <c r="Q147" s="788">
        <v>5.3494285172857152</v>
      </c>
      <c r="R147" s="788">
        <v>4.7248570578571423</v>
      </c>
      <c r="S147" s="788">
        <v>75.45028468428572</v>
      </c>
      <c r="T147" s="788">
        <v>25.431428635714287</v>
      </c>
      <c r="U147" s="788">
        <v>6.8902856279999991</v>
      </c>
      <c r="V147" s="788">
        <v>14.026608604285714</v>
      </c>
      <c r="W147" s="788">
        <v>1.7897142852857144</v>
      </c>
      <c r="X147" s="788">
        <v>36.457856858571432</v>
      </c>
      <c r="Y147" s="788">
        <v>6.1969999587142857</v>
      </c>
    </row>
    <row r="148" spans="15:25">
      <c r="P148" s="534">
        <v>40</v>
      </c>
      <c r="Q148" s="788">
        <v>5.4815714698571432</v>
      </c>
      <c r="R148" s="788">
        <v>5.3951427595714279</v>
      </c>
      <c r="S148" s="788">
        <v>78.309284754285713</v>
      </c>
      <c r="T148" s="788">
        <v>54.744000025714286</v>
      </c>
      <c r="U148" s="788">
        <v>7.7940000801428573</v>
      </c>
      <c r="V148" s="788">
        <v>14.026192801428573</v>
      </c>
      <c r="W148" s="788">
        <v>1.7887142725714287</v>
      </c>
      <c r="X148" s="788">
        <v>44.888571058571429</v>
      </c>
      <c r="Y148" s="788">
        <v>10.280285493285716</v>
      </c>
    </row>
    <row r="149" spans="15:25">
      <c r="P149" s="534">
        <v>41</v>
      </c>
      <c r="Q149" s="788">
        <v>6.414142881000001</v>
      </c>
      <c r="R149" s="788">
        <v>5.6744286329999998</v>
      </c>
      <c r="S149" s="788">
        <v>79.701571872857144</v>
      </c>
      <c r="T149" s="788">
        <v>50.934571402857145</v>
      </c>
      <c r="U149" s="788">
        <v>8.9731427602857146</v>
      </c>
      <c r="V149" s="788">
        <v>14.020297051428571</v>
      </c>
      <c r="W149" s="788">
        <v>1.4745714322857144</v>
      </c>
      <c r="X149" s="788">
        <v>49.243571144285717</v>
      </c>
      <c r="Y149" s="788">
        <v>7.658571379714286</v>
      </c>
    </row>
    <row r="150" spans="15:25">
      <c r="P150" s="534">
        <v>42</v>
      </c>
      <c r="Q150" s="788">
        <v>7.0597143174285719</v>
      </c>
      <c r="R150" s="788">
        <v>5.6411428450000001</v>
      </c>
      <c r="S150" s="788">
        <v>71.140427727142864</v>
      </c>
      <c r="T150" s="788">
        <v>43.184428622857141</v>
      </c>
      <c r="U150" s="788">
        <v>9.1315714969999995</v>
      </c>
      <c r="V150" s="788">
        <v>13.992498534285714</v>
      </c>
      <c r="W150" s="788">
        <v>1.325428571</v>
      </c>
      <c r="X150" s="788">
        <v>38.599999562857143</v>
      </c>
      <c r="Y150" s="788">
        <v>5.9647143228571426</v>
      </c>
    </row>
    <row r="151" spans="15:25">
      <c r="P151" s="534">
        <v>43</v>
      </c>
      <c r="Q151" s="788">
        <v>6.5518571988571432</v>
      </c>
      <c r="R151" s="788">
        <v>5.278142861428571</v>
      </c>
      <c r="S151" s="788">
        <v>66.382999420000004</v>
      </c>
      <c r="T151" s="788">
        <v>36.916714259999999</v>
      </c>
      <c r="U151" s="788">
        <v>8.3171428948571435</v>
      </c>
      <c r="V151" s="788">
        <v>14.015835900000001</v>
      </c>
      <c r="W151" s="788">
        <v>1.3259999922857142</v>
      </c>
      <c r="X151" s="788">
        <v>35.493572237142857</v>
      </c>
      <c r="Y151" s="788">
        <v>6.7207142624285723</v>
      </c>
    </row>
    <row r="152" spans="15:25">
      <c r="O152" s="277">
        <v>44</v>
      </c>
      <c r="P152" s="534">
        <v>44</v>
      </c>
      <c r="Q152" s="788">
        <v>6.2178571565714282</v>
      </c>
      <c r="R152" s="788">
        <v>3.7729999678571429</v>
      </c>
      <c r="S152" s="788">
        <v>67.872285570000003</v>
      </c>
      <c r="T152" s="788">
        <v>41.726285662857144</v>
      </c>
      <c r="U152" s="788">
        <v>8.7617143898571435</v>
      </c>
      <c r="V152" s="788">
        <v>13.927204130000002</v>
      </c>
      <c r="W152" s="788">
        <v>1.0918571607142857</v>
      </c>
      <c r="X152" s="788">
        <v>46.067856924285714</v>
      </c>
      <c r="Y152" s="788">
        <v>5.8240000180000004</v>
      </c>
    </row>
    <row r="153" spans="15:25">
      <c r="P153" s="534">
        <v>45</v>
      </c>
      <c r="Q153" s="788">
        <v>5.7207142285714285</v>
      </c>
      <c r="R153" s="788">
        <v>4.0865714210000004</v>
      </c>
      <c r="S153" s="788">
        <v>64.557143075714279</v>
      </c>
      <c r="T153" s="788">
        <v>47.85114288285714</v>
      </c>
      <c r="U153" s="788">
        <v>8.1029998912857142</v>
      </c>
      <c r="V153" s="788">
        <v>13.944405964285716</v>
      </c>
      <c r="W153" s="788">
        <v>1.1197142941428571</v>
      </c>
      <c r="X153" s="788">
        <v>41.25857108142857</v>
      </c>
      <c r="Y153" s="788">
        <v>7.255428586571429</v>
      </c>
    </row>
    <row r="154" spans="15:25">
      <c r="P154" s="534">
        <v>46</v>
      </c>
      <c r="Q154" s="788">
        <v>5.8224285672857139</v>
      </c>
      <c r="R154" s="788">
        <v>4.1967142989999999</v>
      </c>
      <c r="S154" s="788">
        <v>48.114428929999988</v>
      </c>
      <c r="T154" s="788">
        <v>58.976285662857144</v>
      </c>
      <c r="U154" s="788">
        <v>7.6644285747142851</v>
      </c>
      <c r="V154" s="788">
        <v>14.053689955714287</v>
      </c>
      <c r="W154" s="788">
        <v>1.2584285650000002</v>
      </c>
      <c r="X154" s="788">
        <v>59.822143555714284</v>
      </c>
      <c r="Y154" s="788">
        <v>7.569857052142857</v>
      </c>
    </row>
    <row r="155" spans="15:25">
      <c r="P155" s="534">
        <v>47</v>
      </c>
      <c r="Q155" s="788">
        <v>8.7129998894285716</v>
      </c>
      <c r="R155" s="788">
        <v>6.8662857328571425</v>
      </c>
      <c r="S155" s="788">
        <v>75.949856894285716</v>
      </c>
      <c r="T155" s="788">
        <v>107.95228576857143</v>
      </c>
      <c r="U155" s="788">
        <v>21.278142930000001</v>
      </c>
      <c r="V155" s="788">
        <v>14.02023874</v>
      </c>
      <c r="W155" s="788">
        <v>1.6037142788571426</v>
      </c>
      <c r="X155" s="788">
        <v>58.205000194285724</v>
      </c>
      <c r="Y155" s="788">
        <v>11.491143022142859</v>
      </c>
    </row>
    <row r="156" spans="15:25">
      <c r="P156" s="534">
        <v>48</v>
      </c>
      <c r="Q156" s="788">
        <v>9.7443332226190496</v>
      </c>
      <c r="R156" s="788">
        <v>7.8295714628095201</v>
      </c>
      <c r="S156" s="788">
        <v>115.94985689428501</v>
      </c>
      <c r="T156" s="788">
        <v>116.577285768571</v>
      </c>
      <c r="U156" s="788">
        <v>25.523666837380901</v>
      </c>
      <c r="V156" s="788">
        <v>14.0819443290476</v>
      </c>
      <c r="W156" s="788">
        <v>1.686999981</v>
      </c>
      <c r="X156" s="788">
        <v>108.646</v>
      </c>
      <c r="Y156" s="788">
        <v>11.491143022142859</v>
      </c>
    </row>
    <row r="157" spans="15:25">
      <c r="P157" s="534">
        <v>49</v>
      </c>
      <c r="Q157" s="788">
        <v>15.740428922857143</v>
      </c>
      <c r="R157" s="788">
        <v>16.272571155571431</v>
      </c>
      <c r="S157" s="788">
        <v>179.40442985714284</v>
      </c>
      <c r="T157" s="788">
        <v>143.97028568571429</v>
      </c>
      <c r="U157" s="788">
        <v>24.464857102857142</v>
      </c>
      <c r="V157" s="788">
        <v>14.414462907142859</v>
      </c>
      <c r="W157" s="788">
        <v>1.509857126857143</v>
      </c>
      <c r="X157" s="788">
        <v>183.08428410000002</v>
      </c>
      <c r="Y157" s="788">
        <v>11.52</v>
      </c>
    </row>
    <row r="158" spans="15:25">
      <c r="P158" s="534">
        <v>50</v>
      </c>
      <c r="Q158" s="788">
        <v>11.458857127</v>
      </c>
      <c r="R158" s="788">
        <v>8.6871428825714272</v>
      </c>
      <c r="S158" s="788">
        <v>180.05014475714285</v>
      </c>
      <c r="T158" s="788">
        <v>105.38685716857142</v>
      </c>
      <c r="U158" s="788">
        <v>15.326142855714284</v>
      </c>
      <c r="V158" s="788">
        <v>14.382619995714284</v>
      </c>
      <c r="W158" s="788">
        <v>1.5802857021428574</v>
      </c>
      <c r="X158" s="788">
        <v>192.18500408571427</v>
      </c>
      <c r="Y158" s="788">
        <v>63.42214257285714</v>
      </c>
    </row>
    <row r="159" spans="15:25">
      <c r="P159" s="534">
        <v>51</v>
      </c>
      <c r="Q159" s="788">
        <v>9.4554285322857137</v>
      </c>
      <c r="R159" s="788">
        <v>4.7284286361428576</v>
      </c>
      <c r="S159" s="788">
        <v>179.9772862142857</v>
      </c>
      <c r="T159" s="788">
        <v>14.57142870857143</v>
      </c>
      <c r="U159" s="788">
        <v>5</v>
      </c>
      <c r="V159" s="788">
        <v>13.809047154285716</v>
      </c>
      <c r="W159" s="788">
        <v>1.0052857144285714</v>
      </c>
      <c r="X159" s="788">
        <v>189.54214041428571</v>
      </c>
      <c r="Y159" s="788">
        <v>105.71028573142858</v>
      </c>
    </row>
    <row r="160" spans="15:25">
      <c r="O160" s="277">
        <v>52</v>
      </c>
      <c r="P160" s="534">
        <v>52</v>
      </c>
      <c r="Q160" s="788">
        <v>10.030285698</v>
      </c>
      <c r="R160" s="788">
        <v>6.3814284807142858</v>
      </c>
      <c r="S160" s="788">
        <v>180.17299980000001</v>
      </c>
      <c r="T160" s="788">
        <v>59.892857142857146</v>
      </c>
      <c r="U160" s="788">
        <v>9.771428653000001</v>
      </c>
      <c r="V160" s="788">
        <v>13.759048734285715</v>
      </c>
      <c r="W160" s="788">
        <v>1.2590000118571429</v>
      </c>
      <c r="X160" s="788">
        <v>169.73285565714286</v>
      </c>
      <c r="Y160" s="788">
        <v>86.07714135142858</v>
      </c>
    </row>
    <row r="161" spans="13:35">
      <c r="N161" s="277">
        <v>2022</v>
      </c>
      <c r="P161" s="603">
        <v>1</v>
      </c>
      <c r="Q161" s="788">
        <v>11.54385730142857</v>
      </c>
      <c r="R161" s="788">
        <v>6.3410000120000003</v>
      </c>
      <c r="S161" s="604">
        <v>180.25871278571432</v>
      </c>
      <c r="T161" s="604">
        <v>53.005857194285717</v>
      </c>
      <c r="U161" s="788">
        <v>8.6221429277142843</v>
      </c>
      <c r="V161" s="788">
        <v>12.151368549999999</v>
      </c>
      <c r="W161" s="788">
        <v>1.4929999965714287</v>
      </c>
      <c r="X161" s="788">
        <v>101.56500134142858</v>
      </c>
      <c r="Y161" s="788">
        <v>45.721570695714284</v>
      </c>
    </row>
    <row r="162" spans="13:35">
      <c r="P162" s="603">
        <v>2</v>
      </c>
      <c r="Q162" s="788">
        <v>10.532571247428569</v>
      </c>
      <c r="R162" s="788">
        <v>5.6152856691428568</v>
      </c>
      <c r="S162" s="604">
        <v>180.17585754285713</v>
      </c>
      <c r="T162" s="604">
        <v>85.154714317142862</v>
      </c>
      <c r="U162" s="788">
        <v>16.483285767857144</v>
      </c>
      <c r="V162" s="788">
        <v>15.379761560000002</v>
      </c>
      <c r="W162" s="788">
        <v>4.383714250142857</v>
      </c>
      <c r="X162" s="788">
        <v>191.4592830114286</v>
      </c>
      <c r="Y162" s="788">
        <v>44.29957117428571</v>
      </c>
    </row>
    <row r="163" spans="13:35">
      <c r="P163" s="603">
        <v>3</v>
      </c>
      <c r="Q163" s="788">
        <v>12.373285701428571</v>
      </c>
      <c r="R163" s="788">
        <v>6.7777144562857146</v>
      </c>
      <c r="S163" s="604">
        <v>180.45157077142858</v>
      </c>
      <c r="T163" s="604">
        <v>79.166570397142863</v>
      </c>
      <c r="U163" s="788">
        <v>14.234428677142859</v>
      </c>
      <c r="V163" s="788">
        <v>13.331011501428572</v>
      </c>
      <c r="W163" s="788">
        <v>3.4292857477142862</v>
      </c>
      <c r="X163" s="788">
        <v>222.21500070000002</v>
      </c>
      <c r="Y163" s="788">
        <v>55.850142344285707</v>
      </c>
    </row>
    <row r="164" spans="13:35">
      <c r="O164" s="789"/>
      <c r="P164" s="603">
        <v>4</v>
      </c>
      <c r="Q164" s="788">
        <v>13.78142860857143</v>
      </c>
      <c r="R164" s="788">
        <v>10.307714326428572</v>
      </c>
      <c r="S164" s="604">
        <v>200.41585867142899</v>
      </c>
      <c r="T164" s="604">
        <v>156.24399677142856</v>
      </c>
      <c r="U164" s="788">
        <v>35.655428067142857</v>
      </c>
      <c r="V164" s="788">
        <v>12.147084100000001</v>
      </c>
      <c r="W164" s="788">
        <v>5.8837143019999996</v>
      </c>
      <c r="X164" s="788">
        <v>439.25357492857148</v>
      </c>
      <c r="Y164" s="788">
        <v>129.95414407142854</v>
      </c>
    </row>
    <row r="165" spans="13:35" s="557" customFormat="1">
      <c r="M165" s="277"/>
      <c r="N165" s="277"/>
      <c r="O165" s="789"/>
      <c r="P165" s="603">
        <v>5</v>
      </c>
      <c r="Q165" s="790">
        <v>16.13685744</v>
      </c>
      <c r="R165" s="790">
        <v>10.226857389000001</v>
      </c>
      <c r="S165" s="791">
        <v>288.91129194285719</v>
      </c>
      <c r="T165" s="791">
        <v>182</v>
      </c>
      <c r="U165" s="790">
        <v>43.192856380000002</v>
      </c>
      <c r="V165" s="790">
        <v>11.764999934285715</v>
      </c>
      <c r="W165" s="790">
        <v>5.8837143019999996</v>
      </c>
      <c r="X165" s="790">
        <v>404.03070942857141</v>
      </c>
      <c r="Y165" s="790">
        <v>128.39200045714284</v>
      </c>
      <c r="Z165" s="785"/>
      <c r="AA165" s="692"/>
      <c r="AB165" s="692"/>
      <c r="AC165" s="692"/>
      <c r="AD165" s="692"/>
      <c r="AE165" s="692"/>
      <c r="AF165" s="692"/>
      <c r="AG165" s="692"/>
      <c r="AH165" s="692"/>
      <c r="AI165" s="692"/>
    </row>
    <row r="166" spans="13:35" s="557" customFormat="1">
      <c r="M166" s="277"/>
      <c r="N166" s="277"/>
      <c r="O166" s="789">
        <v>6</v>
      </c>
      <c r="P166" s="603">
        <v>6</v>
      </c>
      <c r="Q166" s="790">
        <v>18.235713957142856</v>
      </c>
      <c r="R166" s="790">
        <v>10.726285798285716</v>
      </c>
      <c r="S166" s="791">
        <v>435.79956928571431</v>
      </c>
      <c r="T166" s="791">
        <v>179.08343068571426</v>
      </c>
      <c r="U166" s="790">
        <v>33.553428921428569</v>
      </c>
      <c r="V166" s="790">
        <v>11.749167034285714</v>
      </c>
      <c r="W166" s="790">
        <v>5.6551427840000006</v>
      </c>
      <c r="X166" s="790">
        <v>420.1207101</v>
      </c>
      <c r="Y166" s="790">
        <v>133.21328737142855</v>
      </c>
      <c r="Z166" s="785"/>
      <c r="AA166" s="692"/>
      <c r="AB166" s="692"/>
      <c r="AC166" s="692"/>
      <c r="AD166" s="692"/>
      <c r="AE166" s="692"/>
      <c r="AF166" s="692"/>
      <c r="AG166" s="692"/>
      <c r="AH166" s="692"/>
      <c r="AI166" s="692"/>
    </row>
    <row r="167" spans="13:35" s="557" customFormat="1">
      <c r="M167" s="277"/>
      <c r="N167" s="277"/>
      <c r="O167" s="789"/>
      <c r="P167" s="603">
        <v>7</v>
      </c>
      <c r="Q167" s="790">
        <v>20.117499826428599</v>
      </c>
      <c r="R167" s="790">
        <v>12.450857264642901</v>
      </c>
      <c r="S167" s="791">
        <v>435.79956928571403</v>
      </c>
      <c r="T167" s="791">
        <v>195.28190973333301</v>
      </c>
      <c r="U167" s="790">
        <v>35.365238643809498</v>
      </c>
      <c r="V167" s="790">
        <v>10.9661612507143</v>
      </c>
      <c r="W167" s="790">
        <v>2.0952857050000002</v>
      </c>
      <c r="X167" s="790">
        <v>427.15742450542803</v>
      </c>
      <c r="Y167" s="790">
        <v>133.77895393333301</v>
      </c>
      <c r="Z167" s="785"/>
      <c r="AA167" s="692"/>
      <c r="AB167" s="692"/>
      <c r="AC167" s="692"/>
      <c r="AD167" s="692"/>
      <c r="AE167" s="692"/>
      <c r="AF167" s="692"/>
      <c r="AG167" s="692"/>
      <c r="AH167" s="692"/>
      <c r="AI167" s="692"/>
    </row>
    <row r="168" spans="13:35" s="557" customFormat="1">
      <c r="M168" s="277"/>
      <c r="N168" s="277"/>
      <c r="O168" s="789"/>
      <c r="P168" s="603">
        <v>8</v>
      </c>
      <c r="Q168" s="790">
        <v>25.340999875749826</v>
      </c>
      <c r="R168" s="790">
        <v>18.084142684936488</v>
      </c>
      <c r="S168" s="791">
        <v>441.50872366768942</v>
      </c>
      <c r="T168" s="791">
        <v>167.45813860212002</v>
      </c>
      <c r="U168" s="790">
        <v>52.961428506033734</v>
      </c>
      <c r="V168" s="790">
        <v>11.586785861424</v>
      </c>
      <c r="W168" s="790">
        <v>3.7204570871142901</v>
      </c>
      <c r="X168" s="790">
        <v>294.89857700892827</v>
      </c>
      <c r="Y168" s="790">
        <v>69.417142050606813</v>
      </c>
      <c r="Z168" s="785"/>
      <c r="AA168" s="692"/>
      <c r="AB168" s="692"/>
      <c r="AC168" s="692"/>
      <c r="AD168" s="692"/>
      <c r="AE168" s="692"/>
      <c r="AF168" s="692"/>
      <c r="AG168" s="692"/>
      <c r="AH168" s="692"/>
      <c r="AI168" s="692"/>
    </row>
    <row r="169" spans="13:35" s="557" customFormat="1">
      <c r="M169" s="277"/>
      <c r="N169" s="277"/>
      <c r="O169" s="789"/>
      <c r="P169" s="603">
        <v>9</v>
      </c>
      <c r="Q169" s="790">
        <v>27.784285954285711</v>
      </c>
      <c r="R169" s="790">
        <v>17.056714467142857</v>
      </c>
      <c r="S169" s="791">
        <v>390.83399745714286</v>
      </c>
      <c r="T169" s="791">
        <v>152.44642748571428</v>
      </c>
      <c r="U169" s="790">
        <v>60.130286080000005</v>
      </c>
      <c r="V169" s="790">
        <v>15.540178571428571</v>
      </c>
      <c r="W169" s="790">
        <v>4.1637142385755217</v>
      </c>
      <c r="X169" s="790">
        <v>302.25500487142864</v>
      </c>
      <c r="Y169" s="790">
        <v>186.68128532857142</v>
      </c>
      <c r="Z169" s="785"/>
      <c r="AA169" s="692"/>
      <c r="AB169" s="692"/>
      <c r="AC169" s="692"/>
      <c r="AD169" s="692"/>
      <c r="AE169" s="692"/>
      <c r="AF169" s="692"/>
      <c r="AG169" s="692"/>
      <c r="AH169" s="692"/>
      <c r="AI169" s="692"/>
    </row>
    <row r="170" spans="13:35" s="557" customFormat="1">
      <c r="M170" s="277"/>
      <c r="N170" s="277"/>
      <c r="O170" s="789"/>
      <c r="P170" s="603">
        <v>10</v>
      </c>
      <c r="Q170" s="790">
        <v>28.093753942631899</v>
      </c>
      <c r="R170" s="790">
        <v>19.095928647332201</v>
      </c>
      <c r="S170" s="791">
        <v>377.74852497494402</v>
      </c>
      <c r="T170" s="791">
        <v>177.15485925714287</v>
      </c>
      <c r="U170" s="790">
        <v>62.624940787617</v>
      </c>
      <c r="V170" s="790">
        <v>12.489226658966601</v>
      </c>
      <c r="W170" s="790">
        <v>4.8724285875714282</v>
      </c>
      <c r="X170" s="790">
        <v>288.89999999999998</v>
      </c>
      <c r="Y170" s="790">
        <v>146.131261154827</v>
      </c>
      <c r="Z170" s="785"/>
      <c r="AA170" s="692"/>
      <c r="AB170" s="692"/>
      <c r="AC170" s="692"/>
      <c r="AD170" s="692"/>
      <c r="AE170" s="692"/>
      <c r="AF170" s="692"/>
      <c r="AG170" s="692"/>
      <c r="AH170" s="692"/>
      <c r="AI170" s="692"/>
    </row>
    <row r="171" spans="13:35" s="557" customFormat="1">
      <c r="M171" s="277"/>
      <c r="N171" s="277"/>
      <c r="O171" s="789"/>
      <c r="P171" s="603">
        <v>11</v>
      </c>
      <c r="Q171" s="790">
        <v>33.420857293265151</v>
      </c>
      <c r="R171" s="790">
        <v>21.210571697780029</v>
      </c>
      <c r="S171" s="791">
        <v>559.81058175223166</v>
      </c>
      <c r="T171" s="791">
        <v>223.70857456752233</v>
      </c>
      <c r="U171" s="790">
        <v>65.082142966134157</v>
      </c>
      <c r="V171" s="790">
        <v>15.861725670950701</v>
      </c>
      <c r="W171" s="790">
        <v>3.3848571777343723</v>
      </c>
      <c r="X171" s="790">
        <v>414.23214285714226</v>
      </c>
      <c r="Y171" s="790">
        <v>110.17142813546286</v>
      </c>
      <c r="Z171" s="785"/>
      <c r="AA171" s="692"/>
      <c r="AB171" s="692"/>
      <c r="AC171" s="692"/>
      <c r="AD171" s="692"/>
      <c r="AE171" s="692"/>
      <c r="AF171" s="692"/>
      <c r="AG171" s="692"/>
      <c r="AH171" s="692"/>
      <c r="AI171" s="692"/>
    </row>
    <row r="172" spans="13:35" s="557" customFormat="1">
      <c r="M172" s="277"/>
      <c r="N172" s="277"/>
      <c r="O172" s="789"/>
      <c r="P172" s="603">
        <v>12</v>
      </c>
      <c r="Q172" s="790">
        <v>23.805857249668641</v>
      </c>
      <c r="R172" s="790">
        <v>19.053143092564113</v>
      </c>
      <c r="S172" s="791">
        <v>323.97713797432982</v>
      </c>
      <c r="T172" s="791">
        <v>151.51800210135301</v>
      </c>
      <c r="U172" s="790">
        <v>38.394142695835612</v>
      </c>
      <c r="V172" s="790">
        <v>15.601665633065315</v>
      </c>
      <c r="W172" s="790">
        <v>2.6404285430908159</v>
      </c>
      <c r="X172" s="790">
        <v>293.36786106654517</v>
      </c>
      <c r="Y172" s="790">
        <v>81.900570460728204</v>
      </c>
      <c r="Z172" s="785"/>
      <c r="AA172" s="692"/>
      <c r="AB172" s="692"/>
      <c r="AC172" s="692"/>
      <c r="AD172" s="692"/>
      <c r="AE172" s="692"/>
      <c r="AF172" s="692"/>
      <c r="AG172" s="692"/>
      <c r="AH172" s="692"/>
      <c r="AI172" s="692"/>
    </row>
    <row r="173" spans="13:35" s="557" customFormat="1">
      <c r="M173" s="277"/>
      <c r="N173" s="277"/>
      <c r="O173" s="789">
        <v>13</v>
      </c>
      <c r="P173" s="603">
        <v>13</v>
      </c>
      <c r="Q173" s="790">
        <v>28.491428571428571</v>
      </c>
      <c r="R173" s="790">
        <v>22.648571428571426</v>
      </c>
      <c r="S173" s="791">
        <v>381.44857142857143</v>
      </c>
      <c r="T173" s="791">
        <v>178.99571428571431</v>
      </c>
      <c r="U173" s="790">
        <v>36.35</v>
      </c>
      <c r="V173" s="790">
        <v>14.272857142857143</v>
      </c>
      <c r="W173" s="790">
        <v>2.0657142857142858</v>
      </c>
      <c r="X173" s="790">
        <v>268.19142857142862</v>
      </c>
      <c r="Y173" s="790">
        <v>61.771428571428579</v>
      </c>
      <c r="Z173" s="785"/>
      <c r="AA173" s="692"/>
      <c r="AB173" s="692"/>
      <c r="AC173" s="692"/>
      <c r="AD173" s="692"/>
      <c r="AE173" s="692"/>
      <c r="AF173" s="692"/>
      <c r="AG173" s="692"/>
      <c r="AH173" s="692"/>
      <c r="AI173" s="692"/>
    </row>
    <row r="174" spans="13:35" s="557" customFormat="1">
      <c r="M174" s="277"/>
      <c r="N174" s="277"/>
      <c r="O174" s="789"/>
      <c r="P174" s="603">
        <v>14</v>
      </c>
      <c r="Q174" s="790">
        <v>27.723999840872604</v>
      </c>
      <c r="R174" s="790">
        <v>25.617999758039169</v>
      </c>
      <c r="S174" s="791">
        <v>593.21614728655084</v>
      </c>
      <c r="T174" s="791">
        <v>183.63700212751101</v>
      </c>
      <c r="U174" s="790">
        <v>45.316000257219557</v>
      </c>
      <c r="V174" s="790">
        <v>12.459285599844744</v>
      </c>
      <c r="W174" s="790">
        <v>1.8045714242117685</v>
      </c>
      <c r="X174" s="790">
        <v>229.34857395717026</v>
      </c>
      <c r="Y174" s="790">
        <v>46.260999952043754</v>
      </c>
      <c r="Z174" s="785"/>
      <c r="AA174" s="692"/>
      <c r="AB174" s="692"/>
      <c r="AC174" s="692"/>
      <c r="AD174" s="692"/>
      <c r="AE174" s="692"/>
      <c r="AF174" s="692"/>
      <c r="AG174" s="692"/>
      <c r="AH174" s="692"/>
      <c r="AI174" s="692"/>
    </row>
    <row r="175" spans="13:35" s="557" customFormat="1">
      <c r="M175" s="277"/>
      <c r="N175" s="277"/>
      <c r="O175" s="789"/>
      <c r="P175" s="603">
        <v>15</v>
      </c>
      <c r="Q175" s="790">
        <v>22.026428767142853</v>
      </c>
      <c r="R175" s="790">
        <v>20.249143055714288</v>
      </c>
      <c r="S175" s="791">
        <v>348.80585371428572</v>
      </c>
      <c r="T175" s="791">
        <v>124.73814282857143</v>
      </c>
      <c r="U175" s="790">
        <v>26.343714578571426</v>
      </c>
      <c r="V175" s="790">
        <v>12.322202818571428</v>
      </c>
      <c r="W175" s="790">
        <v>1.5654285974285713</v>
      </c>
      <c r="X175" s="790">
        <v>215.08928787142855</v>
      </c>
      <c r="Y175" s="790">
        <v>36.220571791428576</v>
      </c>
      <c r="Z175" s="785"/>
      <c r="AA175" s="692"/>
      <c r="AB175" s="692"/>
      <c r="AC175" s="692"/>
      <c r="AD175" s="692"/>
      <c r="AE175" s="692"/>
      <c r="AF175" s="692"/>
      <c r="AG175" s="692"/>
      <c r="AH175" s="692"/>
      <c r="AI175" s="692"/>
    </row>
    <row r="176" spans="13:35" s="557" customFormat="1">
      <c r="M176" s="277"/>
      <c r="N176" s="277"/>
      <c r="O176" s="789"/>
      <c r="P176" s="603">
        <v>16</v>
      </c>
      <c r="Q176" s="790">
        <v>15.928285734994029</v>
      </c>
      <c r="R176" s="790">
        <v>13.163428579057927</v>
      </c>
      <c r="S176" s="791">
        <v>176.68314470563573</v>
      </c>
      <c r="T176" s="791">
        <v>78.339428492954767</v>
      </c>
      <c r="U176" s="790">
        <v>19.653713771275072</v>
      </c>
      <c r="V176" s="790">
        <v>12.955415725707971</v>
      </c>
      <c r="W176" s="790">
        <v>1.6847143173217742</v>
      </c>
      <c r="X176" s="790">
        <v>128.73071398053784</v>
      </c>
      <c r="Y176" s="790">
        <v>27.017142704554924</v>
      </c>
      <c r="Z176" s="785"/>
      <c r="AA176" s="692"/>
      <c r="AB176" s="692"/>
      <c r="AC176" s="692"/>
      <c r="AD176" s="692"/>
      <c r="AE176" s="692"/>
      <c r="AF176" s="692"/>
      <c r="AG176" s="692"/>
      <c r="AH176" s="692"/>
      <c r="AI176" s="692"/>
    </row>
    <row r="177" spans="13:35" s="557" customFormat="1">
      <c r="M177" s="277"/>
      <c r="N177" s="277"/>
      <c r="O177" s="789"/>
      <c r="P177" s="603">
        <v>17</v>
      </c>
      <c r="Q177" s="790">
        <v>14.988285734993999</v>
      </c>
      <c r="R177" s="790">
        <v>14.963714392629401</v>
      </c>
      <c r="S177" s="791">
        <v>174.68314470563601</v>
      </c>
      <c r="T177" s="791">
        <v>73.639428492954806</v>
      </c>
      <c r="U177" s="790">
        <v>18.143000000000001</v>
      </c>
      <c r="V177" s="790">
        <v>13.5886286328445</v>
      </c>
      <c r="W177" s="790">
        <v>1.80400003721498</v>
      </c>
      <c r="X177" s="790">
        <v>118.43833195974599</v>
      </c>
      <c r="Y177" s="790">
        <v>26.255714235187</v>
      </c>
      <c r="Z177" s="785"/>
      <c r="AA177" s="692"/>
      <c r="AB177" s="692"/>
      <c r="AC177" s="692"/>
      <c r="AD177" s="692"/>
      <c r="AE177" s="692"/>
      <c r="AF177" s="692"/>
      <c r="AG177" s="692"/>
      <c r="AH177" s="692"/>
      <c r="AI177" s="692"/>
    </row>
    <row r="178" spans="13:35" s="557" customFormat="1">
      <c r="M178" s="277"/>
      <c r="N178" s="277"/>
      <c r="O178" s="789">
        <v>18</v>
      </c>
      <c r="P178" s="603">
        <v>18</v>
      </c>
      <c r="Q178" s="790">
        <v>13.782857142857143</v>
      </c>
      <c r="R178" s="790">
        <v>9.805714285714286</v>
      </c>
      <c r="S178" s="791">
        <v>119.01714285714286</v>
      </c>
      <c r="T178" s="791">
        <v>55.180000000000007</v>
      </c>
      <c r="U178" s="790">
        <v>17.828571428571429</v>
      </c>
      <c r="V178" s="790">
        <v>12.145714285714286</v>
      </c>
      <c r="W178" s="790">
        <v>1.5071428571428569</v>
      </c>
      <c r="X178" s="790">
        <v>73.115714285714276</v>
      </c>
      <c r="Y178" s="790">
        <v>16.581428571428575</v>
      </c>
      <c r="Z178" s="785"/>
      <c r="AA178" s="692"/>
      <c r="AB178" s="692"/>
      <c r="AC178" s="692"/>
      <c r="AD178" s="692"/>
      <c r="AE178" s="692"/>
      <c r="AF178" s="692"/>
      <c r="AG178" s="692"/>
      <c r="AH178" s="692"/>
      <c r="AI178" s="692"/>
    </row>
    <row r="179" spans="13:35" s="557" customFormat="1">
      <c r="M179" s="277"/>
      <c r="N179" s="277"/>
      <c r="O179" s="789"/>
      <c r="P179" s="603">
        <v>19</v>
      </c>
      <c r="Q179" s="790">
        <v>12.89642851693287</v>
      </c>
      <c r="R179" s="790">
        <v>8.2621427263532308</v>
      </c>
      <c r="S179" s="791">
        <v>110.76885659354043</v>
      </c>
      <c r="T179" s="791">
        <v>59.773714338030103</v>
      </c>
      <c r="U179" s="790">
        <v>15.455142838614288</v>
      </c>
      <c r="V179" s="790">
        <v>11.9720828192574</v>
      </c>
      <c r="W179" s="790">
        <v>1.5408571277345884</v>
      </c>
      <c r="X179" s="790">
        <v>69.296428135463117</v>
      </c>
      <c r="Y179" s="790">
        <v>69.459999084472599</v>
      </c>
      <c r="Z179" s="785"/>
      <c r="AA179" s="692"/>
      <c r="AB179" s="692"/>
      <c r="AC179" s="692"/>
      <c r="AD179" s="692"/>
      <c r="AE179" s="692"/>
      <c r="AF179" s="692"/>
      <c r="AG179" s="692"/>
      <c r="AH179" s="692"/>
      <c r="AI179" s="692"/>
    </row>
    <row r="180" spans="13:35" s="557" customFormat="1">
      <c r="M180" s="277"/>
      <c r="N180" s="277"/>
      <c r="O180" s="789"/>
      <c r="P180" s="603">
        <v>20</v>
      </c>
      <c r="Q180" s="790">
        <v>12.223428453717887</v>
      </c>
      <c r="R180" s="790">
        <v>8.1970000267028773</v>
      </c>
      <c r="S180" s="791">
        <v>101.37014225551034</v>
      </c>
      <c r="T180" s="791">
        <v>76.803571428571416</v>
      </c>
      <c r="U180" s="790">
        <v>17.032571247645741</v>
      </c>
      <c r="V180" s="790">
        <v>12.044524329049228</v>
      </c>
      <c r="W180" s="790">
        <v>1.2638571347509076</v>
      </c>
      <c r="X180" s="790">
        <v>62.86000006539475</v>
      </c>
      <c r="Y180" s="790">
        <v>66.260002136230398</v>
      </c>
      <c r="Z180" s="785"/>
      <c r="AA180" s="692"/>
      <c r="AB180" s="692"/>
      <c r="AC180" s="692"/>
      <c r="AD180" s="692"/>
      <c r="AE180" s="692"/>
      <c r="AF180" s="692"/>
      <c r="AG180" s="692"/>
      <c r="AH180" s="692"/>
      <c r="AI180" s="692"/>
    </row>
    <row r="181" spans="13:35" s="557" customFormat="1">
      <c r="M181" s="277"/>
      <c r="N181" s="277"/>
      <c r="O181" s="789"/>
      <c r="P181" s="603">
        <v>21</v>
      </c>
      <c r="Q181" s="790">
        <v>10.884428433009543</v>
      </c>
      <c r="R181" s="790">
        <v>7.9334286281040693</v>
      </c>
      <c r="S181" s="791">
        <v>97.459857395716909</v>
      </c>
      <c r="T181" s="791">
        <v>50.738285609653985</v>
      </c>
      <c r="U181" s="790">
        <v>13.328000204903701</v>
      </c>
      <c r="V181" s="790">
        <v>12.004824365888286</v>
      </c>
      <c r="W181" s="790">
        <v>1.5594285896846185</v>
      </c>
      <c r="X181" s="790">
        <v>54.305714198521159</v>
      </c>
      <c r="Y181" s="790">
        <v>65.75</v>
      </c>
      <c r="Z181" s="785"/>
      <c r="AA181" s="692"/>
      <c r="AB181" s="692"/>
      <c r="AC181" s="692"/>
      <c r="AD181" s="692"/>
      <c r="AE181" s="692"/>
      <c r="AF181" s="692"/>
      <c r="AG181" s="692"/>
      <c r="AH181" s="692"/>
      <c r="AI181" s="692"/>
    </row>
    <row r="182" spans="13:35" s="557" customFormat="1">
      <c r="M182" s="277"/>
      <c r="N182" s="277"/>
      <c r="O182" s="789">
        <v>22</v>
      </c>
      <c r="P182" s="603">
        <v>22</v>
      </c>
      <c r="Q182" s="790">
        <v>10.348285540285715</v>
      </c>
      <c r="R182" s="790">
        <v>7.5271429334285713</v>
      </c>
      <c r="S182" s="791">
        <v>89.468571255714281</v>
      </c>
      <c r="T182" s="791">
        <v>47.993857245714288</v>
      </c>
      <c r="U182" s="790">
        <v>14.01614271</v>
      </c>
      <c r="V182" s="790">
        <v>12.003629958571429</v>
      </c>
      <c r="W182" s="790">
        <v>1.5562856965714285</v>
      </c>
      <c r="X182" s="790">
        <v>53.467142922857143</v>
      </c>
      <c r="Y182" s="790">
        <v>65.72000122</v>
      </c>
      <c r="Z182" s="785"/>
      <c r="AA182" s="692"/>
      <c r="AB182" s="692"/>
      <c r="AC182" s="692"/>
      <c r="AD182" s="692"/>
      <c r="AE182" s="692"/>
      <c r="AF182" s="692"/>
      <c r="AG182" s="692"/>
      <c r="AH182" s="692"/>
      <c r="AI182" s="692"/>
    </row>
    <row r="183" spans="13:35" s="557" customFormat="1">
      <c r="M183" s="277"/>
      <c r="N183" s="277"/>
      <c r="O183" s="789"/>
      <c r="P183" s="603">
        <v>23</v>
      </c>
      <c r="Q183" s="790">
        <v>9.2024285452706458</v>
      </c>
      <c r="R183" s="790">
        <v>7.8158572060721223</v>
      </c>
      <c r="S183" s="791">
        <v>76.892712184361002</v>
      </c>
      <c r="T183" s="791">
        <v>57.958285740443614</v>
      </c>
      <c r="U183" s="790">
        <v>15.881571360996745</v>
      </c>
      <c r="V183" s="790">
        <v>11.987857137407543</v>
      </c>
      <c r="W183" s="790">
        <v>1.6308571440832915</v>
      </c>
      <c r="X183" s="790">
        <v>51.62714331490649</v>
      </c>
      <c r="Y183" s="790">
        <v>10.504285676138702</v>
      </c>
      <c r="Z183" s="785"/>
      <c r="AA183" s="692"/>
      <c r="AB183" s="692"/>
      <c r="AC183" s="692"/>
      <c r="AD183" s="692"/>
      <c r="AE183" s="692"/>
      <c r="AF183" s="692"/>
      <c r="AG183" s="692"/>
      <c r="AH183" s="692"/>
      <c r="AI183" s="692"/>
    </row>
    <row r="184" spans="13:35" s="557" customFormat="1">
      <c r="M184" s="277"/>
      <c r="N184" s="277"/>
      <c r="O184" s="789"/>
      <c r="P184" s="603">
        <v>24</v>
      </c>
      <c r="Q184" s="790">
        <v>9.7554287231428578</v>
      </c>
      <c r="R184" s="790">
        <v>6.7071426938571426</v>
      </c>
      <c r="S184" s="791">
        <v>81.342571802857151</v>
      </c>
      <c r="T184" s="791">
        <v>44.565714157142857</v>
      </c>
      <c r="U184" s="790">
        <v>11.95571436</v>
      </c>
      <c r="V184" s="790">
        <v>11.995954241428569</v>
      </c>
      <c r="W184" s="790">
        <v>1.5964285474285715</v>
      </c>
      <c r="X184" s="790">
        <v>52.48000008857143</v>
      </c>
      <c r="Y184" s="790">
        <v>8.8472856794285715</v>
      </c>
      <c r="Z184" s="785"/>
      <c r="AA184" s="692"/>
      <c r="AB184" s="692"/>
      <c r="AC184" s="692"/>
      <c r="AD184" s="692"/>
      <c r="AE184" s="692"/>
      <c r="AF184" s="692"/>
      <c r="AG184" s="692"/>
      <c r="AH184" s="692"/>
      <c r="AI184" s="692"/>
    </row>
    <row r="185" spans="13:35" s="557" customFormat="1">
      <c r="M185" s="277"/>
      <c r="N185" s="277"/>
      <c r="O185" s="789"/>
      <c r="P185" s="603">
        <v>25</v>
      </c>
      <c r="Q185" s="790">
        <v>9.0029998505714293</v>
      </c>
      <c r="R185" s="790">
        <v>5.0975714409999995</v>
      </c>
      <c r="S185" s="791">
        <v>74.786714827142859</v>
      </c>
      <c r="T185" s="791">
        <v>37.470142908571425</v>
      </c>
      <c r="U185" s="790">
        <v>10.698285784285716</v>
      </c>
      <c r="V185" s="790">
        <v>12.037141528571428</v>
      </c>
      <c r="W185" s="790">
        <v>1.5865714718571431</v>
      </c>
      <c r="X185" s="790">
        <v>52.899999890000004</v>
      </c>
      <c r="Y185" s="790">
        <v>7.1708572252857135</v>
      </c>
      <c r="Z185" s="785"/>
      <c r="AA185" s="692"/>
      <c r="AB185" s="692"/>
      <c r="AC185" s="692"/>
      <c r="AD185" s="692"/>
      <c r="AE185" s="692"/>
      <c r="AF185" s="692"/>
      <c r="AG185" s="692"/>
      <c r="AH185" s="692"/>
      <c r="AI185" s="692"/>
    </row>
    <row r="186" spans="13:35" s="557" customFormat="1">
      <c r="M186" s="277"/>
      <c r="N186" s="277"/>
      <c r="O186" s="789">
        <v>26</v>
      </c>
      <c r="P186" s="603">
        <v>26</v>
      </c>
      <c r="Q186" s="790">
        <v>8.8088571004285718</v>
      </c>
      <c r="R186" s="790">
        <v>4.9562855787142857</v>
      </c>
      <c r="S186" s="791">
        <v>70.028570991428566</v>
      </c>
      <c r="T186" s="791">
        <v>32.059714182857142</v>
      </c>
      <c r="U186" s="790">
        <v>11.252857207571427</v>
      </c>
      <c r="V186" s="790">
        <v>12.019521304285714</v>
      </c>
      <c r="W186" s="790">
        <v>2.0531428372857143</v>
      </c>
      <c r="X186" s="790">
        <v>50.610000065714296</v>
      </c>
      <c r="Y186" s="790">
        <v>6.7431428091428582</v>
      </c>
      <c r="Z186" s="785"/>
      <c r="AA186" s="692"/>
      <c r="AB186" s="692"/>
      <c r="AC186" s="692"/>
      <c r="AD186" s="692"/>
      <c r="AE186" s="692"/>
      <c r="AF186" s="692"/>
      <c r="AG186" s="692"/>
      <c r="AH186" s="692"/>
      <c r="AI186" s="692"/>
    </row>
    <row r="187" spans="13:35">
      <c r="O187" s="789"/>
      <c r="P187" s="603"/>
    </row>
    <row r="188" spans="13:35">
      <c r="O188" s="789"/>
      <c r="Q188" s="789" t="s">
        <v>264</v>
      </c>
      <c r="R188" s="789" t="s">
        <v>265</v>
      </c>
      <c r="S188" s="789" t="s">
        <v>266</v>
      </c>
      <c r="T188" s="789" t="s">
        <v>267</v>
      </c>
      <c r="U188" s="789" t="s">
        <v>268</v>
      </c>
      <c r="V188" s="789" t="s">
        <v>269</v>
      </c>
      <c r="W188" s="789" t="s">
        <v>270</v>
      </c>
      <c r="X188" s="789" t="s">
        <v>271</v>
      </c>
      <c r="Y188" s="789" t="s">
        <v>272</v>
      </c>
    </row>
    <row r="189" spans="13:35">
      <c r="O189" s="789"/>
    </row>
    <row r="190" spans="13:35">
      <c r="O190" s="789"/>
    </row>
    <row r="192" spans="13:35" s="557" customFormat="1">
      <c r="M192" s="277"/>
      <c r="N192" s="277"/>
      <c r="O192" s="277"/>
      <c r="P192" s="277"/>
      <c r="Q192" s="277"/>
      <c r="R192" s="277"/>
      <c r="S192" s="277"/>
      <c r="T192" s="277"/>
      <c r="U192" s="277"/>
      <c r="V192" s="277"/>
      <c r="W192" s="277"/>
      <c r="X192" s="277"/>
      <c r="Y192" s="277"/>
      <c r="Z192" s="783"/>
      <c r="AA192" s="692"/>
      <c r="AB192" s="692"/>
      <c r="AC192" s="692"/>
      <c r="AD192" s="692"/>
      <c r="AE192" s="692"/>
      <c r="AF192" s="692"/>
      <c r="AG192" s="692"/>
      <c r="AH192" s="692"/>
      <c r="AI192" s="692"/>
    </row>
    <row r="193" spans="13:35" s="557" customFormat="1">
      <c r="M193" s="277"/>
      <c r="N193" s="277"/>
      <c r="O193" s="277"/>
      <c r="P193" s="277"/>
      <c r="Q193" s="277"/>
      <c r="R193" s="277"/>
      <c r="S193" s="277"/>
      <c r="T193" s="277"/>
      <c r="U193" s="277"/>
      <c r="V193" s="277"/>
      <c r="W193" s="277"/>
      <c r="X193" s="277"/>
      <c r="Y193" s="277"/>
      <c r="Z193" s="783"/>
      <c r="AA193" s="692"/>
      <c r="AB193" s="692"/>
      <c r="AC193" s="692"/>
      <c r="AD193" s="692"/>
      <c r="AE193" s="692"/>
      <c r="AF193" s="692"/>
      <c r="AG193" s="692"/>
      <c r="AH193" s="692"/>
      <c r="AI193" s="692"/>
    </row>
    <row r="194" spans="13:35" s="557" customFormat="1">
      <c r="M194" s="277"/>
      <c r="N194" s="277"/>
      <c r="O194" s="277"/>
      <c r="P194" s="277"/>
      <c r="Q194" s="277"/>
      <c r="R194" s="277"/>
      <c r="S194" s="277"/>
      <c r="T194" s="277"/>
      <c r="U194" s="277"/>
      <c r="V194" s="277"/>
      <c r="W194" s="277"/>
      <c r="X194" s="277"/>
      <c r="Y194" s="277"/>
      <c r="Z194" s="783"/>
      <c r="AA194" s="692"/>
      <c r="AB194" s="692"/>
      <c r="AC194" s="692"/>
      <c r="AD194" s="692"/>
      <c r="AE194" s="692"/>
      <c r="AF194" s="692"/>
      <c r="AG194" s="692"/>
      <c r="AH194" s="692"/>
      <c r="AI194" s="692"/>
    </row>
    <row r="195" spans="13:35" s="557" customFormat="1">
      <c r="M195" s="277"/>
      <c r="N195" s="277"/>
      <c r="O195" s="277"/>
      <c r="P195" s="277"/>
      <c r="Q195" s="277"/>
      <c r="R195" s="277"/>
      <c r="S195" s="277"/>
      <c r="T195" s="277"/>
      <c r="U195" s="277"/>
      <c r="V195" s="277"/>
      <c r="W195" s="277"/>
      <c r="X195" s="277"/>
      <c r="Y195" s="277"/>
      <c r="Z195" s="783"/>
      <c r="AA195" s="692"/>
      <c r="AB195" s="692"/>
      <c r="AC195" s="692"/>
      <c r="AD195" s="692"/>
      <c r="AE195" s="692"/>
      <c r="AF195" s="692"/>
      <c r="AG195" s="692"/>
      <c r="AH195" s="692"/>
      <c r="AI195" s="692"/>
    </row>
    <row r="198" spans="13:35" s="557" customFormat="1">
      <c r="M198" s="277"/>
      <c r="N198" s="277"/>
      <c r="O198" s="277"/>
      <c r="P198" s="277"/>
      <c r="Q198" s="277"/>
      <c r="R198" s="277"/>
      <c r="S198" s="277"/>
      <c r="T198" s="277"/>
      <c r="U198" s="277"/>
      <c r="V198" s="277"/>
      <c r="W198" s="277"/>
      <c r="X198" s="277"/>
      <c r="Y198" s="277"/>
      <c r="Z198" s="783"/>
      <c r="AA198" s="692"/>
      <c r="AB198" s="692"/>
      <c r="AC198" s="692"/>
      <c r="AD198" s="692"/>
      <c r="AE198" s="692"/>
      <c r="AF198" s="692"/>
      <c r="AG198" s="692"/>
      <c r="AH198" s="692"/>
      <c r="AI198" s="692"/>
    </row>
    <row r="199" spans="13:35" s="557" customFormat="1">
      <c r="M199" s="277"/>
      <c r="N199" s="277"/>
      <c r="O199" s="277"/>
      <c r="P199" s="277"/>
      <c r="Q199" s="277"/>
      <c r="R199" s="277"/>
      <c r="S199" s="277"/>
      <c r="T199" s="277"/>
      <c r="U199" s="277"/>
      <c r="V199" s="277"/>
      <c r="W199" s="277"/>
      <c r="X199" s="277"/>
      <c r="Y199" s="277"/>
      <c r="Z199" s="783"/>
      <c r="AA199" s="692"/>
      <c r="AB199" s="692"/>
      <c r="AC199" s="692"/>
      <c r="AD199" s="692"/>
      <c r="AE199" s="692"/>
      <c r="AF199" s="692"/>
      <c r="AG199" s="692"/>
      <c r="AH199" s="692"/>
      <c r="AI199" s="692"/>
    </row>
    <row r="200" spans="13:35" s="557" customFormat="1">
      <c r="M200" s="277"/>
      <c r="N200" s="277"/>
      <c r="O200" s="277"/>
      <c r="P200" s="277"/>
      <c r="Q200" s="277"/>
      <c r="R200" s="277"/>
      <c r="S200" s="277"/>
      <c r="T200" s="277"/>
      <c r="U200" s="277"/>
      <c r="V200" s="277"/>
      <c r="W200" s="277"/>
      <c r="X200" s="277"/>
      <c r="Y200" s="277"/>
      <c r="Z200" s="783"/>
      <c r="AA200" s="692"/>
      <c r="AB200" s="692"/>
      <c r="AC200" s="692"/>
      <c r="AD200" s="692"/>
      <c r="AE200" s="692"/>
      <c r="AF200" s="692"/>
      <c r="AG200" s="692"/>
      <c r="AH200" s="692"/>
      <c r="AI200" s="692"/>
    </row>
    <row r="201" spans="13:35" s="557" customFormat="1">
      <c r="M201" s="277"/>
      <c r="N201" s="277"/>
      <c r="O201" s="277"/>
      <c r="P201" s="277"/>
      <c r="Q201" s="277"/>
      <c r="R201" s="277"/>
      <c r="S201" s="277"/>
      <c r="T201" s="277"/>
      <c r="U201" s="277"/>
      <c r="V201" s="277"/>
      <c r="W201" s="277"/>
      <c r="X201" s="277"/>
      <c r="Y201" s="277"/>
      <c r="Z201" s="783"/>
      <c r="AA201" s="692"/>
      <c r="AB201" s="692"/>
      <c r="AC201" s="692"/>
      <c r="AD201" s="692"/>
      <c r="AE201" s="692"/>
      <c r="AF201" s="692"/>
      <c r="AG201" s="692"/>
      <c r="AH201" s="692"/>
      <c r="AI201" s="692"/>
    </row>
    <row r="202" spans="13:35" s="557" customFormat="1">
      <c r="M202" s="277"/>
      <c r="N202" s="277"/>
      <c r="O202" s="277"/>
      <c r="P202" s="277"/>
      <c r="Q202" s="277"/>
      <c r="R202" s="277"/>
      <c r="S202" s="277"/>
      <c r="T202" s="277"/>
      <c r="U202" s="277"/>
      <c r="V202" s="277"/>
      <c r="W202" s="277"/>
      <c r="X202" s="277"/>
      <c r="Y202" s="277"/>
      <c r="Z202" s="783"/>
      <c r="AA202" s="692"/>
      <c r="AB202" s="692"/>
      <c r="AC202" s="692"/>
      <c r="AD202" s="692"/>
      <c r="AE202" s="692"/>
      <c r="AF202" s="692"/>
      <c r="AG202" s="692"/>
      <c r="AH202" s="692"/>
      <c r="AI202" s="692"/>
    </row>
    <row r="203" spans="13:35" s="557" customFormat="1">
      <c r="M203" s="277"/>
      <c r="N203" s="277"/>
      <c r="O203" s="277"/>
      <c r="P203" s="277"/>
      <c r="Q203" s="277"/>
      <c r="R203" s="277"/>
      <c r="S203" s="277"/>
      <c r="T203" s="277"/>
      <c r="U203" s="277"/>
      <c r="V203" s="277"/>
      <c r="W203" s="277"/>
      <c r="X203" s="277"/>
      <c r="Y203" s="277"/>
      <c r="Z203" s="783"/>
      <c r="AA203" s="692"/>
      <c r="AB203" s="692"/>
      <c r="AC203" s="692"/>
      <c r="AD203" s="692"/>
      <c r="AE203" s="692"/>
      <c r="AF203" s="692"/>
      <c r="AG203" s="692"/>
      <c r="AH203" s="692"/>
      <c r="AI203" s="692"/>
    </row>
    <row r="204" spans="13:35" s="557" customFormat="1">
      <c r="M204" s="277"/>
      <c r="N204" s="277"/>
      <c r="O204" s="277"/>
      <c r="P204" s="277"/>
      <c r="Q204" s="277"/>
      <c r="R204" s="277"/>
      <c r="S204" s="277"/>
      <c r="T204" s="277"/>
      <c r="U204" s="277"/>
      <c r="V204" s="277"/>
      <c r="W204" s="277"/>
      <c r="X204" s="277"/>
      <c r="Y204" s="277"/>
      <c r="Z204" s="783"/>
      <c r="AA204" s="692"/>
      <c r="AB204" s="692"/>
      <c r="AC204" s="692"/>
      <c r="AD204" s="692"/>
      <c r="AE204" s="692"/>
      <c r="AF204" s="692"/>
      <c r="AG204" s="692"/>
      <c r="AH204" s="692"/>
      <c r="AI204" s="692"/>
    </row>
    <row r="205" spans="13:35" s="557" customFormat="1">
      <c r="M205" s="277"/>
      <c r="N205" s="277"/>
      <c r="O205" s="277"/>
      <c r="P205" s="277"/>
      <c r="Q205" s="277"/>
      <c r="R205" s="277"/>
      <c r="S205" s="277"/>
      <c r="T205" s="277"/>
      <c r="U205" s="277"/>
      <c r="V205" s="277"/>
      <c r="W205" s="277"/>
      <c r="X205" s="277"/>
      <c r="Y205" s="277"/>
      <c r="Z205" s="783"/>
      <c r="AA205" s="692"/>
      <c r="AB205" s="692"/>
      <c r="AC205" s="692"/>
      <c r="AD205" s="692"/>
      <c r="AE205" s="692"/>
      <c r="AF205" s="692"/>
      <c r="AG205" s="692"/>
      <c r="AH205" s="692"/>
      <c r="AI205" s="692"/>
    </row>
    <row r="206" spans="13:35" s="557" customFormat="1">
      <c r="M206" s="277"/>
      <c r="N206" s="277"/>
      <c r="O206" s="277"/>
      <c r="P206" s="277"/>
      <c r="Q206" s="277"/>
      <c r="R206" s="277"/>
      <c r="S206" s="277"/>
      <c r="T206" s="277"/>
      <c r="U206" s="277"/>
      <c r="V206" s="277"/>
      <c r="W206" s="277"/>
      <c r="X206" s="277"/>
      <c r="Y206" s="277"/>
      <c r="Z206" s="783"/>
      <c r="AA206" s="692"/>
      <c r="AB206" s="692"/>
      <c r="AC206" s="692"/>
      <c r="AD206" s="692"/>
      <c r="AE206" s="692"/>
      <c r="AF206" s="692"/>
      <c r="AG206" s="692"/>
      <c r="AH206" s="692"/>
      <c r="AI206" s="692"/>
    </row>
    <row r="207" spans="13:35" s="557" customFormat="1">
      <c r="M207" s="277"/>
      <c r="N207" s="277"/>
      <c r="O207" s="277"/>
      <c r="P207" s="277"/>
      <c r="Q207" s="277"/>
      <c r="R207" s="277"/>
      <c r="S207" s="277"/>
      <c r="T207" s="277"/>
      <c r="U207" s="277"/>
      <c r="V207" s="277"/>
      <c r="W207" s="277"/>
      <c r="X207" s="277"/>
      <c r="Y207" s="277"/>
      <c r="Z207" s="783"/>
      <c r="AA207" s="692"/>
      <c r="AB207" s="692"/>
      <c r="AC207" s="692"/>
      <c r="AD207" s="692"/>
      <c r="AE207" s="692"/>
      <c r="AF207" s="692"/>
      <c r="AG207" s="692"/>
      <c r="AH207" s="692"/>
      <c r="AI207" s="692"/>
    </row>
    <row r="208" spans="13:35" s="557" customFormat="1">
      <c r="M208" s="277"/>
      <c r="N208" s="277"/>
      <c r="O208" s="277"/>
      <c r="P208" s="277"/>
      <c r="Q208" s="277"/>
      <c r="R208" s="277"/>
      <c r="S208" s="277"/>
      <c r="T208" s="277"/>
      <c r="U208" s="277"/>
      <c r="V208" s="277"/>
      <c r="W208" s="277"/>
      <c r="X208" s="277"/>
      <c r="Y208" s="277"/>
      <c r="Z208" s="783"/>
      <c r="AA208" s="692"/>
      <c r="AB208" s="692"/>
      <c r="AC208" s="692"/>
      <c r="AD208" s="692"/>
      <c r="AE208" s="692"/>
      <c r="AF208" s="692"/>
      <c r="AG208" s="692"/>
      <c r="AH208" s="692"/>
      <c r="AI208" s="692"/>
    </row>
    <row r="209" spans="13:35" s="557" customFormat="1">
      <c r="M209" s="277"/>
      <c r="N209" s="277"/>
      <c r="O209" s="277"/>
      <c r="P209" s="277"/>
      <c r="Q209" s="277"/>
      <c r="R209" s="277"/>
      <c r="S209" s="277"/>
      <c r="T209" s="277"/>
      <c r="U209" s="277"/>
      <c r="V209" s="277"/>
      <c r="W209" s="277"/>
      <c r="X209" s="277"/>
      <c r="Y209" s="277"/>
      <c r="Z209" s="783"/>
      <c r="AA209" s="692"/>
      <c r="AB209" s="692"/>
      <c r="AC209" s="692"/>
      <c r="AD209" s="692"/>
      <c r="AE209" s="692"/>
      <c r="AF209" s="692"/>
      <c r="AG209" s="692"/>
      <c r="AH209" s="692"/>
      <c r="AI209" s="692"/>
    </row>
    <row r="210" spans="13:35" s="557" customFormat="1">
      <c r="M210" s="277"/>
      <c r="N210" s="277"/>
      <c r="O210" s="277"/>
      <c r="P210" s="277"/>
      <c r="Q210" s="277"/>
      <c r="R210" s="277"/>
      <c r="S210" s="277"/>
      <c r="T210" s="277"/>
      <c r="U210" s="277"/>
      <c r="V210" s="277"/>
      <c r="W210" s="277"/>
      <c r="X210" s="277"/>
      <c r="Y210" s="277"/>
      <c r="Z210" s="783"/>
      <c r="AA210" s="692"/>
      <c r="AB210" s="692"/>
      <c r="AC210" s="692"/>
      <c r="AD210" s="692"/>
      <c r="AE210" s="692"/>
      <c r="AF210" s="692"/>
      <c r="AG210" s="692"/>
      <c r="AH210" s="692"/>
      <c r="AI210" s="692"/>
    </row>
    <row r="211" spans="13:35" s="557" customFormat="1">
      <c r="M211" s="277"/>
      <c r="N211" s="277"/>
      <c r="O211" s="277"/>
      <c r="P211" s="277"/>
      <c r="Q211" s="277"/>
      <c r="R211" s="277"/>
      <c r="S211" s="277"/>
      <c r="T211" s="277"/>
      <c r="U211" s="277"/>
      <c r="V211" s="277"/>
      <c r="W211" s="277"/>
      <c r="X211" s="277"/>
      <c r="Y211" s="277"/>
      <c r="Z211" s="783"/>
      <c r="AA211" s="692"/>
      <c r="AB211" s="692"/>
      <c r="AC211" s="692"/>
      <c r="AD211" s="692"/>
      <c r="AE211" s="692"/>
      <c r="AF211" s="692"/>
      <c r="AG211" s="692"/>
      <c r="AH211" s="692"/>
      <c r="AI211" s="692"/>
    </row>
    <row r="212" spans="13:35" s="557" customFormat="1">
      <c r="M212" s="277"/>
      <c r="N212" s="277"/>
      <c r="O212" s="277"/>
      <c r="P212" s="277"/>
      <c r="Q212" s="277"/>
      <c r="R212" s="277"/>
      <c r="S212" s="277"/>
      <c r="T212" s="277"/>
      <c r="U212" s="277"/>
      <c r="V212" s="277"/>
      <c r="W212" s="277"/>
      <c r="X212" s="277"/>
      <c r="Y212" s="277"/>
      <c r="Z212" s="783"/>
      <c r="AA212" s="692"/>
      <c r="AB212" s="692"/>
      <c r="AC212" s="692"/>
      <c r="AD212" s="692"/>
      <c r="AE212" s="692"/>
      <c r="AF212" s="692"/>
      <c r="AG212" s="692"/>
      <c r="AH212" s="692"/>
      <c r="AI212" s="692"/>
    </row>
    <row r="213" spans="13:35" s="557" customFormat="1">
      <c r="M213" s="277"/>
      <c r="N213" s="277"/>
      <c r="O213" s="277"/>
      <c r="P213" s="277"/>
      <c r="Q213" s="277"/>
      <c r="R213" s="277"/>
      <c r="S213" s="277"/>
      <c r="T213" s="277"/>
      <c r="U213" s="277"/>
      <c r="V213" s="277"/>
      <c r="W213" s="277"/>
      <c r="X213" s="277"/>
      <c r="Y213" s="277"/>
      <c r="Z213" s="783"/>
      <c r="AA213" s="692"/>
      <c r="AB213" s="692"/>
      <c r="AC213" s="692"/>
      <c r="AD213" s="692"/>
      <c r="AE213" s="692"/>
      <c r="AF213" s="692"/>
      <c r="AG213" s="692"/>
      <c r="AH213" s="692"/>
      <c r="AI213" s="692"/>
    </row>
    <row r="214" spans="13:35" s="557" customFormat="1">
      <c r="M214" s="277"/>
      <c r="N214" s="277"/>
      <c r="O214" s="277"/>
      <c r="P214" s="277"/>
      <c r="Q214" s="277"/>
      <c r="R214" s="277"/>
      <c r="S214" s="277"/>
      <c r="T214" s="277"/>
      <c r="U214" s="277"/>
      <c r="V214" s="277"/>
      <c r="W214" s="277"/>
      <c r="X214" s="277"/>
      <c r="Y214" s="277"/>
      <c r="Z214" s="783"/>
      <c r="AA214" s="692"/>
      <c r="AB214" s="692"/>
      <c r="AC214" s="692"/>
      <c r="AD214" s="692"/>
      <c r="AE214" s="692"/>
      <c r="AF214" s="692"/>
      <c r="AG214" s="692"/>
      <c r="AH214" s="692"/>
      <c r="AI214" s="692"/>
    </row>
    <row r="215" spans="13:35" s="557" customFormat="1">
      <c r="M215" s="277"/>
      <c r="N215" s="277"/>
      <c r="O215" s="277"/>
      <c r="P215" s="277"/>
      <c r="Q215" s="277"/>
      <c r="R215" s="277"/>
      <c r="S215" s="277"/>
      <c r="T215" s="277"/>
      <c r="U215" s="277"/>
      <c r="V215" s="277"/>
      <c r="W215" s="277"/>
      <c r="X215" s="277"/>
      <c r="Y215" s="277"/>
      <c r="Z215" s="783"/>
      <c r="AA215" s="692"/>
      <c r="AB215" s="692"/>
      <c r="AC215" s="692"/>
      <c r="AD215" s="692"/>
      <c r="AE215" s="692"/>
      <c r="AF215" s="692"/>
      <c r="AG215" s="692"/>
      <c r="AH215" s="692"/>
      <c r="AI215" s="692"/>
    </row>
    <row r="216" spans="13:35" s="557" customFormat="1">
      <c r="M216" s="277"/>
      <c r="N216" s="277"/>
      <c r="O216" s="277"/>
      <c r="P216" s="277"/>
      <c r="Q216" s="277"/>
      <c r="R216" s="277"/>
      <c r="S216" s="277"/>
      <c r="T216" s="277"/>
      <c r="U216" s="277"/>
      <c r="V216" s="277"/>
      <c r="W216" s="277"/>
      <c r="X216" s="277"/>
      <c r="Y216" s="277"/>
      <c r="Z216" s="783"/>
      <c r="AA216" s="692"/>
      <c r="AB216" s="692"/>
      <c r="AC216" s="692"/>
      <c r="AD216" s="692"/>
      <c r="AE216" s="692"/>
      <c r="AF216" s="692"/>
      <c r="AG216" s="692"/>
      <c r="AH216" s="692"/>
      <c r="AI216" s="692"/>
    </row>
    <row r="217" spans="13:35" s="557" customFormat="1">
      <c r="M217" s="277"/>
      <c r="N217" s="277"/>
      <c r="O217" s="277"/>
      <c r="P217" s="277"/>
      <c r="Q217" s="277"/>
      <c r="R217" s="277"/>
      <c r="S217" s="277"/>
      <c r="T217" s="277"/>
      <c r="U217" s="277"/>
      <c r="V217" s="277"/>
      <c r="W217" s="277"/>
      <c r="X217" s="277"/>
      <c r="Y217" s="277"/>
      <c r="Z217" s="783"/>
      <c r="AA217" s="692"/>
      <c r="AB217" s="692"/>
      <c r="AC217" s="692"/>
      <c r="AD217" s="692"/>
      <c r="AE217" s="692"/>
      <c r="AF217" s="692"/>
      <c r="AG217" s="692"/>
      <c r="AH217" s="692"/>
      <c r="AI217" s="692"/>
    </row>
    <row r="218" spans="13:35" s="557" customFormat="1">
      <c r="M218" s="277"/>
      <c r="N218" s="277"/>
      <c r="O218" s="277"/>
      <c r="P218" s="277"/>
      <c r="Q218" s="277"/>
      <c r="R218" s="277"/>
      <c r="S218" s="277"/>
      <c r="T218" s="277"/>
      <c r="U218" s="277"/>
      <c r="V218" s="277"/>
      <c r="W218" s="277"/>
      <c r="X218" s="277"/>
      <c r="Y218" s="277"/>
      <c r="Z218" s="783"/>
      <c r="AA218" s="692"/>
      <c r="AB218" s="692"/>
      <c r="AC218" s="692"/>
      <c r="AD218" s="692"/>
      <c r="AE218" s="692"/>
      <c r="AF218" s="692"/>
      <c r="AG218" s="692"/>
      <c r="AH218" s="692"/>
      <c r="AI218" s="692"/>
    </row>
    <row r="219" spans="13:35" s="557" customFormat="1">
      <c r="M219" s="277"/>
      <c r="N219" s="277"/>
      <c r="O219" s="277"/>
      <c r="P219" s="277"/>
      <c r="Q219" s="277"/>
      <c r="R219" s="277"/>
      <c r="S219" s="277"/>
      <c r="T219" s="277"/>
      <c r="U219" s="277"/>
      <c r="V219" s="277"/>
      <c r="W219" s="277"/>
      <c r="X219" s="277"/>
      <c r="Y219" s="277"/>
      <c r="Z219" s="783"/>
      <c r="AA219" s="692"/>
      <c r="AB219" s="692"/>
      <c r="AC219" s="692"/>
      <c r="AD219" s="692"/>
      <c r="AE219" s="692"/>
      <c r="AF219" s="692"/>
      <c r="AG219" s="692"/>
      <c r="AH219" s="692"/>
      <c r="AI219" s="692"/>
    </row>
    <row r="220" spans="13:35" s="557" customFormat="1">
      <c r="M220" s="277"/>
      <c r="N220" s="277"/>
      <c r="O220" s="277"/>
      <c r="P220" s="277"/>
      <c r="Q220" s="277"/>
      <c r="R220" s="277"/>
      <c r="S220" s="277"/>
      <c r="T220" s="277"/>
      <c r="U220" s="277"/>
      <c r="V220" s="277"/>
      <c r="W220" s="277"/>
      <c r="X220" s="277"/>
      <c r="Y220" s="277"/>
      <c r="Z220" s="783"/>
      <c r="AA220" s="692"/>
      <c r="AB220" s="692"/>
      <c r="AC220" s="692"/>
      <c r="AD220" s="692"/>
      <c r="AE220" s="692"/>
      <c r="AF220" s="692"/>
      <c r="AG220" s="692"/>
      <c r="AH220" s="692"/>
      <c r="AI220" s="692"/>
    </row>
    <row r="221" spans="13:35" s="557" customFormat="1">
      <c r="M221" s="277"/>
      <c r="N221" s="277"/>
      <c r="O221" s="277"/>
      <c r="P221" s="277"/>
      <c r="Q221" s="277"/>
      <c r="R221" s="277"/>
      <c r="S221" s="277"/>
      <c r="T221" s="277"/>
      <c r="U221" s="277"/>
      <c r="V221" s="277"/>
      <c r="W221" s="277"/>
      <c r="X221" s="277"/>
      <c r="Y221" s="277"/>
      <c r="Z221" s="783"/>
      <c r="AA221" s="692"/>
      <c r="AB221" s="692"/>
      <c r="AC221" s="692"/>
      <c r="AD221" s="692"/>
      <c r="AE221" s="692"/>
      <c r="AF221" s="692"/>
      <c r="AG221" s="692"/>
      <c r="AH221" s="692"/>
      <c r="AI221" s="692"/>
    </row>
    <row r="222" spans="13:35" s="557" customFormat="1">
      <c r="M222" s="277"/>
      <c r="N222" s="277"/>
      <c r="O222" s="277"/>
      <c r="P222" s="277"/>
      <c r="Q222" s="277"/>
      <c r="R222" s="277"/>
      <c r="S222" s="277"/>
      <c r="T222" s="277"/>
      <c r="U222" s="277"/>
      <c r="V222" s="277"/>
      <c r="W222" s="277"/>
      <c r="X222" s="277"/>
      <c r="Y222" s="277"/>
      <c r="Z222" s="783"/>
      <c r="AA222" s="692"/>
      <c r="AB222" s="692"/>
      <c r="AC222" s="692"/>
      <c r="AD222" s="692"/>
      <c r="AE222" s="692"/>
      <c r="AF222" s="692"/>
      <c r="AG222" s="692"/>
      <c r="AH222" s="692"/>
      <c r="AI222" s="692"/>
    </row>
    <row r="223" spans="13:35" s="557" customFormat="1">
      <c r="M223" s="277"/>
      <c r="N223" s="277"/>
      <c r="O223" s="277"/>
      <c r="P223" s="277"/>
      <c r="Q223" s="277"/>
      <c r="R223" s="277"/>
      <c r="S223" s="277"/>
      <c r="T223" s="277"/>
      <c r="U223" s="277"/>
      <c r="V223" s="277"/>
      <c r="W223" s="277"/>
      <c r="X223" s="277"/>
      <c r="Y223" s="277"/>
      <c r="Z223" s="783"/>
      <c r="AA223" s="692"/>
      <c r="AB223" s="692"/>
      <c r="AC223" s="692"/>
      <c r="AD223" s="692"/>
      <c r="AE223" s="692"/>
      <c r="AF223" s="692"/>
      <c r="AG223" s="692"/>
      <c r="AH223" s="692"/>
      <c r="AI223" s="692"/>
    </row>
    <row r="224" spans="13:35" s="557" customFormat="1">
      <c r="M224" s="277"/>
      <c r="N224" s="277"/>
      <c r="O224" s="277"/>
      <c r="P224" s="277"/>
      <c r="Q224" s="277"/>
      <c r="R224" s="277"/>
      <c r="S224" s="277"/>
      <c r="T224" s="277"/>
      <c r="U224" s="277"/>
      <c r="V224" s="277"/>
      <c r="W224" s="277"/>
      <c r="X224" s="277"/>
      <c r="Y224" s="277"/>
      <c r="Z224" s="783"/>
      <c r="AA224" s="692"/>
      <c r="AB224" s="692"/>
      <c r="AC224" s="692"/>
      <c r="AD224" s="692"/>
      <c r="AE224" s="692"/>
      <c r="AF224" s="692"/>
      <c r="AG224" s="692"/>
      <c r="AH224" s="692"/>
      <c r="AI224" s="692"/>
    </row>
    <row r="225" spans="13:35" s="557" customFormat="1">
      <c r="M225" s="277"/>
      <c r="N225" s="277"/>
      <c r="O225" s="277"/>
      <c r="P225" s="277"/>
      <c r="Q225" s="277"/>
      <c r="R225" s="277"/>
      <c r="S225" s="277"/>
      <c r="T225" s="277"/>
      <c r="U225" s="277"/>
      <c r="V225" s="277"/>
      <c r="W225" s="277"/>
      <c r="X225" s="277"/>
      <c r="Y225" s="277"/>
      <c r="Z225" s="783"/>
      <c r="AA225" s="692"/>
      <c r="AB225" s="692"/>
      <c r="AC225" s="692"/>
      <c r="AD225" s="692"/>
      <c r="AE225" s="692"/>
      <c r="AF225" s="692"/>
      <c r="AG225" s="692"/>
      <c r="AH225" s="692"/>
      <c r="AI225" s="692"/>
    </row>
    <row r="226" spans="13:35" s="557" customFormat="1">
      <c r="M226" s="277"/>
      <c r="N226" s="277"/>
      <c r="O226" s="277"/>
      <c r="P226" s="277"/>
      <c r="Q226" s="277"/>
      <c r="R226" s="277"/>
      <c r="S226" s="277"/>
      <c r="T226" s="277"/>
      <c r="U226" s="277"/>
      <c r="V226" s="277"/>
      <c r="W226" s="277"/>
      <c r="X226" s="277"/>
      <c r="Y226" s="277"/>
      <c r="Z226" s="783"/>
      <c r="AA226" s="692"/>
      <c r="AB226" s="692"/>
      <c r="AC226" s="692"/>
      <c r="AD226" s="692"/>
      <c r="AE226" s="692"/>
      <c r="AF226" s="692"/>
      <c r="AG226" s="692"/>
      <c r="AH226" s="692"/>
      <c r="AI226" s="692"/>
    </row>
    <row r="227" spans="13:35" s="557" customFormat="1">
      <c r="M227" s="277"/>
      <c r="N227" s="277"/>
      <c r="O227" s="277"/>
      <c r="P227" s="277"/>
      <c r="Q227" s="277"/>
      <c r="R227" s="277"/>
      <c r="S227" s="277"/>
      <c r="T227" s="277"/>
      <c r="U227" s="277"/>
      <c r="V227" s="277"/>
      <c r="W227" s="277"/>
      <c r="X227" s="277"/>
      <c r="Y227" s="277"/>
      <c r="Z227" s="783"/>
      <c r="AA227" s="692"/>
      <c r="AB227" s="692"/>
      <c r="AC227" s="692"/>
      <c r="AD227" s="692"/>
      <c r="AE227" s="692"/>
      <c r="AF227" s="692"/>
      <c r="AG227" s="692"/>
      <c r="AH227" s="692"/>
      <c r="AI227" s="692"/>
    </row>
    <row r="228" spans="13:35" s="557" customFormat="1">
      <c r="M228" s="277"/>
      <c r="N228" s="277"/>
      <c r="O228" s="277"/>
      <c r="P228" s="277"/>
      <c r="Q228" s="277"/>
      <c r="R228" s="277"/>
      <c r="S228" s="277"/>
      <c r="T228" s="277"/>
      <c r="U228" s="277"/>
      <c r="V228" s="277"/>
      <c r="W228" s="277"/>
      <c r="X228" s="277"/>
      <c r="Y228" s="277"/>
      <c r="Z228" s="783"/>
      <c r="AA228" s="692"/>
      <c r="AB228" s="692"/>
      <c r="AC228" s="692"/>
      <c r="AD228" s="692"/>
      <c r="AE228" s="692"/>
      <c r="AF228" s="692"/>
      <c r="AG228" s="692"/>
      <c r="AH228" s="692"/>
      <c r="AI228" s="692"/>
    </row>
    <row r="229" spans="13:35" s="557" customFormat="1">
      <c r="M229" s="277"/>
      <c r="N229" s="277"/>
      <c r="O229" s="277"/>
      <c r="P229" s="277"/>
      <c r="Q229" s="277"/>
      <c r="R229" s="277"/>
      <c r="S229" s="277"/>
      <c r="T229" s="277"/>
      <c r="U229" s="277"/>
      <c r="V229" s="277"/>
      <c r="W229" s="277"/>
      <c r="X229" s="277"/>
      <c r="Y229" s="277"/>
      <c r="Z229" s="783"/>
      <c r="AA229" s="692"/>
      <c r="AB229" s="692"/>
      <c r="AC229" s="692"/>
      <c r="AD229" s="692"/>
      <c r="AE229" s="692"/>
      <c r="AF229" s="692"/>
      <c r="AG229" s="692"/>
      <c r="AH229" s="692"/>
      <c r="AI229" s="692"/>
    </row>
    <row r="230" spans="13:35" s="557" customFormat="1">
      <c r="M230" s="277"/>
      <c r="N230" s="277"/>
      <c r="O230" s="277"/>
      <c r="P230" s="277"/>
      <c r="Q230" s="277"/>
      <c r="R230" s="277"/>
      <c r="S230" s="277"/>
      <c r="T230" s="277"/>
      <c r="U230" s="277"/>
      <c r="V230" s="277"/>
      <c r="W230" s="277"/>
      <c r="X230" s="277"/>
      <c r="Y230" s="277"/>
      <c r="Z230" s="783"/>
      <c r="AA230" s="692"/>
      <c r="AB230" s="692"/>
      <c r="AC230" s="692"/>
      <c r="AD230" s="692"/>
      <c r="AE230" s="692"/>
      <c r="AF230" s="692"/>
      <c r="AG230" s="692"/>
      <c r="AH230" s="692"/>
      <c r="AI230" s="692"/>
    </row>
    <row r="231" spans="13:35" s="557" customFormat="1">
      <c r="M231" s="277"/>
      <c r="N231" s="277"/>
      <c r="O231" s="277"/>
      <c r="P231" s="277"/>
      <c r="Q231" s="277"/>
      <c r="R231" s="277"/>
      <c r="S231" s="277"/>
      <c r="T231" s="277"/>
      <c r="U231" s="277"/>
      <c r="V231" s="277"/>
      <c r="W231" s="277"/>
      <c r="X231" s="277"/>
      <c r="Y231" s="277"/>
      <c r="Z231" s="783"/>
      <c r="AA231" s="692"/>
      <c r="AB231" s="692"/>
      <c r="AC231" s="692"/>
      <c r="AD231" s="692"/>
      <c r="AE231" s="692"/>
      <c r="AF231" s="692"/>
      <c r="AG231" s="692"/>
      <c r="AH231" s="692"/>
      <c r="AI231" s="692"/>
    </row>
    <row r="232" spans="13:35" s="557" customFormat="1">
      <c r="M232" s="277"/>
      <c r="N232" s="277"/>
      <c r="O232" s="277"/>
      <c r="P232" s="277"/>
      <c r="Q232" s="277"/>
      <c r="R232" s="277"/>
      <c r="S232" s="277"/>
      <c r="T232" s="277"/>
      <c r="U232" s="277"/>
      <c r="V232" s="277"/>
      <c r="W232" s="277"/>
      <c r="X232" s="277"/>
      <c r="Y232" s="277"/>
      <c r="Z232" s="783"/>
      <c r="AA232" s="692"/>
      <c r="AB232" s="692"/>
      <c r="AC232" s="692"/>
      <c r="AD232" s="692"/>
      <c r="AE232" s="692"/>
      <c r="AF232" s="692"/>
      <c r="AG232" s="692"/>
      <c r="AH232" s="692"/>
      <c r="AI232" s="692"/>
    </row>
    <row r="233" spans="13:35" s="557" customFormat="1">
      <c r="M233" s="277"/>
      <c r="N233" s="277"/>
      <c r="O233" s="277"/>
      <c r="P233" s="277"/>
      <c r="Q233" s="277"/>
      <c r="R233" s="277"/>
      <c r="S233" s="277"/>
      <c r="T233" s="277"/>
      <c r="U233" s="277"/>
      <c r="V233" s="277"/>
      <c r="W233" s="277"/>
      <c r="X233" s="277"/>
      <c r="Y233" s="277"/>
      <c r="Z233" s="783"/>
      <c r="AA233" s="692"/>
      <c r="AB233" s="692"/>
      <c r="AC233" s="692"/>
      <c r="AD233" s="692"/>
      <c r="AE233" s="692"/>
      <c r="AF233" s="692"/>
      <c r="AG233" s="692"/>
      <c r="AH233" s="692"/>
      <c r="AI233" s="692"/>
    </row>
    <row r="238" spans="13:35">
      <c r="P238" s="603"/>
      <c r="Q238" s="788"/>
      <c r="R238" s="788"/>
      <c r="S238" s="788"/>
      <c r="T238" s="788"/>
      <c r="U238" s="788"/>
      <c r="V238" s="788"/>
      <c r="W238" s="788"/>
      <c r="X238" s="788"/>
      <c r="Y238" s="788"/>
    </row>
    <row r="242" spans="16:25">
      <c r="P242" s="603"/>
      <c r="Q242" s="788"/>
      <c r="R242" s="788"/>
      <c r="S242" s="788"/>
      <c r="T242" s="788"/>
      <c r="U242" s="788"/>
      <c r="V242" s="788"/>
      <c r="W242" s="788"/>
      <c r="X242" s="788"/>
      <c r="Y242" s="788"/>
    </row>
    <row r="243" spans="16:25">
      <c r="P243" s="603"/>
      <c r="Q243" s="788"/>
      <c r="R243" s="788"/>
      <c r="S243" s="788"/>
      <c r="T243" s="788"/>
      <c r="U243" s="788"/>
      <c r="V243" s="788"/>
      <c r="W243" s="788"/>
      <c r="X243" s="788"/>
      <c r="Y243" s="788"/>
    </row>
    <row r="244" spans="16:25">
      <c r="P244" s="603"/>
      <c r="Q244" s="788"/>
      <c r="R244" s="788"/>
      <c r="S244" s="788"/>
      <c r="T244" s="788"/>
      <c r="U244" s="788"/>
      <c r="V244" s="788"/>
      <c r="W244" s="788"/>
      <c r="X244" s="788"/>
      <c r="Y244" s="788"/>
    </row>
    <row r="245" spans="16:25">
      <c r="P245" s="603"/>
      <c r="Q245" s="788"/>
      <c r="R245" s="788"/>
      <c r="S245" s="788"/>
      <c r="T245" s="788"/>
      <c r="U245" s="788"/>
      <c r="V245" s="788"/>
      <c r="W245" s="788"/>
      <c r="X245" s="788"/>
      <c r="Y245" s="788"/>
    </row>
    <row r="246" spans="16:25">
      <c r="P246" s="603"/>
      <c r="Q246" s="788"/>
      <c r="R246" s="788"/>
      <c r="S246" s="792"/>
      <c r="T246" s="788"/>
      <c r="U246" s="788"/>
      <c r="V246" s="788"/>
      <c r="W246" s="788"/>
      <c r="X246" s="788"/>
      <c r="Y246" s="788"/>
    </row>
    <row r="247" spans="16:25">
      <c r="P247" s="603"/>
      <c r="Q247" s="788"/>
      <c r="R247" s="788"/>
      <c r="S247" s="792"/>
      <c r="T247" s="788"/>
      <c r="U247" s="788"/>
      <c r="V247" s="788"/>
      <c r="W247" s="788"/>
      <c r="X247" s="788"/>
      <c r="Y247" s="788"/>
    </row>
    <row r="248" spans="16:25">
      <c r="P248" s="603"/>
      <c r="Q248" s="788"/>
      <c r="R248" s="788"/>
      <c r="S248" s="792"/>
      <c r="T248" s="788"/>
      <c r="U248" s="788"/>
      <c r="V248" s="788"/>
      <c r="W248" s="788"/>
      <c r="X248" s="788"/>
      <c r="Y248" s="788"/>
    </row>
    <row r="249" spans="16:25">
      <c r="P249" s="603"/>
      <c r="Q249" s="788"/>
      <c r="R249" s="788"/>
      <c r="S249" s="792"/>
      <c r="T249" s="788"/>
      <c r="U249" s="788"/>
      <c r="V249" s="788"/>
      <c r="W249" s="788"/>
      <c r="X249" s="788"/>
      <c r="Y249" s="788"/>
    </row>
    <row r="250" spans="16:25">
      <c r="P250" s="603"/>
      <c r="Q250" s="788"/>
      <c r="R250" s="788"/>
      <c r="S250" s="792"/>
      <c r="T250" s="788"/>
      <c r="U250" s="788"/>
      <c r="V250" s="788"/>
      <c r="W250" s="788"/>
      <c r="X250" s="788"/>
      <c r="Y250" s="788"/>
    </row>
    <row r="251" spans="16:25">
      <c r="P251" s="603"/>
      <c r="Q251" s="788"/>
      <c r="R251" s="788"/>
      <c r="S251" s="788"/>
      <c r="T251" s="788"/>
      <c r="U251" s="788"/>
      <c r="V251" s="788"/>
      <c r="W251" s="788"/>
      <c r="X251" s="788"/>
      <c r="Y251" s="788"/>
    </row>
    <row r="252" spans="16:25">
      <c r="P252" s="603"/>
      <c r="Q252" s="788"/>
      <c r="R252" s="788"/>
      <c r="S252" s="788"/>
      <c r="T252" s="788"/>
      <c r="U252" s="788"/>
      <c r="V252" s="788"/>
      <c r="W252" s="788"/>
      <c r="X252" s="788"/>
      <c r="Y252" s="788"/>
    </row>
    <row r="253" spans="16:25">
      <c r="P253" s="603"/>
      <c r="Q253" s="788"/>
      <c r="R253" s="788"/>
      <c r="S253" s="788"/>
      <c r="T253" s="788"/>
      <c r="U253" s="788"/>
      <c r="V253" s="788"/>
      <c r="W253" s="788"/>
      <c r="X253" s="788"/>
      <c r="Y253" s="788"/>
    </row>
    <row r="254" spans="16:25">
      <c r="P254" s="603"/>
      <c r="Q254" s="788"/>
      <c r="R254" s="788"/>
      <c r="S254" s="788"/>
      <c r="T254" s="788"/>
      <c r="U254" s="788"/>
      <c r="V254" s="788"/>
      <c r="W254" s="788"/>
      <c r="X254" s="788"/>
      <c r="Y254" s="788"/>
    </row>
    <row r="255" spans="16:25">
      <c r="P255" s="603"/>
      <c r="Q255" s="788"/>
      <c r="R255" s="788"/>
      <c r="S255" s="788"/>
      <c r="T255" s="788"/>
      <c r="U255" s="788"/>
      <c r="V255" s="788"/>
      <c r="W255" s="788"/>
      <c r="X255" s="788"/>
      <c r="Y255" s="788"/>
    </row>
    <row r="256" spans="16:25">
      <c r="P256" s="603"/>
      <c r="Q256" s="788"/>
      <c r="R256" s="788"/>
      <c r="S256" s="788"/>
      <c r="T256" s="788"/>
      <c r="U256" s="788"/>
      <c r="V256" s="788"/>
      <c r="W256" s="788"/>
      <c r="X256" s="788"/>
      <c r="Y256" s="788"/>
    </row>
    <row r="257" spans="16:25">
      <c r="P257" s="603"/>
      <c r="Q257" s="788"/>
      <c r="R257" s="788"/>
      <c r="S257" s="788"/>
      <c r="T257" s="788"/>
      <c r="U257" s="788"/>
      <c r="V257" s="788"/>
      <c r="W257" s="788"/>
      <c r="X257" s="788"/>
      <c r="Y257" s="788"/>
    </row>
    <row r="258" spans="16:25">
      <c r="P258" s="603"/>
      <c r="Q258" s="788"/>
      <c r="R258" s="788"/>
      <c r="S258" s="788"/>
      <c r="T258" s="788"/>
      <c r="U258" s="788"/>
      <c r="V258" s="788"/>
      <c r="W258" s="788"/>
      <c r="X258" s="788"/>
      <c r="Y258" s="788"/>
    </row>
    <row r="259" spans="16:25">
      <c r="P259" s="603"/>
      <c r="Q259" s="788"/>
      <c r="R259" s="788"/>
      <c r="S259" s="788"/>
      <c r="T259" s="788"/>
      <c r="U259" s="788"/>
      <c r="V259" s="788"/>
      <c r="W259" s="788"/>
      <c r="X259" s="788"/>
      <c r="Y259" s="788"/>
    </row>
    <row r="260" spans="16:25">
      <c r="P260" s="603"/>
      <c r="Q260" s="788"/>
      <c r="R260" s="788"/>
      <c r="S260" s="788"/>
      <c r="T260" s="788"/>
      <c r="U260" s="788"/>
      <c r="V260" s="788"/>
      <c r="W260" s="788"/>
      <c r="X260" s="788"/>
      <c r="Y260" s="788"/>
    </row>
    <row r="261" spans="16:25">
      <c r="P261" s="603"/>
      <c r="Q261" s="788"/>
      <c r="R261" s="788"/>
      <c r="S261" s="788"/>
      <c r="T261" s="788"/>
      <c r="U261" s="788"/>
      <c r="V261" s="788"/>
      <c r="W261" s="788"/>
      <c r="X261" s="788"/>
      <c r="Y261" s="788"/>
    </row>
    <row r="262" spans="16:25">
      <c r="P262" s="603"/>
      <c r="Q262" s="788"/>
      <c r="R262" s="788"/>
      <c r="S262" s="788"/>
      <c r="T262" s="788"/>
      <c r="U262" s="788"/>
      <c r="V262" s="788"/>
      <c r="W262" s="788"/>
      <c r="X262" s="788"/>
      <c r="Y262" s="788"/>
    </row>
    <row r="263" spans="16:25">
      <c r="P263" s="603"/>
      <c r="Q263" s="788"/>
      <c r="R263" s="788"/>
      <c r="S263" s="788"/>
      <c r="T263" s="788"/>
      <c r="U263" s="788"/>
      <c r="V263" s="788"/>
      <c r="W263" s="788"/>
      <c r="X263" s="788"/>
      <c r="Y263" s="788"/>
    </row>
    <row r="264" spans="16:25">
      <c r="P264" s="603"/>
      <c r="Q264" s="788"/>
      <c r="R264" s="788"/>
      <c r="S264" s="788"/>
      <c r="T264" s="788"/>
      <c r="U264" s="788"/>
      <c r="V264" s="788"/>
      <c r="W264" s="788"/>
      <c r="X264" s="788"/>
      <c r="Y264" s="788"/>
    </row>
    <row r="265" spans="16:25">
      <c r="P265" s="603"/>
      <c r="Q265" s="788"/>
      <c r="R265" s="788"/>
      <c r="S265" s="788"/>
      <c r="T265" s="788"/>
      <c r="U265" s="788"/>
      <c r="V265" s="788"/>
      <c r="W265" s="788"/>
      <c r="X265" s="788"/>
      <c r="Y265" s="788"/>
    </row>
    <row r="266" spans="16:25">
      <c r="P266" s="603"/>
      <c r="Q266" s="788"/>
      <c r="R266" s="788"/>
      <c r="S266" s="788"/>
      <c r="T266" s="788"/>
      <c r="U266" s="788"/>
      <c r="V266" s="788"/>
      <c r="W266" s="788"/>
      <c r="X266" s="788"/>
      <c r="Y266" s="788"/>
    </row>
    <row r="267" spans="16:25">
      <c r="P267" s="603"/>
      <c r="Q267" s="788"/>
      <c r="R267" s="788"/>
      <c r="S267" s="788"/>
      <c r="T267" s="788"/>
      <c r="U267" s="788"/>
      <c r="V267" s="788"/>
      <c r="W267" s="788"/>
      <c r="X267" s="788"/>
      <c r="Y267" s="788"/>
    </row>
    <row r="268" spans="16:25">
      <c r="P268" s="603"/>
      <c r="Q268" s="788"/>
      <c r="R268" s="788"/>
      <c r="S268" s="788"/>
      <c r="T268" s="788"/>
      <c r="U268" s="788"/>
      <c r="V268" s="788"/>
      <c r="W268" s="788"/>
      <c r="X268" s="788"/>
      <c r="Y268" s="788"/>
    </row>
    <row r="269" spans="16:25">
      <c r="P269" s="603"/>
      <c r="Q269" s="788"/>
      <c r="R269" s="788"/>
      <c r="S269" s="788"/>
      <c r="T269" s="788"/>
      <c r="U269" s="788"/>
      <c r="V269" s="788"/>
      <c r="W269" s="788"/>
      <c r="X269" s="788"/>
      <c r="Y269" s="788"/>
    </row>
    <row r="270" spans="16:25">
      <c r="P270" s="603"/>
      <c r="Q270" s="788"/>
      <c r="R270" s="788"/>
      <c r="S270" s="788"/>
      <c r="T270" s="788"/>
      <c r="U270" s="788"/>
      <c r="V270" s="788"/>
      <c r="W270" s="788"/>
      <c r="X270" s="788"/>
      <c r="Y270" s="788"/>
    </row>
    <row r="271" spans="16:25">
      <c r="P271" s="603"/>
      <c r="Q271" s="788"/>
      <c r="R271" s="788"/>
      <c r="S271" s="788"/>
      <c r="T271" s="788"/>
      <c r="U271" s="788"/>
      <c r="V271" s="788"/>
      <c r="W271" s="788"/>
      <c r="X271" s="788"/>
      <c r="Y271" s="788"/>
    </row>
    <row r="272" spans="16:25">
      <c r="P272" s="603"/>
    </row>
  </sheetData>
  <mergeCells count="3">
    <mergeCell ref="A65:L65"/>
    <mergeCell ref="A40:L40"/>
    <mergeCell ref="A18:L18"/>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B18" sqref="M18"/>
    </sheetView>
  </sheetViews>
  <sheetFormatPr baseColWidth="10"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506" customWidth="1"/>
    <col min="12" max="12" width="9.33203125" style="692"/>
    <col min="13" max="13" width="20.5" style="534" customWidth="1"/>
    <col min="14" max="15" width="9.33203125" style="277"/>
    <col min="16" max="19" width="9.33203125" style="692"/>
    <col min="20" max="21" width="9.33203125" style="566"/>
  </cols>
  <sheetData>
    <row r="1" spans="1:15" ht="11.25" customHeight="1"/>
    <row r="2" spans="1:15" ht="11.25" customHeight="1">
      <c r="A2" s="877" t="s">
        <v>443</v>
      </c>
      <c r="B2" s="877"/>
      <c r="C2" s="877"/>
      <c r="D2" s="877"/>
      <c r="E2" s="877"/>
      <c r="F2" s="877"/>
      <c r="G2" s="877"/>
      <c r="H2" s="877"/>
      <c r="I2" s="877"/>
      <c r="J2" s="877"/>
      <c r="K2" s="877"/>
    </row>
    <row r="3" spans="1:15" ht="11.25" customHeight="1">
      <c r="A3" s="18"/>
      <c r="B3" s="18"/>
      <c r="C3" s="18"/>
      <c r="D3" s="18"/>
      <c r="E3" s="18"/>
      <c r="F3" s="18"/>
      <c r="G3" s="18"/>
      <c r="H3" s="18"/>
      <c r="I3" s="18"/>
      <c r="J3" s="524"/>
      <c r="K3" s="524"/>
      <c r="L3" s="694"/>
    </row>
    <row r="4" spans="1:15" ht="11.25" customHeight="1">
      <c r="A4" s="863" t="s">
        <v>382</v>
      </c>
      <c r="B4" s="863"/>
      <c r="C4" s="863"/>
      <c r="D4" s="863"/>
      <c r="E4" s="863"/>
      <c r="F4" s="863"/>
      <c r="G4" s="863"/>
      <c r="H4" s="863"/>
      <c r="I4" s="183"/>
      <c r="J4" s="525"/>
      <c r="L4" s="694"/>
    </row>
    <row r="5" spans="1:15" ht="7.5" customHeight="1">
      <c r="A5" s="184"/>
      <c r="B5" s="184"/>
      <c r="C5" s="184"/>
      <c r="D5" s="184"/>
      <c r="E5" s="184"/>
      <c r="F5" s="184"/>
      <c r="G5" s="184"/>
      <c r="H5" s="184"/>
      <c r="I5" s="184"/>
      <c r="J5" s="526"/>
      <c r="L5" s="755"/>
    </row>
    <row r="6" spans="1:15" ht="11.25" customHeight="1">
      <c r="A6" s="184"/>
      <c r="B6" s="188" t="s">
        <v>383</v>
      </c>
      <c r="C6" s="184"/>
      <c r="D6" s="184"/>
      <c r="E6" s="184"/>
      <c r="F6" s="184"/>
      <c r="G6" s="184"/>
      <c r="H6" s="184"/>
      <c r="I6" s="184"/>
      <c r="J6" s="526"/>
      <c r="L6" s="756"/>
    </row>
    <row r="7" spans="1:15" ht="7.5" customHeight="1">
      <c r="A7" s="184"/>
      <c r="B7" s="185"/>
      <c r="C7" s="184"/>
      <c r="D7" s="184"/>
      <c r="E7" s="184"/>
      <c r="F7" s="184"/>
      <c r="G7" s="184"/>
      <c r="H7" s="184"/>
      <c r="I7" s="184"/>
      <c r="J7" s="526"/>
      <c r="L7" s="757"/>
    </row>
    <row r="8" spans="1:15" ht="21" customHeight="1">
      <c r="A8" s="184"/>
      <c r="B8" s="380" t="s">
        <v>164</v>
      </c>
      <c r="C8" s="381" t="s">
        <v>165</v>
      </c>
      <c r="D8" s="381" t="s">
        <v>166</v>
      </c>
      <c r="E8" s="381" t="s">
        <v>168</v>
      </c>
      <c r="F8" s="381" t="s">
        <v>167</v>
      </c>
      <c r="G8" s="382" t="s">
        <v>169</v>
      </c>
      <c r="H8" s="180"/>
      <c r="I8" s="180"/>
      <c r="J8" s="527"/>
      <c r="L8" s="758"/>
      <c r="M8" s="535" t="s">
        <v>165</v>
      </c>
      <c r="N8" s="567" t="str">
        <f>M8&amp;"
 ("&amp;ROUND(HLOOKUP(M8,$C$8:$G$9,2,0),2)&amp;" USD/MWh)"</f>
        <v>PIURA OESTE 220
 (32,54 USD/MWh)</v>
      </c>
    </row>
    <row r="9" spans="1:15" ht="18" customHeight="1">
      <c r="A9" s="184"/>
      <c r="B9" s="383" t="s">
        <v>170</v>
      </c>
      <c r="C9" s="266">
        <v>32.541394326769705</v>
      </c>
      <c r="D9" s="266">
        <v>32.297631257433977</v>
      </c>
      <c r="E9" s="266">
        <v>31.8975303238322</v>
      </c>
      <c r="F9" s="266">
        <v>31.701616914889829</v>
      </c>
      <c r="G9" s="266">
        <v>31.834028928234744</v>
      </c>
      <c r="H9" s="180"/>
      <c r="I9" s="180"/>
      <c r="J9" s="527"/>
      <c r="K9" s="527"/>
      <c r="L9" s="758"/>
      <c r="M9" s="535" t="s">
        <v>166</v>
      </c>
      <c r="N9" s="567" t="str">
        <f>M9&amp;"
("&amp;ROUND(HLOOKUP(M9,$C$8:$G$9,2,0),2)&amp;" USD/MWh)"</f>
        <v>CHICLAYO 220
(32,3 USD/MWh)</v>
      </c>
    </row>
    <row r="10" spans="1:15" ht="14.25" customHeight="1">
      <c r="A10" s="184"/>
      <c r="B10" s="901" t="str">
        <f>"Cuadro N°11: Valor de los costos marginales medios registrados en las principales barras del área norte durante el mes de "&amp;'1. Resumen'!Q4</f>
        <v>Cuadro N°11: Valor de los costos marginales medios registrados en las principales barras del área norte durante el mes de junio</v>
      </c>
      <c r="C10" s="901"/>
      <c r="D10" s="901"/>
      <c r="E10" s="901"/>
      <c r="F10" s="901"/>
      <c r="G10" s="901"/>
      <c r="H10" s="901"/>
      <c r="I10" s="901"/>
      <c r="J10" s="527"/>
      <c r="K10" s="527"/>
      <c r="L10" s="758"/>
      <c r="M10" s="535" t="s">
        <v>168</v>
      </c>
      <c r="N10" s="567" t="str">
        <f>M10&amp;"
("&amp;ROUND(HLOOKUP(M10,$C$8:$G$9,2,0),2)&amp;" USD/MWh)"</f>
        <v>TRUJILLO 220
(31,9 USD/MWh)</v>
      </c>
    </row>
    <row r="11" spans="1:15" ht="11.25" customHeight="1">
      <c r="A11" s="184"/>
      <c r="B11" s="191"/>
      <c r="C11" s="180"/>
      <c r="D11" s="180"/>
      <c r="E11" s="180"/>
      <c r="F11" s="180"/>
      <c r="G11" s="180"/>
      <c r="H11" s="180"/>
      <c r="I11" s="180"/>
      <c r="J11" s="527"/>
      <c r="K11" s="527"/>
      <c r="L11" s="758"/>
      <c r="M11" s="535" t="s">
        <v>167</v>
      </c>
      <c r="N11" s="567" t="str">
        <f>M11&amp;"
("&amp;ROUND(HLOOKUP(M11,$C$8:$G$9,2,0),2)&amp;" USD/MWh)"</f>
        <v>CHIMBOTE1 138
(31,7 USD/MWh)</v>
      </c>
    </row>
    <row r="12" spans="1:15" ht="11.25" customHeight="1">
      <c r="A12" s="184"/>
      <c r="B12" s="180"/>
      <c r="C12" s="180"/>
      <c r="D12" s="180"/>
      <c r="E12" s="180"/>
      <c r="F12" s="180"/>
      <c r="G12" s="180"/>
      <c r="H12" s="180"/>
      <c r="I12" s="180"/>
      <c r="J12" s="527"/>
      <c r="K12" s="527"/>
      <c r="L12" s="759"/>
      <c r="M12" s="535" t="s">
        <v>169</v>
      </c>
      <c r="N12" s="567" t="str">
        <f>M12&amp;"
("&amp;ROUND(HLOOKUP(M12,$C$8:$G$9,2,0),2)&amp;" USD/MWh)"</f>
        <v>CAJAMARCA 220
(31,83 USD/MWh)</v>
      </c>
    </row>
    <row r="13" spans="1:15" ht="11.25" customHeight="1">
      <c r="A13" s="184"/>
      <c r="B13" s="180"/>
      <c r="C13" s="180"/>
      <c r="D13" s="180"/>
      <c r="E13" s="180"/>
      <c r="F13" s="180"/>
      <c r="G13" s="180"/>
      <c r="H13" s="180"/>
      <c r="I13" s="180"/>
      <c r="J13" s="527"/>
      <c r="K13" s="527"/>
      <c r="L13" s="758"/>
      <c r="M13" s="535"/>
      <c r="N13" s="567"/>
      <c r="O13" s="535"/>
    </row>
    <row r="14" spans="1:15" ht="11.25" customHeight="1">
      <c r="A14" s="184"/>
      <c r="B14" s="180"/>
      <c r="C14" s="180"/>
      <c r="D14" s="180"/>
      <c r="E14" s="180"/>
      <c r="F14" s="180"/>
      <c r="G14" s="180"/>
      <c r="H14" s="180"/>
      <c r="I14" s="180"/>
      <c r="J14" s="527"/>
      <c r="K14" s="527"/>
      <c r="L14" s="758"/>
      <c r="M14" s="535" t="s">
        <v>437</v>
      </c>
      <c r="N14" s="567" t="str">
        <f>M14&amp;"
("&amp;ROUND(HLOOKUP(M14,$C$26:$I$27,2,0),2)&amp;" USD/MWh)"</f>
        <v>CHAVARRIA 220
(30,72 USD/MWh)</v>
      </c>
    </row>
    <row r="15" spans="1:15" ht="11.25" customHeight="1">
      <c r="A15" s="184"/>
      <c r="B15" s="180"/>
      <c r="C15" s="180"/>
      <c r="D15" s="180"/>
      <c r="E15" s="180"/>
      <c r="F15" s="180"/>
      <c r="G15" s="180"/>
      <c r="H15" s="180"/>
      <c r="I15" s="180"/>
      <c r="J15" s="527"/>
      <c r="K15" s="527"/>
      <c r="L15" s="758"/>
      <c r="M15" s="535" t="s">
        <v>173</v>
      </c>
      <c r="N15" s="567" t="str">
        <f t="shared" ref="N15:N20" si="0">M15&amp;"
("&amp;ROUND(HLOOKUP(M15,$C$26:$I$27,2,0),2)&amp;" USD/MWh)"</f>
        <v>INDEPENDENCIA 220
(30,92 USD/MWh)</v>
      </c>
    </row>
    <row r="16" spans="1:15" ht="11.25" customHeight="1">
      <c r="A16" s="184"/>
      <c r="B16" s="180"/>
      <c r="C16" s="180"/>
      <c r="D16" s="180"/>
      <c r="E16" s="180"/>
      <c r="F16" s="180"/>
      <c r="G16" s="180"/>
      <c r="H16" s="180"/>
      <c r="I16" s="180"/>
      <c r="J16" s="527"/>
      <c r="K16" s="527"/>
      <c r="L16" s="758"/>
      <c r="M16" s="535" t="s">
        <v>174</v>
      </c>
      <c r="N16" s="567" t="str">
        <f t="shared" si="0"/>
        <v>CARABAYLLO 220
(30,8 USD/MWh)</v>
      </c>
    </row>
    <row r="17" spans="1:14" ht="11.25" customHeight="1">
      <c r="A17" s="184"/>
      <c r="B17" s="180"/>
      <c r="C17" s="180"/>
      <c r="D17" s="180"/>
      <c r="E17" s="180"/>
      <c r="F17" s="180"/>
      <c r="G17" s="180"/>
      <c r="H17" s="180"/>
      <c r="I17" s="180"/>
      <c r="J17" s="527"/>
      <c r="K17" s="527"/>
      <c r="L17" s="758"/>
      <c r="M17" s="535" t="s">
        <v>171</v>
      </c>
      <c r="N17" s="567" t="str">
        <f t="shared" si="0"/>
        <v>SANTA ROSA 220
(30,67 USD/MWh)</v>
      </c>
    </row>
    <row r="18" spans="1:14" ht="11.25" customHeight="1">
      <c r="A18" s="184"/>
      <c r="B18" s="180"/>
      <c r="C18" s="180"/>
      <c r="D18" s="180"/>
      <c r="E18" s="180"/>
      <c r="F18" s="180"/>
      <c r="G18" s="180"/>
      <c r="H18" s="180"/>
      <c r="I18" s="180"/>
      <c r="J18" s="527"/>
      <c r="K18" s="527"/>
      <c r="L18" s="758"/>
      <c r="M18" s="535" t="s">
        <v>172</v>
      </c>
      <c r="N18" s="567" t="str">
        <f t="shared" si="0"/>
        <v>SAN JUAN 220
(30,42 USD/MWh)</v>
      </c>
    </row>
    <row r="19" spans="1:14" ht="11.25" customHeight="1">
      <c r="A19" s="184"/>
      <c r="B19" s="180"/>
      <c r="C19" s="180"/>
      <c r="D19" s="180"/>
      <c r="E19" s="180"/>
      <c r="F19" s="180"/>
      <c r="G19" s="180"/>
      <c r="H19" s="180"/>
      <c r="I19" s="180"/>
      <c r="J19" s="527"/>
      <c r="K19" s="527"/>
      <c r="L19" s="760"/>
      <c r="M19" s="535" t="s">
        <v>175</v>
      </c>
      <c r="N19" s="567" t="str">
        <f t="shared" si="0"/>
        <v>POMACOCHA 220
(30,19 USD/MWh)</v>
      </c>
    </row>
    <row r="20" spans="1:14" ht="11.25" customHeight="1">
      <c r="A20" s="184"/>
      <c r="B20" s="190"/>
      <c r="C20" s="190"/>
      <c r="D20" s="190"/>
      <c r="E20" s="190"/>
      <c r="F20" s="190"/>
      <c r="G20" s="180"/>
      <c r="H20" s="180"/>
      <c r="I20" s="180"/>
      <c r="J20" s="527"/>
      <c r="K20" s="527"/>
      <c r="L20" s="758"/>
      <c r="M20" s="535" t="s">
        <v>176</v>
      </c>
      <c r="N20" s="567" t="str">
        <f t="shared" si="0"/>
        <v>OROYA NUEVA 50
(30,03 USD/MWh)</v>
      </c>
    </row>
    <row r="21" spans="1:14" ht="11.25" customHeight="1">
      <c r="A21" s="184"/>
      <c r="B21" s="902" t="str">
        <f>"Gráfico N°20: Costos marginales medios registrados en las principales barras del área norte durante el mes de "&amp;'1. Resumen'!Q4</f>
        <v>Gráfico N°20: Costos marginales medios registrados en las principales barras del área norte durante el mes de junio</v>
      </c>
      <c r="C21" s="902"/>
      <c r="D21" s="902"/>
      <c r="E21" s="902"/>
      <c r="F21" s="902"/>
      <c r="G21" s="902"/>
      <c r="H21" s="902"/>
      <c r="I21" s="902"/>
      <c r="J21" s="527"/>
      <c r="K21" s="527"/>
      <c r="L21" s="758"/>
      <c r="M21" s="535"/>
      <c r="N21" s="567"/>
    </row>
    <row r="22" spans="1:14" ht="7.5" customHeight="1">
      <c r="A22" s="184"/>
      <c r="B22" s="186"/>
      <c r="C22" s="186"/>
      <c r="D22" s="186"/>
      <c r="E22" s="186"/>
      <c r="F22" s="186"/>
      <c r="G22" s="184"/>
      <c r="H22" s="184"/>
      <c r="I22" s="184"/>
      <c r="J22" s="526"/>
      <c r="K22" s="526"/>
      <c r="L22" s="756"/>
      <c r="M22" s="535"/>
      <c r="N22" s="567"/>
    </row>
    <row r="23" spans="1:14" ht="11.25" customHeight="1">
      <c r="A23" s="184"/>
      <c r="B23" s="186"/>
      <c r="C23" s="186"/>
      <c r="D23" s="186"/>
      <c r="E23" s="186"/>
      <c r="F23" s="186"/>
      <c r="G23" s="184"/>
      <c r="H23" s="184"/>
      <c r="I23" s="184"/>
      <c r="J23" s="526"/>
      <c r="K23" s="526"/>
      <c r="L23" s="761"/>
      <c r="M23" s="535" t="s">
        <v>177</v>
      </c>
      <c r="N23" s="567" t="str">
        <f t="shared" ref="N23:N29" si="1">M23&amp;"
("&amp;ROUND(HLOOKUP(M23,$C$45:$I$46,2,0),2)&amp;" USD/MWh)"</f>
        <v>TINTAYA NUEVA 220
(34,24 USD/MWh)</v>
      </c>
    </row>
    <row r="24" spans="1:14" ht="11.25" customHeight="1">
      <c r="A24" s="184"/>
      <c r="B24" s="189" t="s">
        <v>384</v>
      </c>
      <c r="C24" s="186"/>
      <c r="D24" s="186"/>
      <c r="E24" s="186"/>
      <c r="F24" s="186"/>
      <c r="G24" s="184"/>
      <c r="H24" s="184"/>
      <c r="I24" s="184"/>
      <c r="J24" s="526"/>
      <c r="K24" s="526"/>
      <c r="L24" s="756"/>
      <c r="M24" s="535" t="s">
        <v>178</v>
      </c>
      <c r="N24" s="567" t="str">
        <f t="shared" si="1"/>
        <v>PUNO 138
(33,49 USD/MWh)</v>
      </c>
    </row>
    <row r="25" spans="1:14" ht="6.75" customHeight="1">
      <c r="A25" s="184"/>
      <c r="B25" s="186"/>
      <c r="C25" s="186"/>
      <c r="D25" s="186"/>
      <c r="E25" s="186"/>
      <c r="F25" s="186"/>
      <c r="G25" s="184"/>
      <c r="H25" s="184"/>
      <c r="I25" s="184"/>
      <c r="J25" s="526"/>
      <c r="K25" s="526"/>
      <c r="L25" s="756"/>
      <c r="M25" s="535" t="s">
        <v>179</v>
      </c>
      <c r="N25" s="567" t="str">
        <f t="shared" si="1"/>
        <v>SOCABAYA 220
(32,98 USD/MWh)</v>
      </c>
    </row>
    <row r="26" spans="1:14" ht="25.5" customHeight="1">
      <c r="A26" s="184"/>
      <c r="B26" s="384" t="s">
        <v>164</v>
      </c>
      <c r="C26" s="381" t="s">
        <v>437</v>
      </c>
      <c r="D26" s="381" t="s">
        <v>171</v>
      </c>
      <c r="E26" s="381" t="s">
        <v>174</v>
      </c>
      <c r="F26" s="381" t="s">
        <v>172</v>
      </c>
      <c r="G26" s="381" t="s">
        <v>173</v>
      </c>
      <c r="H26" s="381" t="s">
        <v>175</v>
      </c>
      <c r="I26" s="382" t="s">
        <v>176</v>
      </c>
      <c r="J26" s="529"/>
      <c r="K26" s="527"/>
      <c r="L26" s="758"/>
      <c r="M26" s="535" t="s">
        <v>180</v>
      </c>
      <c r="N26" s="567" t="str">
        <f t="shared" si="1"/>
        <v>MOQUEGUA 138
(32,96 USD/MWh)</v>
      </c>
    </row>
    <row r="27" spans="1:14" ht="18" customHeight="1">
      <c r="A27" s="184"/>
      <c r="B27" s="385" t="s">
        <v>170</v>
      </c>
      <c r="C27" s="266">
        <v>30.721363980454022</v>
      </c>
      <c r="D27" s="266">
        <v>30.669383802038141</v>
      </c>
      <c r="E27" s="266">
        <v>30.802189293769867</v>
      </c>
      <c r="F27" s="266">
        <v>30.42329627610977</v>
      </c>
      <c r="G27" s="266">
        <v>30.922477239084706</v>
      </c>
      <c r="H27" s="266">
        <v>30.194752031839197</v>
      </c>
      <c r="I27" s="266">
        <v>30.031918477843043</v>
      </c>
      <c r="J27" s="530"/>
      <c r="K27" s="527"/>
      <c r="L27" s="758"/>
      <c r="M27" s="535" t="s">
        <v>181</v>
      </c>
      <c r="N27" s="567" t="str">
        <f t="shared" si="1"/>
        <v>DOLORESPATA 138
(31,62 USD/MWh)</v>
      </c>
    </row>
    <row r="28" spans="1:14" ht="19.5" customHeight="1">
      <c r="A28" s="184"/>
      <c r="B28" s="903" t="str">
        <f>"Cuadro N°12: Valor de los costos marginales medios registrados en las principales barras del área centro durante el mes de "&amp;'1. Resumen'!Q4</f>
        <v>Cuadro N°12: Valor de los costos marginales medios registrados en las principales barras del área centro durante el mes de junio</v>
      </c>
      <c r="C28" s="903"/>
      <c r="D28" s="903"/>
      <c r="E28" s="903"/>
      <c r="F28" s="903"/>
      <c r="G28" s="903"/>
      <c r="H28" s="903"/>
      <c r="I28" s="903"/>
      <c r="J28" s="527"/>
      <c r="K28" s="527"/>
      <c r="L28" s="758"/>
      <c r="M28" s="535" t="s">
        <v>182</v>
      </c>
      <c r="N28" s="567" t="str">
        <f t="shared" si="1"/>
        <v>COTARUSE 220
(31,35 USD/MWh)</v>
      </c>
    </row>
    <row r="29" spans="1:14" ht="11.25" customHeight="1">
      <c r="A29" s="184"/>
      <c r="B29" s="190"/>
      <c r="C29" s="190"/>
      <c r="D29" s="190"/>
      <c r="E29" s="190"/>
      <c r="F29" s="190"/>
      <c r="G29" s="190"/>
      <c r="H29" s="190"/>
      <c r="I29" s="190"/>
      <c r="J29" s="531"/>
      <c r="K29" s="531"/>
      <c r="L29" s="758"/>
      <c r="M29" s="535" t="s">
        <v>183</v>
      </c>
      <c r="N29" s="567" t="str">
        <f t="shared" si="1"/>
        <v>SAN GABAN 138
(32,14 USD/MWh)</v>
      </c>
    </row>
    <row r="30" spans="1:14" ht="11.25" customHeight="1">
      <c r="A30" s="184"/>
      <c r="B30" s="190"/>
      <c r="C30" s="190"/>
      <c r="D30" s="190"/>
      <c r="E30" s="190"/>
      <c r="F30" s="190"/>
      <c r="G30" s="190"/>
      <c r="H30" s="190"/>
      <c r="I30" s="190"/>
      <c r="J30" s="531"/>
      <c r="K30" s="531"/>
      <c r="L30" s="758"/>
      <c r="M30" s="535"/>
      <c r="N30" s="568"/>
    </row>
    <row r="31" spans="1:14" ht="11.25" customHeight="1">
      <c r="A31" s="184"/>
      <c r="B31" s="190"/>
      <c r="C31" s="190"/>
      <c r="D31" s="190"/>
      <c r="E31" s="190"/>
      <c r="F31" s="190"/>
      <c r="G31" s="190"/>
      <c r="H31" s="190"/>
      <c r="I31" s="190"/>
      <c r="J31" s="531"/>
      <c r="K31" s="531"/>
      <c r="L31" s="758"/>
      <c r="M31" s="535"/>
      <c r="N31" s="568"/>
    </row>
    <row r="32" spans="1:14" ht="11.25" customHeight="1">
      <c r="A32" s="184"/>
      <c r="B32" s="190"/>
      <c r="C32" s="190"/>
      <c r="D32" s="190"/>
      <c r="E32" s="190"/>
      <c r="F32" s="190"/>
      <c r="G32" s="190"/>
      <c r="H32" s="190"/>
      <c r="I32" s="190"/>
      <c r="J32" s="531"/>
      <c r="K32" s="531"/>
      <c r="L32" s="758"/>
      <c r="M32" s="535"/>
    </row>
    <row r="33" spans="1:12" ht="11.25" customHeight="1">
      <c r="A33" s="184"/>
      <c r="B33" s="190"/>
      <c r="C33" s="190"/>
      <c r="D33" s="190"/>
      <c r="E33" s="190"/>
      <c r="F33" s="190"/>
      <c r="G33" s="190"/>
      <c r="H33" s="190"/>
      <c r="I33" s="190"/>
      <c r="J33" s="531"/>
      <c r="K33" s="531"/>
      <c r="L33" s="758"/>
    </row>
    <row r="34" spans="1:12" ht="11.25" customHeight="1">
      <c r="A34" s="184"/>
      <c r="B34" s="190"/>
      <c r="C34" s="190"/>
      <c r="D34" s="190"/>
      <c r="E34" s="190"/>
      <c r="F34" s="190"/>
      <c r="G34" s="190"/>
      <c r="H34" s="190"/>
      <c r="I34" s="190"/>
      <c r="J34" s="531"/>
      <c r="K34" s="531"/>
      <c r="L34" s="758"/>
    </row>
    <row r="35" spans="1:12" ht="11.25" customHeight="1">
      <c r="A35" s="184"/>
      <c r="B35" s="190"/>
      <c r="C35" s="190"/>
      <c r="D35" s="190"/>
      <c r="E35" s="190"/>
      <c r="F35" s="190"/>
      <c r="G35" s="190"/>
      <c r="H35" s="190"/>
      <c r="I35" s="190"/>
      <c r="J35" s="531"/>
      <c r="K35" s="531"/>
      <c r="L35" s="754"/>
    </row>
    <row r="36" spans="1:12" ht="11.25" customHeight="1">
      <c r="A36" s="184"/>
      <c r="B36" s="190"/>
      <c r="C36" s="190"/>
      <c r="D36" s="190"/>
      <c r="E36" s="190"/>
      <c r="F36" s="190"/>
      <c r="G36" s="190"/>
      <c r="H36" s="190"/>
      <c r="I36" s="190"/>
      <c r="J36" s="531"/>
      <c r="K36" s="531"/>
      <c r="L36" s="758"/>
    </row>
    <row r="37" spans="1:12" ht="11.25" customHeight="1">
      <c r="A37" s="184"/>
      <c r="B37" s="190"/>
      <c r="C37" s="190"/>
      <c r="D37" s="190"/>
      <c r="E37" s="190"/>
      <c r="F37" s="190"/>
      <c r="G37" s="190"/>
      <c r="H37" s="190"/>
      <c r="I37" s="190"/>
      <c r="J37" s="531"/>
      <c r="K37" s="531"/>
      <c r="L37" s="758"/>
    </row>
    <row r="38" spans="1:12" ht="11.25" customHeight="1">
      <c r="A38" s="184"/>
      <c r="B38" s="190"/>
      <c r="C38" s="190"/>
      <c r="D38" s="190"/>
      <c r="E38" s="190"/>
      <c r="F38" s="190"/>
      <c r="G38" s="190"/>
      <c r="H38" s="190"/>
      <c r="I38" s="190"/>
      <c r="J38" s="531"/>
      <c r="K38" s="531"/>
      <c r="L38" s="758"/>
    </row>
    <row r="39" spans="1:12" ht="11.25" customHeight="1">
      <c r="A39" s="184"/>
      <c r="B39" s="190"/>
      <c r="C39" s="190"/>
      <c r="D39" s="190"/>
      <c r="E39" s="190"/>
      <c r="F39" s="190"/>
      <c r="G39" s="190"/>
      <c r="H39" s="190"/>
      <c r="I39" s="190"/>
      <c r="J39" s="531"/>
      <c r="K39" s="531"/>
      <c r="L39" s="758"/>
    </row>
    <row r="40" spans="1:12" ht="13.5" customHeight="1">
      <c r="A40" s="184"/>
      <c r="B40" s="901" t="str">
        <f>"Gráfico N°21: Costos marginales medios registrados en las principales barras del área centro durante el mes de "&amp;'1. Resumen'!Q4</f>
        <v>Gráfico N°21: Costos marginales medios registrados en las principales barras del área centro durante el mes de junio</v>
      </c>
      <c r="C40" s="901"/>
      <c r="D40" s="901"/>
      <c r="E40" s="901"/>
      <c r="F40" s="901"/>
      <c r="G40" s="901"/>
      <c r="H40" s="901"/>
      <c r="I40" s="901"/>
      <c r="J40" s="531"/>
      <c r="K40" s="531"/>
      <c r="L40" s="758"/>
    </row>
    <row r="41" spans="1:12" ht="6.75" customHeight="1">
      <c r="A41" s="184"/>
      <c r="B41" s="190"/>
      <c r="C41" s="190"/>
      <c r="D41" s="190"/>
      <c r="E41" s="190"/>
      <c r="F41" s="190"/>
      <c r="G41" s="190"/>
      <c r="H41" s="190"/>
      <c r="I41" s="190"/>
      <c r="J41" s="531"/>
      <c r="K41" s="531"/>
      <c r="L41" s="758"/>
    </row>
    <row r="42" spans="1:12" ht="8.25" customHeight="1">
      <c r="A42" s="184"/>
      <c r="B42" s="186"/>
      <c r="C42" s="186"/>
      <c r="D42" s="186"/>
      <c r="E42" s="186"/>
      <c r="F42" s="186"/>
      <c r="G42" s="186"/>
      <c r="H42" s="186"/>
      <c r="I42" s="186"/>
      <c r="J42" s="532"/>
      <c r="K42" s="532"/>
      <c r="L42" s="762"/>
    </row>
    <row r="43" spans="1:12" ht="11.25" customHeight="1">
      <c r="A43" s="184"/>
      <c r="B43" s="189" t="s">
        <v>385</v>
      </c>
      <c r="C43" s="186"/>
      <c r="D43" s="186"/>
      <c r="E43" s="186"/>
      <c r="F43" s="186"/>
      <c r="G43" s="186"/>
      <c r="H43" s="186"/>
      <c r="I43" s="186"/>
      <c r="J43" s="532"/>
      <c r="K43" s="532"/>
      <c r="L43" s="762"/>
    </row>
    <row r="44" spans="1:12" ht="6.75" customHeight="1">
      <c r="A44" s="184"/>
      <c r="B44" s="186"/>
      <c r="C44" s="186"/>
      <c r="D44" s="186"/>
      <c r="E44" s="186"/>
      <c r="F44" s="186"/>
      <c r="G44" s="186"/>
      <c r="H44" s="186"/>
      <c r="I44" s="186"/>
      <c r="J44" s="532"/>
      <c r="K44" s="532"/>
      <c r="L44" s="762"/>
    </row>
    <row r="45" spans="1:12" ht="27" customHeight="1">
      <c r="A45" s="184"/>
      <c r="B45" s="384" t="s">
        <v>164</v>
      </c>
      <c r="C45" s="381" t="s">
        <v>177</v>
      </c>
      <c r="D45" s="381" t="s">
        <v>179</v>
      </c>
      <c r="E45" s="381" t="s">
        <v>180</v>
      </c>
      <c r="F45" s="381" t="s">
        <v>178</v>
      </c>
      <c r="G45" s="381" t="s">
        <v>181</v>
      </c>
      <c r="H45" s="381" t="s">
        <v>182</v>
      </c>
      <c r="I45" s="382" t="s">
        <v>183</v>
      </c>
      <c r="J45" s="529"/>
      <c r="K45" s="531"/>
    </row>
    <row r="46" spans="1:12" ht="18.75" customHeight="1">
      <c r="A46" s="184"/>
      <c r="B46" s="385" t="s">
        <v>170</v>
      </c>
      <c r="C46" s="266">
        <v>34.237239759754857</v>
      </c>
      <c r="D46" s="266">
        <v>32.976456538656812</v>
      </c>
      <c r="E46" s="266">
        <v>32.958359352154083</v>
      </c>
      <c r="F46" s="266">
        <v>33.486919389868063</v>
      </c>
      <c r="G46" s="266">
        <v>31.621832365462776</v>
      </c>
      <c r="H46" s="266">
        <v>31.346898569952113</v>
      </c>
      <c r="I46" s="266">
        <v>32.139279440999438</v>
      </c>
      <c r="J46" s="530"/>
      <c r="K46" s="531"/>
    </row>
    <row r="47" spans="1:12" ht="18" customHeight="1">
      <c r="A47" s="184"/>
      <c r="B47" s="903" t="str">
        <f>"Cuadro N°13: Valor de los costos marginales medios registrados en las principales barras del área sur durante el mes de "&amp;'1. Resumen'!Q4</f>
        <v>Cuadro N°13: Valor de los costos marginales medios registrados en las principales barras del área sur durante el mes de junio</v>
      </c>
      <c r="C47" s="903"/>
      <c r="D47" s="903"/>
      <c r="E47" s="903"/>
      <c r="F47" s="903"/>
      <c r="G47" s="903"/>
      <c r="H47" s="903"/>
      <c r="I47" s="903"/>
      <c r="J47" s="530"/>
      <c r="K47" s="531"/>
    </row>
    <row r="48" spans="1:12" ht="12.75">
      <c r="A48" s="184"/>
      <c r="B48" s="190"/>
      <c r="C48" s="190"/>
      <c r="D48" s="190"/>
      <c r="E48" s="190"/>
      <c r="F48" s="190"/>
      <c r="G48" s="180"/>
      <c r="H48" s="180"/>
      <c r="I48" s="180"/>
      <c r="J48" s="527"/>
      <c r="K48" s="531"/>
    </row>
    <row r="49" spans="1:11" ht="12.75">
      <c r="A49" s="184"/>
      <c r="B49" s="180"/>
      <c r="C49" s="180"/>
      <c r="D49" s="180"/>
      <c r="E49" s="180"/>
      <c r="F49" s="180"/>
      <c r="G49" s="180"/>
      <c r="H49" s="180"/>
      <c r="I49" s="180"/>
      <c r="J49" s="527"/>
      <c r="K49" s="531"/>
    </row>
    <row r="50" spans="1:11" ht="12.75">
      <c r="A50" s="184"/>
      <c r="B50" s="111"/>
      <c r="C50" s="111"/>
      <c r="D50" s="111"/>
      <c r="E50" s="111"/>
      <c r="F50" s="111"/>
      <c r="G50" s="111"/>
      <c r="H50" s="111"/>
      <c r="I50" s="111"/>
      <c r="J50" s="533"/>
      <c r="K50" s="531"/>
    </row>
    <row r="51" spans="1:11" ht="12.75">
      <c r="A51" s="184"/>
      <c r="B51" s="111"/>
      <c r="C51" s="111"/>
      <c r="D51" s="111"/>
      <c r="E51" s="111"/>
      <c r="F51" s="111"/>
      <c r="G51" s="111"/>
      <c r="H51" s="111"/>
      <c r="I51" s="111"/>
      <c r="J51" s="533"/>
      <c r="K51" s="531"/>
    </row>
    <row r="52" spans="1:11" ht="12.75">
      <c r="A52" s="184"/>
      <c r="B52" s="111"/>
      <c r="C52" s="111"/>
      <c r="D52" s="111"/>
      <c r="E52" s="111"/>
      <c r="F52" s="111"/>
      <c r="G52" s="111"/>
      <c r="H52" s="111"/>
      <c r="I52" s="111"/>
      <c r="J52" s="533"/>
      <c r="K52" s="531"/>
    </row>
    <row r="53" spans="1:11" ht="12.75">
      <c r="A53" s="184"/>
      <c r="B53" s="111"/>
      <c r="C53" s="111"/>
      <c r="D53" s="111"/>
      <c r="E53" s="111"/>
      <c r="F53" s="111"/>
      <c r="G53" s="111"/>
      <c r="H53" s="111"/>
      <c r="I53" s="111"/>
      <c r="J53" s="533"/>
      <c r="K53" s="531"/>
    </row>
    <row r="54" spans="1:11" ht="12.75">
      <c r="A54" s="184"/>
      <c r="B54" s="111"/>
      <c r="C54" s="111"/>
      <c r="D54" s="111"/>
      <c r="E54" s="111"/>
      <c r="F54" s="111"/>
      <c r="G54" s="111"/>
      <c r="H54" s="111"/>
      <c r="I54" s="111"/>
      <c r="J54" s="533"/>
      <c r="K54" s="531"/>
    </row>
    <row r="55" spans="1:11" ht="12.75">
      <c r="A55" s="184"/>
      <c r="B55" s="111"/>
      <c r="C55" s="111"/>
      <c r="D55" s="111"/>
      <c r="E55" s="111"/>
      <c r="F55" s="111"/>
      <c r="G55" s="111"/>
      <c r="H55" s="111"/>
      <c r="I55" s="111"/>
      <c r="J55" s="533"/>
      <c r="K55" s="531"/>
    </row>
    <row r="56" spans="1:11" ht="12.75">
      <c r="A56" s="184"/>
      <c r="B56" s="180"/>
      <c r="C56" s="180"/>
      <c r="D56" s="180"/>
      <c r="E56" s="180"/>
      <c r="F56" s="180"/>
      <c r="G56" s="180"/>
      <c r="H56" s="180"/>
      <c r="I56" s="180"/>
      <c r="J56" s="527"/>
      <c r="K56" s="531"/>
    </row>
    <row r="57" spans="1:11" ht="12.75">
      <c r="A57" s="184"/>
      <c r="B57" s="180"/>
      <c r="C57" s="180"/>
      <c r="D57" s="180"/>
      <c r="E57" s="180"/>
      <c r="F57" s="180"/>
      <c r="G57" s="180"/>
      <c r="H57" s="180"/>
      <c r="I57" s="180"/>
      <c r="J57" s="527"/>
      <c r="K57" s="531"/>
    </row>
    <row r="58" spans="1:11" ht="12.75">
      <c r="A58" s="184"/>
      <c r="B58" s="901" t="str">
        <f>"Gráfico N°22: Costos marginales medios registrados en las principales barras del área sur durante el mes de "&amp;'1. Resumen'!Q4</f>
        <v>Gráfico N°22: Costos marginales medios registrados en las principales barras del área sur durante el mes de junio</v>
      </c>
      <c r="C58" s="901"/>
      <c r="D58" s="901"/>
      <c r="E58" s="901"/>
      <c r="F58" s="901"/>
      <c r="G58" s="901"/>
      <c r="H58" s="901"/>
      <c r="I58" s="901"/>
      <c r="J58" s="527"/>
      <c r="K58" s="531"/>
    </row>
    <row r="59" spans="1:11" ht="12.75">
      <c r="A59" s="74"/>
      <c r="B59" s="136"/>
      <c r="C59" s="136"/>
      <c r="D59" s="136"/>
      <c r="E59" s="136"/>
      <c r="F59" s="136"/>
      <c r="G59" s="136"/>
      <c r="H59" s="180"/>
      <c r="I59" s="180"/>
      <c r="J59" s="527"/>
      <c r="K59" s="531"/>
    </row>
  </sheetData>
  <mergeCells count="8">
    <mergeCell ref="B58:I58"/>
    <mergeCell ref="B21:I21"/>
    <mergeCell ref="B10:I10"/>
    <mergeCell ref="A2:K2"/>
    <mergeCell ref="A4:H4"/>
    <mergeCell ref="B28:I28"/>
    <mergeCell ref="B47:I47"/>
    <mergeCell ref="B40:I4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15" workbookViewId="0">
      <selection activeCell="B18" sqref="M18"/>
    </sheetView>
  </sheetViews>
  <sheetFormatPr baseColWidth="10"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863" t="s">
        <v>387</v>
      </c>
      <c r="B2" s="863"/>
      <c r="C2" s="863"/>
      <c r="D2" s="863"/>
      <c r="E2" s="863"/>
      <c r="F2" s="863"/>
      <c r="G2" s="863"/>
      <c r="H2" s="863"/>
      <c r="I2" s="863"/>
      <c r="J2" s="863"/>
      <c r="K2" s="863"/>
      <c r="L2" s="863"/>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7"/>
  <sheetViews>
    <sheetView showGridLines="0" view="pageLayout" zoomScaleNormal="100" zoomScaleSheetLayoutView="100" workbookViewId="0">
      <selection activeCell="B18" sqref="M18"/>
    </sheetView>
  </sheetViews>
  <sheetFormatPr baseColWidth="10" defaultColWidth="9.33203125" defaultRowHeight="11.25"/>
  <cols>
    <col min="1" max="1" width="12.83203125" style="46" customWidth="1"/>
    <col min="2" max="2" width="19.33203125" style="46" customWidth="1"/>
    <col min="3" max="3" width="25.6640625" style="46" customWidth="1"/>
    <col min="4" max="6" width="11.5" style="46" customWidth="1"/>
    <col min="7" max="7" width="10.83203125" style="46" customWidth="1"/>
    <col min="8" max="8" width="11.5" style="46" customWidth="1"/>
    <col min="9" max="9" width="9.33203125" style="46"/>
    <col min="10" max="11" width="9.33203125" style="46" customWidth="1"/>
    <col min="12" max="16384" width="9.33203125" style="46"/>
  </cols>
  <sheetData>
    <row r="1" spans="1:12" ht="4.5" customHeight="1"/>
    <row r="2" spans="1:12" ht="14.25" customHeight="1">
      <c r="A2" s="904" t="s">
        <v>386</v>
      </c>
      <c r="B2" s="904"/>
      <c r="C2" s="904"/>
      <c r="D2" s="904"/>
      <c r="E2" s="904"/>
      <c r="F2" s="904"/>
      <c r="G2" s="904"/>
      <c r="H2" s="904"/>
      <c r="I2" s="203"/>
      <c r="J2" s="203"/>
      <c r="K2" s="203"/>
    </row>
    <row r="3" spans="1:12" ht="3" customHeight="1">
      <c r="A3" s="77"/>
      <c r="B3" s="77"/>
      <c r="C3" s="77"/>
      <c r="D3" s="77"/>
      <c r="E3" s="77"/>
      <c r="F3" s="77"/>
      <c r="G3" s="77"/>
      <c r="H3" s="77"/>
      <c r="I3" s="204"/>
      <c r="J3" s="204"/>
      <c r="K3" s="204"/>
      <c r="L3" s="36"/>
    </row>
    <row r="4" spans="1:12" ht="15" customHeight="1">
      <c r="A4" s="895" t="s">
        <v>434</v>
      </c>
      <c r="B4" s="895"/>
      <c r="C4" s="895"/>
      <c r="D4" s="895"/>
      <c r="E4" s="895"/>
      <c r="F4" s="895"/>
      <c r="G4" s="895"/>
      <c r="H4" s="895"/>
      <c r="I4" s="195"/>
      <c r="J4" s="195"/>
      <c r="K4" s="195"/>
      <c r="L4" s="36"/>
    </row>
    <row r="5" spans="1:12" ht="11.25" customHeight="1">
      <c r="A5" s="77"/>
      <c r="B5" s="164"/>
      <c r="C5" s="78"/>
      <c r="D5" s="79"/>
      <c r="E5" s="79"/>
      <c r="F5" s="80"/>
      <c r="G5" s="76"/>
      <c r="H5" s="76"/>
      <c r="I5" s="196"/>
      <c r="J5" s="196"/>
      <c r="K5" s="196"/>
      <c r="L5" s="205"/>
    </row>
    <row r="6" spans="1:12" ht="30.75" customHeight="1">
      <c r="A6" s="406" t="s">
        <v>184</v>
      </c>
      <c r="B6" s="404" t="s">
        <v>185</v>
      </c>
      <c r="C6" s="404" t="s">
        <v>186</v>
      </c>
      <c r="D6" s="403" t="str">
        <f>UPPER('1. Resumen'!Q4)&amp;"
 "&amp;'1. Resumen'!Q5</f>
        <v>JUNIO
 2022</v>
      </c>
      <c r="E6" s="403" t="str">
        <f>UPPER('1. Resumen'!Q4)&amp;"
 "&amp;'1. Resumen'!Q5-1</f>
        <v>JUNIO
 2021</v>
      </c>
      <c r="F6" s="403" t="str">
        <f>UPPER('1. Resumen'!Q4)&amp;"
 "&amp;'1. Resumen'!Q5-2</f>
        <v>JUNIO
 2020</v>
      </c>
      <c r="G6" s="404" t="s">
        <v>556</v>
      </c>
      <c r="H6" s="405" t="s">
        <v>468</v>
      </c>
      <c r="I6" s="196"/>
      <c r="J6" s="196"/>
      <c r="K6" s="196"/>
      <c r="L6" s="166"/>
    </row>
    <row r="7" spans="1:12" ht="19.5" customHeight="1">
      <c r="A7" s="796" t="s">
        <v>583</v>
      </c>
      <c r="B7" s="597" t="s">
        <v>584</v>
      </c>
      <c r="C7" s="598" t="s">
        <v>585</v>
      </c>
      <c r="D7" s="599"/>
      <c r="E7" s="599">
        <v>11.93333333333333</v>
      </c>
      <c r="F7" s="599"/>
      <c r="G7" s="600"/>
      <c r="H7" s="600"/>
      <c r="I7" s="196"/>
      <c r="J7" s="196"/>
      <c r="K7" s="196"/>
      <c r="L7" s="58"/>
    </row>
    <row r="8" spans="1:12" ht="19.5" customHeight="1">
      <c r="A8" s="905" t="s">
        <v>187</v>
      </c>
      <c r="B8" s="597" t="s">
        <v>586</v>
      </c>
      <c r="C8" s="598" t="s">
        <v>587</v>
      </c>
      <c r="D8" s="599"/>
      <c r="E8" s="599">
        <v>7.5499999999999989</v>
      </c>
      <c r="F8" s="599"/>
      <c r="G8" s="600"/>
      <c r="H8" s="600"/>
      <c r="I8" s="196"/>
      <c r="J8" s="196"/>
      <c r="K8" s="196"/>
      <c r="L8" s="58"/>
    </row>
    <row r="9" spans="1:12" ht="19.5" customHeight="1">
      <c r="A9" s="906"/>
      <c r="B9" s="597" t="s">
        <v>588</v>
      </c>
      <c r="C9" s="598" t="s">
        <v>589</v>
      </c>
      <c r="D9" s="599"/>
      <c r="E9" s="599">
        <v>7.5499999999999989</v>
      </c>
      <c r="F9" s="599"/>
      <c r="G9" s="600"/>
      <c r="H9" s="600"/>
      <c r="I9" s="196"/>
      <c r="J9" s="196"/>
      <c r="K9" s="196"/>
      <c r="L9" s="58"/>
    </row>
    <row r="10" spans="1:12" ht="19.5" customHeight="1">
      <c r="A10" s="906"/>
      <c r="B10" s="597" t="s">
        <v>590</v>
      </c>
      <c r="C10" s="598" t="s">
        <v>591</v>
      </c>
      <c r="D10" s="599"/>
      <c r="E10" s="599">
        <v>4.2333333333333325</v>
      </c>
      <c r="F10" s="599"/>
      <c r="G10" s="600"/>
      <c r="H10" s="600"/>
      <c r="I10" s="196"/>
      <c r="J10" s="196"/>
      <c r="K10" s="196"/>
      <c r="L10" s="58"/>
    </row>
    <row r="11" spans="1:12" ht="19.5" customHeight="1">
      <c r="A11" s="906"/>
      <c r="B11" s="597" t="s">
        <v>545</v>
      </c>
      <c r="C11" s="598" t="s">
        <v>546</v>
      </c>
      <c r="D11" s="599"/>
      <c r="E11" s="599">
        <v>34.466666666666661</v>
      </c>
      <c r="F11" s="599">
        <v>12.883333333333335</v>
      </c>
      <c r="G11" s="600"/>
      <c r="H11" s="600">
        <f t="shared" ref="H11" si="0">+E11/F11</f>
        <v>2.6752910737386797</v>
      </c>
      <c r="I11" s="196"/>
      <c r="J11" s="196"/>
      <c r="K11" s="196"/>
      <c r="L11" s="58"/>
    </row>
    <row r="12" spans="1:12" ht="19.5" customHeight="1">
      <c r="A12" s="906"/>
      <c r="B12" s="597" t="s">
        <v>592</v>
      </c>
      <c r="C12" s="598" t="s">
        <v>593</v>
      </c>
      <c r="D12" s="599">
        <v>114.86666666666669</v>
      </c>
      <c r="E12" s="599"/>
      <c r="F12" s="599"/>
      <c r="G12" s="600"/>
      <c r="H12" s="600"/>
      <c r="I12" s="196"/>
      <c r="J12" s="196"/>
      <c r="K12" s="196"/>
      <c r="L12" s="58"/>
    </row>
    <row r="13" spans="1:12" ht="18.75" customHeight="1">
      <c r="A13" s="397" t="s">
        <v>188</v>
      </c>
      <c r="B13" s="398"/>
      <c r="C13" s="399"/>
      <c r="D13" s="400">
        <f>SUM(D7:D12)</f>
        <v>114.86666666666669</v>
      </c>
      <c r="E13" s="400">
        <f>SUM(E7:E12)</f>
        <v>65.73333333333332</v>
      </c>
      <c r="F13" s="400">
        <f>SUM(F7:F12)</f>
        <v>12.883333333333335</v>
      </c>
      <c r="G13" s="562"/>
      <c r="H13" s="562"/>
      <c r="I13" s="196"/>
      <c r="J13" s="196"/>
      <c r="K13" s="197"/>
      <c r="L13" s="206"/>
    </row>
    <row r="14" spans="1:12" ht="11.25" customHeight="1">
      <c r="A14" s="264" t="str">
        <f>"Cuadro N° 14: Horas de operación de los principales equipos de congestión en "&amp;'1. Resumen'!Q4</f>
        <v>Cuadro N° 14: Horas de operación de los principales equipos de congestión en junio</v>
      </c>
      <c r="B14" s="208"/>
      <c r="C14" s="209"/>
      <c r="D14" s="210"/>
      <c r="E14" s="210"/>
      <c r="F14" s="211"/>
      <c r="G14" s="76"/>
      <c r="H14" s="82"/>
      <c r="I14" s="196"/>
      <c r="J14" s="196"/>
      <c r="K14" s="197"/>
      <c r="L14" s="206"/>
    </row>
    <row r="15" spans="1:12" ht="11.25" customHeight="1">
      <c r="A15" s="137"/>
      <c r="B15" s="208"/>
      <c r="C15" s="209"/>
      <c r="D15" s="210"/>
      <c r="E15" s="210"/>
      <c r="F15" s="211"/>
      <c r="G15" s="76"/>
      <c r="H15" s="76"/>
      <c r="I15" s="196"/>
      <c r="J15" s="196"/>
      <c r="K15" s="197"/>
      <c r="L15" s="206"/>
    </row>
    <row r="16" spans="1:12" ht="11.25" customHeight="1">
      <c r="A16" s="137"/>
      <c r="B16" s="208"/>
      <c r="C16" s="209"/>
      <c r="D16" s="210"/>
      <c r="E16" s="210"/>
      <c r="F16" s="211"/>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7"/>
      <c r="L19" s="207"/>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6"/>
      <c r="L22" s="58"/>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77"/>
      <c r="C30" s="77"/>
      <c r="D30" s="77"/>
      <c r="E30" s="77"/>
      <c r="F30" s="77"/>
      <c r="G30" s="77"/>
      <c r="H30" s="77"/>
      <c r="I30" s="196"/>
      <c r="J30" s="196"/>
      <c r="K30" s="198"/>
      <c r="L30" s="206"/>
    </row>
    <row r="31" spans="1:12" ht="11.25" customHeight="1">
      <c r="A31" s="77"/>
      <c r="B31" s="77"/>
      <c r="C31" s="77"/>
      <c r="D31" s="77"/>
      <c r="E31" s="77"/>
      <c r="F31" s="77"/>
      <c r="G31" s="77"/>
      <c r="H31" s="77"/>
      <c r="I31" s="196"/>
      <c r="J31" s="196"/>
      <c r="K31" s="198"/>
      <c r="L31" s="206"/>
    </row>
    <row r="32" spans="1:12" ht="11.25" customHeight="1">
      <c r="A32" s="77"/>
      <c r="B32" s="77"/>
      <c r="C32" s="77"/>
      <c r="D32" s="77"/>
      <c r="E32" s="77"/>
      <c r="F32" s="77"/>
      <c r="G32" s="77"/>
      <c r="H32" s="77"/>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8"/>
      <c r="L40" s="206"/>
    </row>
    <row r="41" spans="1:12" ht="11.25" customHeight="1">
      <c r="A41" s="77"/>
      <c r="B41" s="77"/>
      <c r="C41" s="77"/>
      <c r="D41" s="77"/>
      <c r="E41" s="77"/>
      <c r="F41" s="77"/>
      <c r="G41" s="77"/>
      <c r="H41" s="77"/>
      <c r="I41" s="196"/>
      <c r="J41" s="196"/>
      <c r="K41" s="198"/>
      <c r="L41" s="206"/>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8.25" customHeight="1">
      <c r="A50" s="77"/>
      <c r="B50" s="77"/>
      <c r="C50" s="77"/>
      <c r="D50" s="77"/>
      <c r="E50" s="77"/>
      <c r="F50" s="77"/>
      <c r="G50" s="77"/>
      <c r="H50" s="77"/>
      <c r="I50" s="196"/>
      <c r="J50" s="196"/>
      <c r="K50" s="199"/>
      <c r="L50" s="59"/>
    </row>
    <row r="51" spans="1:12" ht="24.75" customHeight="1">
      <c r="A51" s="77"/>
      <c r="B51" s="77"/>
      <c r="C51" s="77"/>
      <c r="D51" s="77"/>
      <c r="E51" s="77"/>
      <c r="F51" s="77"/>
      <c r="G51" s="77"/>
      <c r="H51" s="77"/>
      <c r="I51" s="196"/>
      <c r="J51" s="196"/>
      <c r="K51" s="199"/>
      <c r="L51" s="59"/>
    </row>
    <row r="52" spans="1:12" ht="11.25" customHeight="1">
      <c r="A52" s="77"/>
      <c r="B52" s="77"/>
      <c r="C52" s="77"/>
      <c r="D52" s="77"/>
      <c r="E52" s="77"/>
      <c r="F52" s="77"/>
      <c r="G52" s="77"/>
      <c r="H52" s="77"/>
      <c r="I52" s="196"/>
      <c r="J52" s="196"/>
      <c r="K52" s="199"/>
      <c r="L52" s="59"/>
    </row>
    <row r="53" spans="1:12" ht="11.25" customHeight="1">
      <c r="A53" s="77"/>
      <c r="B53" s="77"/>
      <c r="C53" s="77"/>
      <c r="D53" s="77"/>
      <c r="E53" s="77"/>
      <c r="F53" s="77"/>
      <c r="G53" s="77"/>
      <c r="H53" s="77"/>
      <c r="I53" s="196"/>
      <c r="J53" s="196"/>
      <c r="K53" s="199"/>
      <c r="L53" s="59"/>
    </row>
    <row r="54" spans="1:12" ht="11.25" customHeight="1">
      <c r="A54" s="77"/>
      <c r="B54" s="77"/>
      <c r="C54" s="77"/>
      <c r="D54" s="77"/>
      <c r="E54" s="77"/>
      <c r="F54" s="77"/>
      <c r="G54" s="77"/>
      <c r="H54" s="77"/>
      <c r="I54" s="196"/>
      <c r="J54" s="196"/>
      <c r="K54" s="199"/>
      <c r="L54" s="59"/>
    </row>
    <row r="55" spans="1:12" ht="12.75">
      <c r="B55" s="77"/>
      <c r="C55" s="77"/>
      <c r="D55" s="77"/>
      <c r="E55" s="77"/>
      <c r="F55" s="77"/>
      <c r="G55" s="77"/>
      <c r="H55" s="77"/>
      <c r="I55" s="111"/>
      <c r="J55" s="111"/>
      <c r="K55" s="198"/>
    </row>
    <row r="56" spans="1:12" ht="12.75">
      <c r="A56" s="77"/>
      <c r="B56" s="77"/>
      <c r="C56" s="77"/>
      <c r="D56" s="77"/>
      <c r="E56" s="77"/>
      <c r="F56" s="77"/>
      <c r="G56" s="77"/>
      <c r="H56" s="77"/>
      <c r="I56" s="197"/>
      <c r="J56" s="197"/>
      <c r="K56" s="198"/>
    </row>
    <row r="57" spans="1:12">
      <c r="A57" s="264" t="str">
        <f>"Gráfico N° 23: Comparación de las horas de operación de los principales equipos de congestión en "&amp;'1. Resumen'!Q4&amp;"."</f>
        <v>Gráfico N° 23: Comparación de las horas de operación de los principales equipos de congestión en junio.</v>
      </c>
      <c r="B57" s="31"/>
      <c r="C57" s="31"/>
      <c r="D57" s="31"/>
      <c r="E57" s="31"/>
      <c r="F57" s="31"/>
      <c r="G57" s="31"/>
      <c r="H57" s="197"/>
      <c r="I57" s="197"/>
      <c r="J57" s="197"/>
      <c r="K57" s="197"/>
    </row>
  </sheetData>
  <mergeCells count="3">
    <mergeCell ref="A4:H4"/>
    <mergeCell ref="A2:H2"/>
    <mergeCell ref="A8:A1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4"/>
  <sheetViews>
    <sheetView showGridLines="0" view="pageBreakPreview" zoomScale="130" zoomScaleNormal="160" zoomScaleSheetLayoutView="130" zoomScalePageLayoutView="130" workbookViewId="0">
      <selection activeCell="B18" sqref="M18"/>
    </sheetView>
  </sheetViews>
  <sheetFormatPr baseColWidth="10"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09" t="s">
        <v>414</v>
      </c>
      <c r="B2" s="909"/>
      <c r="C2" s="909"/>
      <c r="D2" s="909"/>
      <c r="E2" s="909"/>
      <c r="F2" s="909"/>
      <c r="G2" s="909"/>
      <c r="H2" s="909"/>
      <c r="I2" s="909"/>
      <c r="J2" s="909"/>
      <c r="K2" s="163"/>
    </row>
    <row r="3" spans="1:12" ht="6.75" customHeight="1">
      <c r="A3" s="17"/>
      <c r="B3" s="159"/>
      <c r="C3" s="212"/>
      <c r="D3" s="18"/>
      <c r="E3" s="18"/>
      <c r="F3" s="192"/>
      <c r="G3" s="66"/>
      <c r="H3" s="66"/>
      <c r="I3" s="71"/>
      <c r="J3" s="163"/>
      <c r="K3" s="163"/>
      <c r="L3" s="36"/>
    </row>
    <row r="4" spans="1:12" ht="15" customHeight="1">
      <c r="A4" s="910" t="s">
        <v>433</v>
      </c>
      <c r="B4" s="910"/>
      <c r="C4" s="910"/>
      <c r="D4" s="910"/>
      <c r="E4" s="910"/>
      <c r="F4" s="910"/>
      <c r="G4" s="910"/>
      <c r="H4" s="910"/>
      <c r="I4" s="910"/>
      <c r="J4" s="910"/>
      <c r="K4" s="163"/>
      <c r="L4" s="36"/>
    </row>
    <row r="5" spans="1:12" ht="38.25" customHeight="1">
      <c r="A5" s="907" t="s">
        <v>189</v>
      </c>
      <c r="B5" s="407" t="s">
        <v>190</v>
      </c>
      <c r="C5" s="408" t="s">
        <v>191</v>
      </c>
      <c r="D5" s="408" t="s">
        <v>192</v>
      </c>
      <c r="E5" s="408" t="s">
        <v>193</v>
      </c>
      <c r="F5" s="408" t="s">
        <v>194</v>
      </c>
      <c r="G5" s="408" t="s">
        <v>195</v>
      </c>
      <c r="H5" s="408" t="s">
        <v>196</v>
      </c>
      <c r="I5" s="409" t="s">
        <v>197</v>
      </c>
      <c r="J5" s="410" t="s">
        <v>198</v>
      </c>
      <c r="K5" s="131"/>
    </row>
    <row r="6" spans="1:12" ht="11.25" customHeight="1">
      <c r="A6" s="908"/>
      <c r="B6" s="546" t="s">
        <v>199</v>
      </c>
      <c r="C6" s="409" t="s">
        <v>200</v>
      </c>
      <c r="D6" s="409" t="s">
        <v>201</v>
      </c>
      <c r="E6" s="409" t="s">
        <v>202</v>
      </c>
      <c r="F6" s="409" t="s">
        <v>203</v>
      </c>
      <c r="G6" s="409" t="s">
        <v>204</v>
      </c>
      <c r="H6" s="409" t="s">
        <v>205</v>
      </c>
      <c r="I6" s="547"/>
      <c r="J6" s="548" t="s">
        <v>206</v>
      </c>
      <c r="K6" s="19"/>
    </row>
    <row r="7" spans="1:12" ht="12.75" customHeight="1">
      <c r="A7" s="552" t="s">
        <v>536</v>
      </c>
      <c r="B7" s="553">
        <v>4</v>
      </c>
      <c r="C7" s="553">
        <v>1</v>
      </c>
      <c r="D7" s="553">
        <v>3</v>
      </c>
      <c r="E7" s="553"/>
      <c r="F7" s="553">
        <v>2</v>
      </c>
      <c r="G7" s="553"/>
      <c r="H7" s="553">
        <v>3</v>
      </c>
      <c r="I7" s="554">
        <f>+SUM(B7:H7)</f>
        <v>13</v>
      </c>
      <c r="J7" s="555">
        <v>78.11</v>
      </c>
      <c r="K7" s="22"/>
    </row>
    <row r="8" spans="1:12" s="557" customFormat="1" ht="12.75" customHeight="1">
      <c r="A8" s="606" t="s">
        <v>570</v>
      </c>
      <c r="B8" s="607"/>
      <c r="C8" s="607"/>
      <c r="D8" s="607">
        <v>1</v>
      </c>
      <c r="E8" s="607"/>
      <c r="F8" s="607">
        <v>1</v>
      </c>
      <c r="G8" s="607"/>
      <c r="H8" s="607"/>
      <c r="I8" s="554">
        <f t="shared" ref="I8:I10" si="0">+SUM(B8:H8)</f>
        <v>2</v>
      </c>
      <c r="J8" s="608">
        <v>13.41</v>
      </c>
      <c r="K8" s="22"/>
    </row>
    <row r="9" spans="1:12" s="557" customFormat="1" ht="18.75" customHeight="1">
      <c r="A9" s="606" t="s">
        <v>664</v>
      </c>
      <c r="B9" s="607"/>
      <c r="C9" s="607"/>
      <c r="D9" s="607">
        <v>1</v>
      </c>
      <c r="E9" s="607"/>
      <c r="F9" s="607"/>
      <c r="G9" s="607"/>
      <c r="H9" s="607"/>
      <c r="I9" s="554">
        <f t="shared" si="0"/>
        <v>1</v>
      </c>
      <c r="J9" s="608">
        <v>16.29</v>
      </c>
      <c r="K9" s="22"/>
    </row>
    <row r="10" spans="1:12" s="557" customFormat="1" ht="21.75" customHeight="1">
      <c r="A10" s="606" t="s">
        <v>665</v>
      </c>
      <c r="B10" s="607"/>
      <c r="C10" s="607"/>
      <c r="D10" s="607">
        <v>1</v>
      </c>
      <c r="E10" s="607"/>
      <c r="F10" s="607"/>
      <c r="G10" s="607"/>
      <c r="H10" s="607"/>
      <c r="I10" s="554">
        <f t="shared" si="0"/>
        <v>1</v>
      </c>
      <c r="J10" s="608">
        <v>83.58</v>
      </c>
      <c r="K10" s="22"/>
    </row>
    <row r="11" spans="1:12" ht="14.25" customHeight="1">
      <c r="A11" s="551" t="s">
        <v>197</v>
      </c>
      <c r="B11" s="549">
        <f t="shared" ref="B11:H11" si="1">+SUM(B7:B10)</f>
        <v>4</v>
      </c>
      <c r="C11" s="549">
        <f t="shared" si="1"/>
        <v>1</v>
      </c>
      <c r="D11" s="549">
        <f t="shared" si="1"/>
        <v>6</v>
      </c>
      <c r="E11" s="549">
        <f t="shared" si="1"/>
        <v>0</v>
      </c>
      <c r="F11" s="549">
        <f t="shared" si="1"/>
        <v>3</v>
      </c>
      <c r="G11" s="549">
        <f t="shared" si="1"/>
        <v>0</v>
      </c>
      <c r="H11" s="549">
        <f t="shared" si="1"/>
        <v>3</v>
      </c>
      <c r="I11" s="549">
        <f>SUM(I7:I10)</f>
        <v>17</v>
      </c>
      <c r="J11" s="549">
        <f>SUM(J7:J10)</f>
        <v>191.39</v>
      </c>
      <c r="K11" s="22"/>
    </row>
    <row r="12" spans="1:12" ht="11.25" customHeight="1">
      <c r="A12" s="91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junio 2022</v>
      </c>
      <c r="B12" s="911"/>
      <c r="C12" s="911"/>
      <c r="D12" s="911"/>
      <c r="E12" s="911"/>
      <c r="F12" s="911"/>
      <c r="G12" s="911"/>
      <c r="H12" s="911"/>
      <c r="I12" s="911"/>
      <c r="J12" s="911"/>
      <c r="K12" s="22"/>
    </row>
    <row r="13" spans="1:12" ht="11.25" customHeight="1">
      <c r="K13" s="22"/>
    </row>
    <row r="14" spans="1:12" ht="11.25" customHeight="1">
      <c r="A14" s="17"/>
      <c r="B14" s="214"/>
      <c r="C14" s="213"/>
      <c r="D14" s="213"/>
      <c r="E14" s="213"/>
      <c r="F14" s="213"/>
      <c r="G14" s="178"/>
      <c r="H14" s="178"/>
      <c r="I14" s="138"/>
      <c r="J14" s="25"/>
      <c r="K14" s="25"/>
      <c r="L14" s="22"/>
    </row>
    <row r="15" spans="1:12" ht="11.25" customHeight="1">
      <c r="A15" s="915" t="str">
        <f>"FALLAS  POR TIPO DE CAUSA  -  "&amp;UPPER('1. Resumen'!Q4)&amp;" "&amp;'1. Resumen'!Q5</f>
        <v>FALLAS  POR TIPO DE CAUSA  -  JUNIO 2022</v>
      </c>
      <c r="B15" s="915"/>
      <c r="C15" s="915"/>
      <c r="D15" s="915"/>
      <c r="E15" s="915" t="str">
        <f>"FALLAS  POR TIPO DE EQUIPO  -  "&amp;UPPER('1. Resumen'!Q4)&amp;" "&amp;'1. Resumen'!Q5</f>
        <v>FALLAS  POR TIPO DE EQUIPO  -  JUNIO 2022</v>
      </c>
      <c r="F15" s="915"/>
      <c r="G15" s="915"/>
      <c r="H15" s="915"/>
      <c r="I15" s="915"/>
      <c r="J15" s="915"/>
      <c r="K15" s="25"/>
      <c r="L15" s="22"/>
    </row>
    <row r="16" spans="1:12" ht="11.25" customHeight="1">
      <c r="A16" s="17"/>
      <c r="E16" s="213"/>
      <c r="F16" s="213"/>
      <c r="G16" s="178"/>
      <c r="H16" s="178"/>
      <c r="I16" s="138"/>
      <c r="J16" s="111"/>
      <c r="K16" s="111"/>
      <c r="L16" s="22"/>
    </row>
    <row r="17" spans="1:12" ht="11.25" customHeight="1">
      <c r="A17" s="17"/>
      <c r="B17" s="214"/>
      <c r="C17" s="213"/>
      <c r="D17" s="213"/>
      <c r="E17" s="213"/>
      <c r="F17" s="213"/>
      <c r="G17" s="178"/>
      <c r="H17" s="178"/>
      <c r="I17" s="138"/>
      <c r="J17" s="111"/>
      <c r="K17" s="111"/>
      <c r="L17" s="30"/>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22"/>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30"/>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11.25" customHeight="1">
      <c r="A32" s="17"/>
      <c r="B32" s="214"/>
      <c r="C32" s="213"/>
      <c r="D32" s="213"/>
      <c r="E32" s="213"/>
      <c r="F32" s="213"/>
      <c r="G32" s="178"/>
      <c r="H32" s="178"/>
      <c r="I32" s="138"/>
      <c r="J32" s="111"/>
      <c r="K32" s="111"/>
      <c r="L32" s="22"/>
    </row>
    <row r="33" spans="1:12" ht="23.25" customHeight="1">
      <c r="A33" s="914" t="s">
        <v>402</v>
      </c>
      <c r="B33" s="914"/>
      <c r="C33" s="914"/>
      <c r="D33" s="267"/>
      <c r="E33" s="917" t="s">
        <v>403</v>
      </c>
      <c r="F33" s="917"/>
      <c r="G33" s="917"/>
      <c r="H33" s="917"/>
      <c r="I33" s="917"/>
      <c r="J33" s="917"/>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5"/>
    </row>
    <row r="36" spans="1:12" ht="11.25" customHeight="1">
      <c r="A36" s="916" t="str">
        <f>"ENERGÍA INTERRUMPIDA APROXIMADA POR TIPO DE EQUIPO (MWh)  -  "&amp;UPPER('1. Resumen'!Q4)&amp;" "&amp;'1. Resumen'!Q5</f>
        <v>ENERGÍA INTERRUMPIDA APROXIMADA POR TIPO DE EQUIPO (MWh)  -  JUNIO 2022</v>
      </c>
      <c r="B36" s="916"/>
      <c r="C36" s="916"/>
      <c r="D36" s="916"/>
      <c r="E36" s="916"/>
      <c r="F36" s="916"/>
      <c r="G36" s="916"/>
      <c r="H36" s="916"/>
      <c r="I36" s="916"/>
      <c r="J36" s="916"/>
      <c r="K36" s="25"/>
      <c r="L36" s="215"/>
    </row>
    <row r="37" spans="1:12" ht="11.25" customHeight="1">
      <c r="A37" s="17"/>
      <c r="B37" s="132"/>
      <c r="C37" s="132"/>
      <c r="D37" s="132"/>
      <c r="E37" s="132"/>
      <c r="F37" s="132"/>
      <c r="G37" s="25"/>
      <c r="H37" s="25"/>
      <c r="I37" s="25"/>
      <c r="J37" s="25"/>
      <c r="K37" s="25"/>
      <c r="L37" s="215"/>
    </row>
    <row r="38" spans="1:12" ht="11.25" customHeight="1">
      <c r="A38" s="17"/>
      <c r="B38" s="132"/>
      <c r="C38" s="25"/>
      <c r="D38" s="25"/>
      <c r="E38" s="25"/>
      <c r="F38" s="25"/>
      <c r="G38" s="25"/>
      <c r="H38" s="25"/>
      <c r="I38" s="25"/>
      <c r="J38" s="25"/>
      <c r="K38" s="25"/>
      <c r="L38" s="215"/>
    </row>
    <row r="39" spans="1:12" ht="11.25" customHeight="1">
      <c r="A39" s="17"/>
      <c r="B39" s="132"/>
      <c r="C39" s="25"/>
      <c r="D39" s="25"/>
      <c r="E39" s="25"/>
      <c r="F39" s="25"/>
      <c r="G39" s="25"/>
      <c r="H39" s="25"/>
    </row>
    <row r="40" spans="1:12" ht="12.75">
      <c r="A40" s="17"/>
      <c r="B40" s="132"/>
      <c r="J40" s="25"/>
      <c r="K40" s="25"/>
      <c r="L40" s="215"/>
    </row>
    <row r="41" spans="1:12" s="557" customFormat="1" ht="12.75">
      <c r="A41" s="17"/>
      <c r="B41" s="132"/>
      <c r="J41" s="25"/>
      <c r="K41" s="25"/>
      <c r="L41" s="215"/>
    </row>
    <row r="42" spans="1:12" s="557" customFormat="1" ht="12.75">
      <c r="A42" s="17"/>
      <c r="B42" s="132"/>
      <c r="J42" s="25"/>
      <c r="K42" s="25"/>
      <c r="L42" s="215"/>
    </row>
    <row r="43" spans="1:12" s="557" customFormat="1" ht="12.75">
      <c r="A43" s="17"/>
      <c r="B43" s="132"/>
      <c r="J43" s="25"/>
      <c r="K43" s="25"/>
      <c r="L43" s="215"/>
    </row>
    <row r="44" spans="1:12" s="557" customFormat="1" ht="12.75">
      <c r="A44" s="17"/>
      <c r="B44" s="132"/>
      <c r="J44" s="25"/>
      <c r="K44" s="25"/>
      <c r="L44" s="215"/>
    </row>
    <row r="45" spans="1:12" s="557" customFormat="1" ht="12.75">
      <c r="A45" s="17"/>
      <c r="B45" s="132"/>
      <c r="J45" s="25"/>
      <c r="K45" s="25"/>
      <c r="L45" s="215"/>
    </row>
    <row r="46" spans="1:12" s="557" customFormat="1" ht="12.75">
      <c r="A46" s="17"/>
      <c r="B46" s="132"/>
      <c r="J46" s="25"/>
      <c r="K46" s="25"/>
      <c r="L46" s="215"/>
    </row>
    <row r="47" spans="1:12" ht="12.75">
      <c r="A47" s="17"/>
      <c r="B47" s="132"/>
      <c r="C47" s="132"/>
      <c r="D47" s="132"/>
      <c r="E47" s="132"/>
      <c r="F47" s="132"/>
      <c r="G47" s="25"/>
      <c r="H47" s="25"/>
      <c r="I47" s="25"/>
      <c r="J47" s="25"/>
      <c r="K47" s="25"/>
      <c r="L47" s="215"/>
    </row>
    <row r="48" spans="1:12" s="557" customFormat="1" ht="12.75">
      <c r="A48" s="17"/>
      <c r="B48" s="132"/>
      <c r="C48" s="132"/>
      <c r="D48" s="132"/>
      <c r="E48" s="132"/>
      <c r="F48" s="132"/>
      <c r="G48" s="25"/>
      <c r="H48" s="25"/>
      <c r="I48" s="25"/>
      <c r="J48" s="25"/>
      <c r="K48" s="25"/>
      <c r="L48" s="215"/>
    </row>
    <row r="49" spans="1:12" s="557" customFormat="1" ht="12.75">
      <c r="A49" s="17"/>
      <c r="B49" s="132"/>
      <c r="C49" s="132"/>
      <c r="D49" s="132"/>
      <c r="E49" s="132"/>
      <c r="F49" s="132"/>
      <c r="G49" s="25"/>
      <c r="H49" s="25"/>
      <c r="I49" s="25"/>
      <c r="J49" s="25"/>
      <c r="K49" s="25"/>
      <c r="L49" s="215"/>
    </row>
    <row r="50" spans="1:12" ht="12.75">
      <c r="A50" s="17"/>
      <c r="B50" s="132"/>
      <c r="C50" s="132"/>
      <c r="D50" s="132"/>
      <c r="E50" s="132"/>
      <c r="F50" s="132"/>
      <c r="G50" s="25"/>
      <c r="H50" s="25"/>
      <c r="I50" s="25"/>
      <c r="J50" s="25"/>
      <c r="K50" s="25"/>
      <c r="L50" s="215"/>
    </row>
    <row r="51" spans="1:12" ht="12.75">
      <c r="A51" s="163"/>
      <c r="B51" s="25"/>
      <c r="C51" s="25"/>
      <c r="D51" s="25"/>
      <c r="E51" s="25"/>
      <c r="F51" s="25"/>
      <c r="G51" s="25"/>
      <c r="H51" s="25"/>
      <c r="I51" s="25"/>
      <c r="J51" s="25"/>
      <c r="K51" s="25"/>
      <c r="L51" s="215"/>
    </row>
    <row r="52" spans="1:12" ht="12.75">
      <c r="A52" s="163"/>
      <c r="B52" s="25"/>
      <c r="C52" s="25"/>
      <c r="D52" s="25"/>
      <c r="E52" s="25"/>
      <c r="F52" s="25"/>
      <c r="G52" s="25"/>
      <c r="H52" s="25"/>
      <c r="I52" s="25"/>
      <c r="J52" s="25"/>
      <c r="K52" s="25"/>
      <c r="L52" s="215"/>
    </row>
    <row r="53" spans="1:12" ht="12.75">
      <c r="A53" s="163"/>
      <c r="B53" s="25"/>
      <c r="C53" s="25"/>
      <c r="D53" s="25"/>
      <c r="E53" s="25"/>
      <c r="F53" s="25"/>
      <c r="G53" s="25"/>
      <c r="H53" s="25"/>
      <c r="I53" s="25"/>
      <c r="J53" s="25"/>
      <c r="K53" s="25"/>
      <c r="L53" s="215"/>
    </row>
    <row r="54" spans="1:12" ht="12.75">
      <c r="A54" s="163"/>
      <c r="B54" s="25"/>
      <c r="C54" s="25"/>
      <c r="D54" s="25"/>
      <c r="E54" s="25"/>
      <c r="F54" s="25"/>
      <c r="G54" s="25"/>
      <c r="H54" s="25"/>
      <c r="I54" s="25"/>
      <c r="J54" s="25"/>
      <c r="K54" s="25"/>
      <c r="L54" s="215"/>
    </row>
    <row r="55" spans="1:12" ht="12.75">
      <c r="A55" s="163"/>
      <c r="B55" s="25"/>
      <c r="C55" s="25"/>
      <c r="D55" s="25"/>
      <c r="E55" s="25"/>
      <c r="F55" s="25"/>
      <c r="G55" s="25"/>
      <c r="H55" s="25"/>
      <c r="I55" s="25"/>
      <c r="J55" s="25"/>
      <c r="K55" s="25"/>
      <c r="L55" s="215"/>
    </row>
    <row r="56" spans="1:12" ht="9" customHeight="1">
      <c r="A56" s="163"/>
      <c r="B56" s="25"/>
      <c r="C56" s="25"/>
      <c r="D56" s="25"/>
      <c r="E56" s="25"/>
      <c r="F56" s="25"/>
      <c r="G56" s="25"/>
      <c r="H56" s="25"/>
      <c r="I56" s="25"/>
      <c r="J56" s="25"/>
      <c r="K56" s="25"/>
      <c r="L56" s="215"/>
    </row>
    <row r="57" spans="1:12" ht="22.15" customHeight="1">
      <c r="A57" s="267" t="str">
        <f>"Gráfico N°26: Comparación de la energía interrumpida aproximada por tipo de equipo en "&amp;'1. Resumen'!Q4&amp;" "&amp;'1. Resumen'!Q5</f>
        <v>Gráfico N°26: Comparación de la energía interrumpida aproximada por tipo de equipo en junio 2022</v>
      </c>
      <c r="B57" s="25"/>
      <c r="C57" s="25"/>
      <c r="D57" s="25"/>
      <c r="E57" s="25"/>
      <c r="F57" s="25"/>
      <c r="G57" s="25"/>
      <c r="H57" s="25"/>
      <c r="I57" s="25"/>
      <c r="J57" s="25"/>
      <c r="K57" s="25"/>
      <c r="L57" s="215"/>
    </row>
    <row r="58" spans="1:12" ht="15" customHeight="1">
      <c r="B58" s="25"/>
      <c r="C58" s="25"/>
      <c r="D58" s="25"/>
      <c r="E58" s="25"/>
      <c r="F58" s="25"/>
      <c r="G58" s="25"/>
      <c r="H58" s="25"/>
      <c r="I58" s="25"/>
      <c r="J58" s="25"/>
      <c r="K58" s="25"/>
      <c r="L58" s="215"/>
    </row>
    <row r="59" spans="1:12" ht="24" customHeight="1">
      <c r="A59" s="912" t="s">
        <v>207</v>
      </c>
      <c r="B59" s="912"/>
      <c r="C59" s="912"/>
      <c r="D59" s="912"/>
      <c r="E59" s="912"/>
      <c r="F59" s="912"/>
      <c r="G59" s="912"/>
      <c r="H59" s="912"/>
      <c r="I59" s="912"/>
      <c r="J59" s="912"/>
      <c r="K59" s="25"/>
      <c r="L59" s="215"/>
    </row>
    <row r="60" spans="1:12" ht="11.25" customHeight="1">
      <c r="A60" s="913" t="s">
        <v>208</v>
      </c>
      <c r="B60" s="913"/>
      <c r="C60" s="913"/>
      <c r="D60" s="913"/>
      <c r="E60" s="913"/>
      <c r="F60" s="913"/>
      <c r="G60" s="913"/>
      <c r="H60" s="913"/>
      <c r="I60" s="913"/>
      <c r="J60" s="913"/>
      <c r="K60" s="25"/>
      <c r="L60" s="215"/>
    </row>
    <row r="61" spans="1:12" ht="12.75">
      <c r="A61" s="163"/>
      <c r="B61" s="25"/>
      <c r="C61" s="25"/>
      <c r="D61" s="25"/>
      <c r="E61" s="25"/>
      <c r="F61" s="25"/>
      <c r="G61" s="25"/>
      <c r="H61" s="25"/>
      <c r="I61" s="25"/>
      <c r="J61" s="25"/>
      <c r="K61" s="25"/>
      <c r="L61" s="215"/>
    </row>
    <row r="62" spans="1:12" ht="12.75">
      <c r="A62" s="163"/>
      <c r="B62" s="25"/>
      <c r="C62" s="25"/>
      <c r="D62" s="25"/>
      <c r="E62" s="25"/>
      <c r="F62" s="25"/>
      <c r="G62" s="25"/>
      <c r="H62" s="25"/>
      <c r="I62" s="25"/>
      <c r="J62" s="25"/>
      <c r="K62" s="25"/>
      <c r="L62" s="215"/>
    </row>
    <row r="63" spans="1:12" ht="12.75">
      <c r="A63" s="163"/>
      <c r="B63" s="25"/>
      <c r="C63" s="25"/>
      <c r="D63" s="25"/>
      <c r="E63" s="25"/>
      <c r="F63" s="25"/>
      <c r="G63" s="25"/>
      <c r="H63" s="25"/>
      <c r="I63" s="25"/>
      <c r="J63" s="25"/>
      <c r="K63" s="25"/>
      <c r="L63" s="215"/>
    </row>
    <row r="64" spans="1:12" ht="12.75">
      <c r="A64" s="163"/>
      <c r="B64" s="25"/>
      <c r="C64" s="25"/>
      <c r="D64" s="25"/>
      <c r="E64" s="25"/>
      <c r="F64" s="25"/>
      <c r="G64" s="25"/>
      <c r="H64" s="25"/>
      <c r="I64" s="25"/>
      <c r="J64" s="25"/>
      <c r="K64" s="25"/>
      <c r="L64" s="215"/>
    </row>
    <row r="65" spans="1:12" ht="12.75">
      <c r="A65" s="163"/>
      <c r="B65" s="25"/>
      <c r="C65" s="25"/>
      <c r="D65" s="25"/>
      <c r="E65" s="25"/>
      <c r="F65" s="25"/>
      <c r="G65" s="25"/>
      <c r="H65" s="25"/>
      <c r="I65" s="25"/>
      <c r="J65" s="25"/>
      <c r="K65" s="25"/>
      <c r="L65" s="215"/>
    </row>
    <row r="66" spans="1:12" ht="12.75">
      <c r="A66" s="163"/>
      <c r="B66" s="25"/>
      <c r="C66" s="25"/>
      <c r="D66" s="25"/>
      <c r="E66" s="25"/>
      <c r="F66" s="25"/>
      <c r="G66" s="25"/>
      <c r="H66" s="25"/>
      <c r="I66" s="25"/>
      <c r="J66" s="25"/>
      <c r="K66" s="25"/>
      <c r="L66" s="215"/>
    </row>
    <row r="67" spans="1:12" ht="12.75">
      <c r="A67" s="163"/>
      <c r="B67" s="25"/>
      <c r="C67" s="25"/>
      <c r="D67" s="25"/>
      <c r="E67" s="25"/>
      <c r="F67" s="25"/>
      <c r="G67" s="25"/>
      <c r="H67" s="25"/>
      <c r="I67" s="25"/>
      <c r="J67" s="25"/>
      <c r="K67" s="25"/>
      <c r="L67" s="215"/>
    </row>
    <row r="68" spans="1:12" ht="12.75">
      <c r="A68" s="163"/>
      <c r="B68" s="25"/>
      <c r="C68" s="25"/>
      <c r="D68" s="25"/>
      <c r="E68" s="25"/>
      <c r="F68" s="25"/>
      <c r="G68" s="25"/>
      <c r="H68" s="25"/>
      <c r="I68" s="25"/>
      <c r="J68" s="25"/>
      <c r="K68" s="25"/>
      <c r="L68" s="215"/>
    </row>
    <row r="69" spans="1:12" ht="12.75">
      <c r="A69" s="163"/>
      <c r="B69" s="25"/>
      <c r="C69" s="25"/>
      <c r="D69" s="25"/>
      <c r="E69" s="25"/>
      <c r="F69" s="25"/>
      <c r="G69" s="25"/>
      <c r="H69" s="25"/>
      <c r="I69" s="25"/>
      <c r="J69" s="25"/>
      <c r="K69" s="25"/>
      <c r="L69" s="215"/>
    </row>
    <row r="70" spans="1:12" ht="12.75">
      <c r="A70" s="163"/>
      <c r="B70" s="25"/>
      <c r="C70" s="25"/>
      <c r="D70" s="25"/>
      <c r="E70" s="25"/>
      <c r="F70" s="25"/>
      <c r="G70" s="25"/>
      <c r="H70" s="25"/>
      <c r="I70" s="25"/>
      <c r="J70" s="25"/>
      <c r="K70" s="25"/>
      <c r="L70" s="215"/>
    </row>
    <row r="71" spans="1:12" ht="12.75">
      <c r="A71" s="163"/>
      <c r="B71" s="25"/>
      <c r="J71" s="25"/>
      <c r="K71" s="25"/>
      <c r="L71" s="215"/>
    </row>
    <row r="72" spans="1:12" ht="12.75">
      <c r="A72" s="163"/>
      <c r="B72" s="25"/>
      <c r="J72" s="25"/>
      <c r="K72" s="25"/>
      <c r="L72" s="215"/>
    </row>
    <row r="73" spans="1:12" ht="12.75">
      <c r="A73" s="163"/>
      <c r="B73" s="25"/>
      <c r="J73" s="25"/>
      <c r="K73" s="25"/>
      <c r="L73" s="215"/>
    </row>
    <row r="74" spans="1:12" ht="12.75">
      <c r="A74" s="163"/>
      <c r="B74" s="25"/>
      <c r="J74" s="25"/>
      <c r="K74" s="2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row r="249" spans="2:12">
      <c r="B249" s="215"/>
      <c r="C249" s="215"/>
      <c r="D249" s="215"/>
      <c r="E249" s="215"/>
      <c r="F249" s="215"/>
      <c r="G249" s="215"/>
      <c r="H249" s="215"/>
      <c r="I249" s="215"/>
      <c r="J249" s="215"/>
      <c r="K249" s="215"/>
      <c r="L249" s="215"/>
    </row>
    <row r="250" spans="2:12">
      <c r="B250" s="215"/>
      <c r="C250" s="215"/>
      <c r="D250" s="215"/>
      <c r="E250" s="215"/>
      <c r="F250" s="215"/>
      <c r="G250" s="215"/>
      <c r="H250" s="215"/>
      <c r="I250" s="215"/>
      <c r="J250" s="215"/>
      <c r="K250" s="215"/>
      <c r="L250" s="215"/>
    </row>
    <row r="251" spans="2:12">
      <c r="B251" s="215"/>
      <c r="C251" s="215"/>
      <c r="D251" s="215"/>
      <c r="E251" s="215"/>
      <c r="F251" s="215"/>
      <c r="G251" s="215"/>
      <c r="H251" s="215"/>
      <c r="I251" s="215"/>
      <c r="J251" s="215"/>
      <c r="K251" s="215"/>
      <c r="L251" s="215"/>
    </row>
    <row r="252" spans="2:12">
      <c r="B252" s="215"/>
      <c r="C252" s="215"/>
      <c r="D252" s="215"/>
      <c r="E252" s="215"/>
      <c r="F252" s="215"/>
      <c r="G252" s="215"/>
      <c r="H252" s="215"/>
      <c r="I252" s="215"/>
      <c r="J252" s="215"/>
      <c r="K252" s="215"/>
      <c r="L252" s="215"/>
    </row>
    <row r="253" spans="2:12">
      <c r="B253" s="215"/>
      <c r="C253" s="215"/>
      <c r="D253" s="215"/>
      <c r="E253" s="215"/>
      <c r="F253" s="215"/>
      <c r="G253" s="215"/>
      <c r="H253" s="215"/>
      <c r="I253" s="215"/>
      <c r="J253" s="215"/>
      <c r="K253" s="215"/>
      <c r="L253" s="215"/>
    </row>
    <row r="254" spans="2:12">
      <c r="B254" s="215"/>
      <c r="C254" s="215"/>
      <c r="D254" s="215"/>
      <c r="E254" s="215"/>
      <c r="F254" s="215"/>
      <c r="G254" s="215"/>
      <c r="H254" s="215"/>
      <c r="I254" s="215"/>
      <c r="J254" s="215"/>
      <c r="K254" s="215"/>
      <c r="L254" s="215"/>
    </row>
  </sheetData>
  <mergeCells count="11">
    <mergeCell ref="A60:J60"/>
    <mergeCell ref="A33:C33"/>
    <mergeCell ref="A15:D15"/>
    <mergeCell ref="E15:J15"/>
    <mergeCell ref="A36:J36"/>
    <mergeCell ref="E33:J33"/>
    <mergeCell ref="A5:A6"/>
    <mergeCell ref="A2:J2"/>
    <mergeCell ref="A4:J4"/>
    <mergeCell ref="A12:J12"/>
    <mergeCell ref="A59:J5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B18" sqref="M18"/>
    </sheetView>
  </sheetViews>
  <sheetFormatPr baseColWidth="10" defaultColWidth="9.33203125" defaultRowHeight="11.25"/>
  <cols>
    <col min="8" max="10" width="11.1640625" customWidth="1"/>
    <col min="11" max="11" width="12.5" customWidth="1"/>
    <col min="12" max="12" width="9.33203125" customWidth="1"/>
  </cols>
  <sheetData>
    <row r="3" spans="1:12">
      <c r="A3" s="823" t="s">
        <v>0</v>
      </c>
      <c r="B3" s="823"/>
      <c r="C3" s="823"/>
      <c r="D3" s="823"/>
      <c r="E3" s="823"/>
      <c r="F3" s="823"/>
      <c r="G3" s="823"/>
      <c r="H3" s="823"/>
      <c r="I3" s="823"/>
      <c r="J3" s="823"/>
      <c r="K3" s="823"/>
      <c r="L3" s="823"/>
    </row>
    <row r="4" spans="1:12">
      <c r="A4" s="823"/>
      <c r="B4" s="823"/>
      <c r="C4" s="823"/>
      <c r="D4" s="823"/>
      <c r="E4" s="823"/>
      <c r="F4" s="823"/>
      <c r="G4" s="823"/>
      <c r="H4" s="823"/>
      <c r="I4" s="823"/>
      <c r="J4" s="823"/>
      <c r="K4" s="823"/>
      <c r="L4" s="823"/>
    </row>
    <row r="5" spans="1:12" ht="12">
      <c r="A5" s="3"/>
      <c r="B5" s="216"/>
      <c r="C5" s="2"/>
      <c r="D5" s="2"/>
      <c r="E5" s="37"/>
      <c r="F5" s="2"/>
      <c r="G5" s="2"/>
      <c r="H5" s="2"/>
      <c r="I5" s="2"/>
      <c r="J5" s="2"/>
      <c r="K5" s="2"/>
      <c r="L5" s="8" t="s">
        <v>1</v>
      </c>
    </row>
    <row r="6" spans="1:12" ht="12">
      <c r="A6" s="3"/>
      <c r="B6" s="216"/>
      <c r="C6" s="2"/>
      <c r="D6" s="2"/>
      <c r="E6" s="37"/>
      <c r="F6" s="2"/>
      <c r="G6" s="2"/>
      <c r="H6" s="2"/>
      <c r="I6" s="2"/>
      <c r="J6" s="2"/>
      <c r="K6" s="2"/>
      <c r="L6" s="5"/>
    </row>
    <row r="7" spans="1:12" ht="19.5" customHeight="1">
      <c r="A7" s="20" t="s">
        <v>396</v>
      </c>
      <c r="B7" s="217"/>
      <c r="C7" s="25"/>
      <c r="D7" s="25"/>
      <c r="E7" s="25"/>
      <c r="F7" s="25"/>
      <c r="G7" s="25"/>
      <c r="H7" s="25"/>
      <c r="I7" s="25"/>
      <c r="J7" s="25"/>
      <c r="K7" s="25"/>
      <c r="L7" s="25"/>
    </row>
    <row r="8" spans="1:12" ht="17.25" customHeight="1">
      <c r="A8" s="25"/>
      <c r="B8" s="25" t="s">
        <v>577</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557</v>
      </c>
      <c r="B10" s="217"/>
      <c r="C10" s="25"/>
      <c r="D10" s="25"/>
      <c r="E10" s="25"/>
      <c r="F10" s="25"/>
      <c r="G10" s="25"/>
      <c r="H10" s="25"/>
      <c r="I10" s="25"/>
      <c r="J10" s="25"/>
      <c r="K10" s="25"/>
      <c r="L10" s="22"/>
    </row>
    <row r="11" spans="1:12" ht="19.5" customHeight="1">
      <c r="A11" s="27"/>
      <c r="B11" s="25" t="s">
        <v>439</v>
      </c>
      <c r="C11" s="25"/>
      <c r="D11" s="25"/>
      <c r="E11" s="25"/>
      <c r="F11" s="21"/>
      <c r="G11" s="21"/>
      <c r="H11" s="21"/>
      <c r="I11" s="21"/>
      <c r="J11" s="21"/>
      <c r="K11" s="21"/>
      <c r="L11" s="22" t="s">
        <v>2</v>
      </c>
    </row>
    <row r="12" spans="1:12" ht="19.5" customHeight="1">
      <c r="A12" s="27"/>
      <c r="B12" s="25" t="s">
        <v>377</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389</v>
      </c>
      <c r="B14" s="25"/>
      <c r="C14" s="25"/>
      <c r="D14" s="25"/>
      <c r="E14" s="25"/>
      <c r="F14" s="25"/>
      <c r="G14" s="25"/>
      <c r="H14" s="25"/>
      <c r="I14" s="25"/>
      <c r="J14" s="25"/>
      <c r="K14" s="25"/>
      <c r="L14" s="22"/>
    </row>
    <row r="15" spans="1:12" ht="19.5" customHeight="1">
      <c r="A15" s="27"/>
      <c r="B15" s="25" t="s">
        <v>366</v>
      </c>
      <c r="C15" s="25"/>
      <c r="D15" s="25"/>
      <c r="E15" s="25"/>
      <c r="F15" s="21"/>
      <c r="G15" s="21"/>
      <c r="H15" s="21"/>
      <c r="I15" s="21"/>
      <c r="J15" s="21"/>
      <c r="K15" s="21"/>
      <c r="L15" s="22" t="s">
        <v>3</v>
      </c>
    </row>
    <row r="16" spans="1:12" ht="19.5" customHeight="1">
      <c r="A16" s="27"/>
      <c r="B16" s="25" t="s">
        <v>375</v>
      </c>
      <c r="C16" s="25"/>
      <c r="D16" s="25"/>
      <c r="E16" s="25"/>
      <c r="F16" s="25"/>
      <c r="G16" s="21"/>
      <c r="H16" s="21"/>
      <c r="I16" s="21"/>
      <c r="J16" s="21"/>
      <c r="K16" s="21"/>
      <c r="L16" s="22" t="s">
        <v>4</v>
      </c>
    </row>
    <row r="17" spans="1:12" ht="19.5" customHeight="1">
      <c r="A17" s="27"/>
      <c r="B17" s="25" t="s">
        <v>367</v>
      </c>
      <c r="C17" s="25"/>
      <c r="D17" s="25"/>
      <c r="E17" s="25"/>
      <c r="F17" s="25"/>
      <c r="G17" s="21"/>
      <c r="H17" s="21"/>
      <c r="I17" s="21"/>
      <c r="J17" s="21"/>
      <c r="K17" s="21"/>
      <c r="L17" s="22" t="s">
        <v>5</v>
      </c>
    </row>
    <row r="18" spans="1:12" ht="19.5" customHeight="1">
      <c r="A18" s="27"/>
      <c r="B18" s="25" t="s">
        <v>368</v>
      </c>
      <c r="C18" s="25"/>
      <c r="D18" s="25"/>
      <c r="E18" s="25"/>
      <c r="F18" s="21"/>
      <c r="G18" s="21"/>
      <c r="H18" s="21"/>
      <c r="I18" s="21"/>
      <c r="J18" s="21"/>
      <c r="K18" s="21"/>
      <c r="L18" s="22" t="s">
        <v>6</v>
      </c>
    </row>
    <row r="19" spans="1:12" ht="19.5" customHeight="1">
      <c r="A19" s="27"/>
      <c r="B19" s="25" t="s">
        <v>369</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388</v>
      </c>
      <c r="B21" s="25"/>
      <c r="C21" s="25"/>
      <c r="D21" s="25"/>
      <c r="E21" s="25"/>
      <c r="F21" s="25"/>
      <c r="G21" s="25"/>
      <c r="H21" s="25"/>
      <c r="I21" s="25"/>
      <c r="J21" s="25"/>
      <c r="K21" s="25"/>
      <c r="L21" s="30"/>
    </row>
    <row r="22" spans="1:12" ht="19.5" customHeight="1">
      <c r="A22" s="25"/>
      <c r="B22" s="25" t="s">
        <v>390</v>
      </c>
      <c r="C22" s="25"/>
      <c r="D22" s="25"/>
      <c r="E22" s="25"/>
      <c r="F22" s="25"/>
      <c r="G22" s="21"/>
      <c r="H22" s="21"/>
      <c r="I22" s="21"/>
      <c r="J22" s="21"/>
      <c r="K22" s="21"/>
      <c r="L22" s="22" t="s">
        <v>9</v>
      </c>
    </row>
    <row r="23" spans="1:12" ht="19.5" customHeight="1">
      <c r="A23" s="31"/>
      <c r="B23" s="25" t="s">
        <v>429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392</v>
      </c>
      <c r="C26" s="25"/>
      <c r="D26" s="25"/>
      <c r="E26" s="25"/>
      <c r="F26" s="21"/>
      <c r="G26" s="21"/>
      <c r="H26" s="21"/>
      <c r="I26" s="21"/>
      <c r="J26" s="21"/>
      <c r="K26" s="33"/>
      <c r="L26" s="22" t="s">
        <v>11</v>
      </c>
    </row>
    <row r="27" spans="1:12" ht="19.5" customHeight="1">
      <c r="A27" s="25"/>
      <c r="B27" s="25" t="s">
        <v>370</v>
      </c>
      <c r="C27" s="25"/>
      <c r="D27" s="25"/>
      <c r="E27" s="25"/>
      <c r="F27" s="25"/>
      <c r="G27" s="21"/>
      <c r="H27" s="21"/>
      <c r="I27" s="21"/>
      <c r="J27" s="21"/>
      <c r="K27" s="33"/>
      <c r="L27" s="22" t="s">
        <v>11</v>
      </c>
    </row>
    <row r="28" spans="1:12" ht="19.5" customHeight="1">
      <c r="A28" s="31"/>
      <c r="B28" s="25" t="s">
        <v>391</v>
      </c>
      <c r="C28" s="25"/>
      <c r="D28" s="25"/>
      <c r="E28" s="25"/>
      <c r="F28" s="21"/>
      <c r="G28" s="21"/>
      <c r="H28" s="33"/>
      <c r="I28" s="33"/>
      <c r="J28" s="33"/>
      <c r="K28" s="33"/>
      <c r="L28" s="22" t="s">
        <v>12</v>
      </c>
    </row>
    <row r="29" spans="1:12" ht="19.5" customHeight="1">
      <c r="A29" s="31"/>
      <c r="B29" s="25" t="s">
        <v>376</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381</v>
      </c>
      <c r="B31" s="25"/>
      <c r="C31" s="25"/>
      <c r="D31" s="25"/>
      <c r="E31" s="25"/>
      <c r="F31" s="25"/>
      <c r="G31" s="25"/>
      <c r="H31" s="25"/>
      <c r="I31" s="25"/>
      <c r="J31" s="25"/>
      <c r="K31" s="25"/>
      <c r="L31" s="22"/>
    </row>
    <row r="32" spans="1:12" ht="19.5" customHeight="1">
      <c r="A32" s="31"/>
      <c r="B32" s="25" t="s">
        <v>393</v>
      </c>
      <c r="C32" s="25"/>
      <c r="D32" s="25"/>
      <c r="E32" s="25"/>
      <c r="F32" s="25"/>
      <c r="G32" s="21"/>
      <c r="H32" s="21"/>
      <c r="I32" s="21"/>
      <c r="J32" s="21"/>
      <c r="K32" s="21"/>
      <c r="L32" s="22" t="s">
        <v>13</v>
      </c>
    </row>
    <row r="33" spans="1:12" ht="19.5" customHeight="1">
      <c r="A33" s="31"/>
      <c r="B33" s="25" t="s">
        <v>371</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372</v>
      </c>
      <c r="B35" s="26"/>
      <c r="C35" s="32"/>
      <c r="D35" s="26"/>
      <c r="E35" s="26"/>
      <c r="F35" s="26"/>
      <c r="G35" s="26"/>
      <c r="H35" s="26"/>
      <c r="I35" s="26"/>
      <c r="J35" s="26"/>
      <c r="K35" s="26"/>
      <c r="L35" s="22"/>
    </row>
    <row r="36" spans="1:12" ht="19.5" customHeight="1">
      <c r="A36" s="27"/>
      <c r="B36" s="25" t="s">
        <v>394</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373</v>
      </c>
      <c r="B38" s="35"/>
      <c r="C38" s="25"/>
      <c r="D38" s="25"/>
      <c r="E38" s="25"/>
      <c r="F38" s="25"/>
      <c r="G38" s="25"/>
      <c r="H38" s="25"/>
      <c r="I38" s="25"/>
      <c r="J38" s="25"/>
      <c r="K38" s="25"/>
      <c r="L38" s="38"/>
    </row>
    <row r="39" spans="1:12" ht="19.5" customHeight="1">
      <c r="A39" s="27"/>
      <c r="B39" s="25" t="s">
        <v>374</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395</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Normal="100" zoomScaleSheetLayoutView="100" zoomScalePageLayoutView="110" workbookViewId="0">
      <selection activeCell="B18" sqref="M18"/>
    </sheetView>
  </sheetViews>
  <sheetFormatPr baseColWidth="10" defaultColWidth="9.33203125" defaultRowHeight="11.25"/>
  <cols>
    <col min="1" max="1" width="22.5" customWidth="1"/>
    <col min="2" max="2" width="20.83203125" customWidth="1"/>
    <col min="3" max="3" width="15.83203125" customWidth="1"/>
    <col min="4" max="4" width="17" customWidth="1"/>
    <col min="5" max="5" width="14" customWidth="1"/>
    <col min="6" max="6" width="13.83203125" customWidth="1"/>
    <col min="7" max="7" width="14.5" customWidth="1"/>
  </cols>
  <sheetData>
    <row r="1" spans="1:8" ht="11.25" customHeight="1">
      <c r="A1" s="269" t="s">
        <v>273</v>
      </c>
      <c r="B1" s="268"/>
      <c r="C1" s="268"/>
      <c r="D1" s="268"/>
      <c r="E1" s="268"/>
      <c r="F1" s="268"/>
      <c r="G1" s="268"/>
    </row>
    <row r="2" spans="1:8" ht="14.25" customHeight="1">
      <c r="A2" s="918" t="s">
        <v>248</v>
      </c>
      <c r="B2" s="921" t="s">
        <v>54</v>
      </c>
      <c r="C2" s="924" t="str">
        <f>"ENERGÍA PRODUCIDA "&amp;UPPER('1. Resumen'!Q4)&amp;" "&amp;'1. Resumen'!Q5</f>
        <v>ENERGÍA PRODUCIDA JUNIO 2022</v>
      </c>
      <c r="D2" s="924"/>
      <c r="E2" s="924"/>
      <c r="F2" s="924"/>
      <c r="G2" s="507" t="s">
        <v>274</v>
      </c>
      <c r="H2" s="203"/>
    </row>
    <row r="3" spans="1:8" ht="11.25" customHeight="1">
      <c r="A3" s="919"/>
      <c r="B3" s="922"/>
      <c r="C3" s="925" t="s">
        <v>275</v>
      </c>
      <c r="D3" s="925"/>
      <c r="E3" s="925"/>
      <c r="F3" s="926" t="str">
        <f>"TOTAL 
"&amp;UPPER('1. Resumen'!Q4)</f>
        <v>TOTAL 
JUNIO</v>
      </c>
      <c r="G3" s="508" t="s">
        <v>276</v>
      </c>
      <c r="H3" s="194"/>
    </row>
    <row r="4" spans="1:8" ht="12.75" customHeight="1">
      <c r="A4" s="919"/>
      <c r="B4" s="922"/>
      <c r="C4" s="500" t="s">
        <v>213</v>
      </c>
      <c r="D4" s="500" t="s">
        <v>214</v>
      </c>
      <c r="E4" s="500" t="s">
        <v>277</v>
      </c>
      <c r="F4" s="927"/>
      <c r="G4" s="508">
        <v>2022</v>
      </c>
      <c r="H4" s="196"/>
    </row>
    <row r="5" spans="1:8" ht="11.25" customHeight="1">
      <c r="A5" s="920"/>
      <c r="B5" s="923"/>
      <c r="C5" s="501" t="s">
        <v>278</v>
      </c>
      <c r="D5" s="501" t="s">
        <v>278</v>
      </c>
      <c r="E5" s="501" t="s">
        <v>278</v>
      </c>
      <c r="F5" s="501" t="s">
        <v>278</v>
      </c>
      <c r="G5" s="509" t="s">
        <v>206</v>
      </c>
      <c r="H5" s="196"/>
    </row>
    <row r="6" spans="1:8" ht="9.75" customHeight="1">
      <c r="A6" s="541" t="s">
        <v>119</v>
      </c>
      <c r="B6" s="335" t="s">
        <v>86</v>
      </c>
      <c r="C6" s="336"/>
      <c r="D6" s="336"/>
      <c r="E6" s="336">
        <v>3683.5481399999999</v>
      </c>
      <c r="F6" s="336">
        <v>3683.5481399999999</v>
      </c>
      <c r="G6" s="540">
        <v>12120.791827500001</v>
      </c>
      <c r="H6" s="196"/>
    </row>
    <row r="7" spans="1:8" ht="9.75" customHeight="1">
      <c r="A7" s="537" t="s">
        <v>474</v>
      </c>
      <c r="B7" s="401"/>
      <c r="C7" s="402"/>
      <c r="D7" s="402"/>
      <c r="E7" s="402">
        <v>3683.5481399999999</v>
      </c>
      <c r="F7" s="402">
        <v>3683.5481399999999</v>
      </c>
      <c r="G7" s="539">
        <v>12120.791827500001</v>
      </c>
      <c r="H7" s="196"/>
    </row>
    <row r="8" spans="1:8" ht="9.75" customHeight="1">
      <c r="A8" s="541" t="s">
        <v>118</v>
      </c>
      <c r="B8" s="335" t="s">
        <v>63</v>
      </c>
      <c r="C8" s="336"/>
      <c r="D8" s="336"/>
      <c r="E8" s="336">
        <v>10993.636699999999</v>
      </c>
      <c r="F8" s="336">
        <v>10993.636699999999</v>
      </c>
      <c r="G8" s="540">
        <v>69719.443310000002</v>
      </c>
      <c r="H8" s="196"/>
    </row>
    <row r="9" spans="1:8" ht="9.75" customHeight="1">
      <c r="A9" s="537" t="s">
        <v>475</v>
      </c>
      <c r="B9" s="401"/>
      <c r="C9" s="402"/>
      <c r="D9" s="402"/>
      <c r="E9" s="402">
        <v>10993.636699999999</v>
      </c>
      <c r="F9" s="402">
        <v>10993.636699999999</v>
      </c>
      <c r="G9" s="539">
        <v>69719.443310000002</v>
      </c>
      <c r="H9" s="196"/>
    </row>
    <row r="10" spans="1:8" ht="9.75" customHeight="1">
      <c r="A10" s="536" t="s">
        <v>106</v>
      </c>
      <c r="B10" s="503" t="s">
        <v>83</v>
      </c>
      <c r="C10" s="504"/>
      <c r="D10" s="504"/>
      <c r="E10" s="504">
        <v>7144.1898975000004</v>
      </c>
      <c r="F10" s="504">
        <v>7144.1898975000004</v>
      </c>
      <c r="G10" s="538">
        <v>41214.404447499997</v>
      </c>
      <c r="H10" s="196"/>
    </row>
    <row r="11" spans="1:8" ht="9.75" customHeight="1">
      <c r="A11" s="537" t="s">
        <v>476</v>
      </c>
      <c r="B11" s="401"/>
      <c r="C11" s="402"/>
      <c r="D11" s="402"/>
      <c r="E11" s="402">
        <v>7144.1898975000004</v>
      </c>
      <c r="F11" s="402">
        <v>7144.1898975000004</v>
      </c>
      <c r="G11" s="539">
        <v>41214.404447499997</v>
      </c>
      <c r="H11" s="196"/>
    </row>
    <row r="12" spans="1:8" ht="9" customHeight="1">
      <c r="A12" s="536" t="s">
        <v>413</v>
      </c>
      <c r="B12" s="503" t="s">
        <v>415</v>
      </c>
      <c r="C12" s="504"/>
      <c r="D12" s="504"/>
      <c r="E12" s="504">
        <v>7154.2922875000004</v>
      </c>
      <c r="F12" s="504">
        <v>7154.2922875000004</v>
      </c>
      <c r="G12" s="538">
        <v>58116.615917499999</v>
      </c>
      <c r="H12" s="196"/>
    </row>
    <row r="13" spans="1:8" ht="9" customHeight="1">
      <c r="A13" s="537" t="s">
        <v>477</v>
      </c>
      <c r="B13" s="401"/>
      <c r="C13" s="402"/>
      <c r="D13" s="402"/>
      <c r="E13" s="402">
        <v>7154.2922875000004</v>
      </c>
      <c r="F13" s="402">
        <v>7154.2922875000004</v>
      </c>
      <c r="G13" s="539">
        <v>58116.615917499999</v>
      </c>
      <c r="H13" s="196"/>
    </row>
    <row r="14" spans="1:8" s="557" customFormat="1" ht="9" customHeight="1">
      <c r="A14" s="536" t="s">
        <v>464</v>
      </c>
      <c r="B14" s="503" t="s">
        <v>75</v>
      </c>
      <c r="C14" s="504"/>
      <c r="D14" s="504"/>
      <c r="E14" s="504">
        <v>0</v>
      </c>
      <c r="F14" s="504">
        <v>0</v>
      </c>
      <c r="G14" s="538">
        <v>1101.248615</v>
      </c>
      <c r="H14" s="196"/>
    </row>
    <row r="15" spans="1:8" s="557" customFormat="1" ht="9" customHeight="1">
      <c r="A15" s="537" t="s">
        <v>478</v>
      </c>
      <c r="B15" s="401"/>
      <c r="C15" s="402"/>
      <c r="D15" s="402"/>
      <c r="E15" s="402">
        <v>0</v>
      </c>
      <c r="F15" s="402">
        <v>0</v>
      </c>
      <c r="G15" s="539">
        <v>1101.248615</v>
      </c>
      <c r="H15" s="196"/>
    </row>
    <row r="16" spans="1:8" ht="9" customHeight="1">
      <c r="A16" s="536" t="s">
        <v>444</v>
      </c>
      <c r="B16" s="503" t="s">
        <v>450</v>
      </c>
      <c r="C16" s="504"/>
      <c r="D16" s="504"/>
      <c r="E16" s="504">
        <v>6750.8586224999999</v>
      </c>
      <c r="F16" s="504">
        <v>6750.8586224999999</v>
      </c>
      <c r="G16" s="538">
        <v>29729.053037499998</v>
      </c>
      <c r="H16" s="196"/>
    </row>
    <row r="17" spans="1:8" ht="9" customHeight="1">
      <c r="A17" s="537" t="s">
        <v>479</v>
      </c>
      <c r="B17" s="401"/>
      <c r="C17" s="402"/>
      <c r="D17" s="402"/>
      <c r="E17" s="402">
        <v>6750.8586224999999</v>
      </c>
      <c r="F17" s="402">
        <v>6750.8586224999999</v>
      </c>
      <c r="G17" s="539">
        <v>29729.053037499998</v>
      </c>
      <c r="H17" s="196"/>
    </row>
    <row r="18" spans="1:8" ht="9" customHeight="1">
      <c r="A18" s="536" t="s">
        <v>94</v>
      </c>
      <c r="B18" s="503" t="s">
        <v>279</v>
      </c>
      <c r="C18" s="504">
        <v>65609.826109999995</v>
      </c>
      <c r="D18" s="504"/>
      <c r="E18" s="504"/>
      <c r="F18" s="504">
        <v>65609.826109999995</v>
      </c>
      <c r="G18" s="538">
        <v>717331.59271250013</v>
      </c>
      <c r="H18" s="196"/>
    </row>
    <row r="19" spans="1:8" ht="9" customHeight="1">
      <c r="A19" s="537" t="s">
        <v>480</v>
      </c>
      <c r="B19" s="401"/>
      <c r="C19" s="402">
        <v>65609.826109999995</v>
      </c>
      <c r="D19" s="402"/>
      <c r="E19" s="402"/>
      <c r="F19" s="402">
        <v>65609.826109999995</v>
      </c>
      <c r="G19" s="539">
        <v>717331.59271250013</v>
      </c>
      <c r="H19" s="196"/>
    </row>
    <row r="20" spans="1:8" ht="9" customHeight="1">
      <c r="A20" s="536" t="s">
        <v>466</v>
      </c>
      <c r="B20" s="503" t="s">
        <v>320</v>
      </c>
      <c r="C20" s="504">
        <v>12905.556479999999</v>
      </c>
      <c r="D20" s="504"/>
      <c r="E20" s="504"/>
      <c r="F20" s="504">
        <v>12905.556479999999</v>
      </c>
      <c r="G20" s="538">
        <v>80551.678857499996</v>
      </c>
      <c r="H20" s="196"/>
    </row>
    <row r="21" spans="1:8" ht="9" customHeight="1">
      <c r="A21" s="537" t="s">
        <v>481</v>
      </c>
      <c r="B21" s="401"/>
      <c r="C21" s="402">
        <v>12905.556479999999</v>
      </c>
      <c r="D21" s="402"/>
      <c r="E21" s="402"/>
      <c r="F21" s="402">
        <v>12905.556479999999</v>
      </c>
      <c r="G21" s="539">
        <v>80551.678857499996</v>
      </c>
      <c r="H21" s="196"/>
    </row>
    <row r="22" spans="1:8" ht="9" customHeight="1">
      <c r="A22" s="536" t="s">
        <v>540</v>
      </c>
      <c r="B22" s="503" t="s">
        <v>559</v>
      </c>
      <c r="C22" s="504">
        <v>476.77802750000001</v>
      </c>
      <c r="D22" s="504"/>
      <c r="E22" s="504"/>
      <c r="F22" s="504">
        <v>476.77802750000001</v>
      </c>
      <c r="G22" s="538">
        <v>3819.3471375000004</v>
      </c>
      <c r="H22" s="196"/>
    </row>
    <row r="23" spans="1:8" ht="9" customHeight="1">
      <c r="A23" s="536"/>
      <c r="B23" s="503" t="s">
        <v>560</v>
      </c>
      <c r="C23" s="504">
        <v>880.43573000000004</v>
      </c>
      <c r="D23" s="504"/>
      <c r="E23" s="504"/>
      <c r="F23" s="504">
        <v>880.43573000000004</v>
      </c>
      <c r="G23" s="538">
        <v>6301.1606275000004</v>
      </c>
      <c r="H23" s="196"/>
    </row>
    <row r="24" spans="1:8" ht="9" customHeight="1">
      <c r="A24" s="537" t="s">
        <v>542</v>
      </c>
      <c r="B24" s="401"/>
      <c r="C24" s="402">
        <v>1357.2137575000002</v>
      </c>
      <c r="D24" s="402"/>
      <c r="E24" s="402"/>
      <c r="F24" s="402">
        <v>1357.2137575000002</v>
      </c>
      <c r="G24" s="539">
        <v>10120.507765</v>
      </c>
      <c r="H24" s="196"/>
    </row>
    <row r="25" spans="1:8" ht="9" customHeight="1">
      <c r="A25" s="536" t="s">
        <v>234</v>
      </c>
      <c r="B25" s="503" t="s">
        <v>280</v>
      </c>
      <c r="C25" s="504"/>
      <c r="D25" s="504">
        <v>393.33681999999999</v>
      </c>
      <c r="E25" s="504"/>
      <c r="F25" s="504">
        <v>393.33681999999999</v>
      </c>
      <c r="G25" s="538">
        <v>1167.5324874999999</v>
      </c>
      <c r="H25" s="196"/>
    </row>
    <row r="26" spans="1:8" ht="9" customHeight="1">
      <c r="A26" s="537" t="s">
        <v>482</v>
      </c>
      <c r="B26" s="401"/>
      <c r="C26" s="402"/>
      <c r="D26" s="402">
        <v>393.33681999999999</v>
      </c>
      <c r="E26" s="402"/>
      <c r="F26" s="402">
        <v>393.33681999999999</v>
      </c>
      <c r="G26" s="539">
        <v>1167.5324874999999</v>
      </c>
      <c r="H26" s="196"/>
    </row>
    <row r="27" spans="1:8" ht="9" customHeight="1">
      <c r="A27" s="536" t="s">
        <v>93</v>
      </c>
      <c r="B27" s="503" t="s">
        <v>281</v>
      </c>
      <c r="C27" s="504">
        <v>50854.796749999994</v>
      </c>
      <c r="D27" s="504"/>
      <c r="E27" s="504"/>
      <c r="F27" s="504">
        <v>50854.796749999994</v>
      </c>
      <c r="G27" s="538">
        <v>465633.95449999999</v>
      </c>
      <c r="H27" s="196"/>
    </row>
    <row r="28" spans="1:8" ht="9" customHeight="1">
      <c r="A28" s="536"/>
      <c r="B28" s="503" t="s">
        <v>282</v>
      </c>
      <c r="C28" s="504">
        <v>19593.150000000001</v>
      </c>
      <c r="D28" s="504"/>
      <c r="E28" s="504"/>
      <c r="F28" s="504">
        <v>19593.150000000001</v>
      </c>
      <c r="G28" s="538">
        <v>142455.42199999999</v>
      </c>
      <c r="H28" s="196"/>
    </row>
    <row r="29" spans="1:8" ht="9" customHeight="1">
      <c r="A29" s="537" t="s">
        <v>483</v>
      </c>
      <c r="B29" s="401"/>
      <c r="C29" s="402">
        <v>70447.946750000003</v>
      </c>
      <c r="D29" s="402"/>
      <c r="E29" s="402"/>
      <c r="F29" s="402">
        <v>70447.946750000003</v>
      </c>
      <c r="G29" s="539">
        <v>608089.37650000001</v>
      </c>
      <c r="H29" s="196"/>
    </row>
    <row r="30" spans="1:8" ht="9" customHeight="1">
      <c r="A30" s="536" t="s">
        <v>541</v>
      </c>
      <c r="B30" s="503" t="s">
        <v>561</v>
      </c>
      <c r="C30" s="504"/>
      <c r="D30" s="504"/>
      <c r="E30" s="504">
        <v>239.52350000000001</v>
      </c>
      <c r="F30" s="504">
        <v>239.52350000000001</v>
      </c>
      <c r="G30" s="538">
        <v>1259.7195299999998</v>
      </c>
      <c r="H30" s="196"/>
    </row>
    <row r="31" spans="1:8" ht="9" customHeight="1">
      <c r="A31" s="537" t="s">
        <v>543</v>
      </c>
      <c r="B31" s="401"/>
      <c r="C31" s="402"/>
      <c r="D31" s="402"/>
      <c r="E31" s="402">
        <v>239.52350000000001</v>
      </c>
      <c r="F31" s="402">
        <v>239.52350000000001</v>
      </c>
      <c r="G31" s="539">
        <v>1259.7195299999998</v>
      </c>
      <c r="H31" s="196"/>
    </row>
    <row r="32" spans="1:8" ht="9" customHeight="1">
      <c r="A32" s="536" t="s">
        <v>91</v>
      </c>
      <c r="B32" s="503" t="s">
        <v>283</v>
      </c>
      <c r="C32" s="504">
        <v>1183.4784850000001</v>
      </c>
      <c r="D32" s="504"/>
      <c r="E32" s="504"/>
      <c r="F32" s="504">
        <v>1183.4784850000001</v>
      </c>
      <c r="G32" s="538">
        <v>7151.8485925000004</v>
      </c>
      <c r="H32" s="196"/>
    </row>
    <row r="33" spans="1:8" ht="9" customHeight="1">
      <c r="A33" s="536"/>
      <c r="B33" s="503" t="s">
        <v>284</v>
      </c>
      <c r="C33" s="504">
        <v>400.79501249999998</v>
      </c>
      <c r="D33" s="504"/>
      <c r="E33" s="504"/>
      <c r="F33" s="504">
        <v>400.79501249999998</v>
      </c>
      <c r="G33" s="538">
        <v>2446.3171950000001</v>
      </c>
      <c r="H33" s="196"/>
    </row>
    <row r="34" spans="1:8" ht="9" customHeight="1">
      <c r="A34" s="536"/>
      <c r="B34" s="503" t="s">
        <v>285</v>
      </c>
      <c r="C34" s="504">
        <v>3302.5792474999998</v>
      </c>
      <c r="D34" s="504"/>
      <c r="E34" s="504"/>
      <c r="F34" s="504">
        <v>3302.5792474999998</v>
      </c>
      <c r="G34" s="538">
        <v>19772.608854999999</v>
      </c>
      <c r="H34" s="196"/>
    </row>
    <row r="35" spans="1:8" ht="9" customHeight="1">
      <c r="A35" s="536"/>
      <c r="B35" s="503" t="s">
        <v>286</v>
      </c>
      <c r="C35" s="504">
        <v>8412.8964149999993</v>
      </c>
      <c r="D35" s="504"/>
      <c r="E35" s="504"/>
      <c r="F35" s="504">
        <v>8412.8964149999993</v>
      </c>
      <c r="G35" s="538">
        <v>53902.054214999996</v>
      </c>
      <c r="H35" s="196"/>
    </row>
    <row r="36" spans="1:8" ht="9" customHeight="1">
      <c r="A36" s="536"/>
      <c r="B36" s="503" t="s">
        <v>287</v>
      </c>
      <c r="C36" s="504">
        <v>51694.265734999994</v>
      </c>
      <c r="D36" s="504"/>
      <c r="E36" s="504"/>
      <c r="F36" s="504">
        <v>51694.265734999994</v>
      </c>
      <c r="G36" s="538">
        <v>336965.07042</v>
      </c>
      <c r="H36" s="196"/>
    </row>
    <row r="37" spans="1:8" ht="9" customHeight="1">
      <c r="A37" s="536"/>
      <c r="B37" s="503" t="s">
        <v>288</v>
      </c>
      <c r="C37" s="504">
        <v>4931.2256674999999</v>
      </c>
      <c r="D37" s="504"/>
      <c r="E37" s="504"/>
      <c r="F37" s="504">
        <v>4931.2256674999999</v>
      </c>
      <c r="G37" s="538">
        <v>31183.679124999995</v>
      </c>
      <c r="H37" s="196"/>
    </row>
    <row r="38" spans="1:8" ht="9" customHeight="1">
      <c r="A38" s="536"/>
      <c r="B38" s="503" t="s">
        <v>289</v>
      </c>
      <c r="C38" s="504"/>
      <c r="D38" s="504">
        <v>25.016390000000001</v>
      </c>
      <c r="E38" s="504"/>
      <c r="F38" s="504">
        <v>25.016390000000001</v>
      </c>
      <c r="G38" s="538">
        <v>80.707425000000001</v>
      </c>
      <c r="H38" s="196"/>
    </row>
    <row r="39" spans="1:8" ht="9.75" customHeight="1">
      <c r="A39" s="536"/>
      <c r="B39" s="503" t="s">
        <v>290</v>
      </c>
      <c r="C39" s="504"/>
      <c r="D39" s="504">
        <v>18.127802500000001</v>
      </c>
      <c r="E39" s="504"/>
      <c r="F39" s="504">
        <v>18.127802500000001</v>
      </c>
      <c r="G39" s="538">
        <v>120.11808250000001</v>
      </c>
      <c r="H39" s="196"/>
    </row>
    <row r="40" spans="1:8" ht="9.75" customHeight="1">
      <c r="A40" s="537" t="s">
        <v>484</v>
      </c>
      <c r="B40" s="401"/>
      <c r="C40" s="402">
        <v>69925.240562499996</v>
      </c>
      <c r="D40" s="402">
        <v>43.144192500000003</v>
      </c>
      <c r="E40" s="402"/>
      <c r="F40" s="402">
        <v>69968.384755000006</v>
      </c>
      <c r="G40" s="539">
        <v>451622.40390999999</v>
      </c>
      <c r="H40" s="196"/>
    </row>
    <row r="41" spans="1:8" ht="10.9" customHeight="1">
      <c r="A41" s="536" t="s">
        <v>112</v>
      </c>
      <c r="B41" s="503" t="s">
        <v>70</v>
      </c>
      <c r="C41" s="504"/>
      <c r="D41" s="504"/>
      <c r="E41" s="504">
        <v>1243.9878475</v>
      </c>
      <c r="F41" s="504">
        <v>1243.9878475</v>
      </c>
      <c r="G41" s="538">
        <v>13678.615705</v>
      </c>
      <c r="H41" s="196"/>
    </row>
    <row r="42" spans="1:8" ht="12" customHeight="1">
      <c r="A42" s="537" t="s">
        <v>485</v>
      </c>
      <c r="B42" s="401"/>
      <c r="C42" s="402"/>
      <c r="D42" s="402"/>
      <c r="E42" s="402">
        <v>1243.9878475</v>
      </c>
      <c r="F42" s="402">
        <v>1243.9878475</v>
      </c>
      <c r="G42" s="539">
        <v>13678.615705</v>
      </c>
      <c r="H42" s="196"/>
    </row>
    <row r="43" spans="1:8" ht="9.75" customHeight="1">
      <c r="A43" s="536" t="s">
        <v>92</v>
      </c>
      <c r="B43" s="503" t="s">
        <v>292</v>
      </c>
      <c r="C43" s="504">
        <v>109942.33175</v>
      </c>
      <c r="D43" s="504"/>
      <c r="E43" s="504"/>
      <c r="F43" s="504">
        <v>109942.33175</v>
      </c>
      <c r="G43" s="538">
        <v>685625.29671999998</v>
      </c>
      <c r="H43" s="196"/>
    </row>
    <row r="44" spans="1:8" ht="9.75" customHeight="1">
      <c r="A44" s="537" t="s">
        <v>486</v>
      </c>
      <c r="B44" s="401"/>
      <c r="C44" s="402">
        <v>109942.33175</v>
      </c>
      <c r="D44" s="402"/>
      <c r="E44" s="402"/>
      <c r="F44" s="402">
        <v>109942.33175</v>
      </c>
      <c r="G44" s="539">
        <v>685625.29671999998</v>
      </c>
      <c r="H44" s="196"/>
    </row>
    <row r="45" spans="1:8" ht="9.75" customHeight="1">
      <c r="A45" s="536" t="s">
        <v>101</v>
      </c>
      <c r="B45" s="503" t="s">
        <v>293</v>
      </c>
      <c r="C45" s="504">
        <v>3808.6064575</v>
      </c>
      <c r="D45" s="504"/>
      <c r="E45" s="504"/>
      <c r="F45" s="504">
        <v>3808.6064575</v>
      </c>
      <c r="G45" s="538">
        <v>28908.443674999995</v>
      </c>
      <c r="H45" s="196"/>
    </row>
    <row r="46" spans="1:8" ht="9.75" customHeight="1">
      <c r="A46" s="536"/>
      <c r="B46" s="503" t="s">
        <v>294</v>
      </c>
      <c r="C46" s="504">
        <v>3163.0792775</v>
      </c>
      <c r="D46" s="504"/>
      <c r="E46" s="504"/>
      <c r="F46" s="504">
        <v>3163.0792775</v>
      </c>
      <c r="G46" s="538">
        <v>20396.844115</v>
      </c>
      <c r="H46" s="196"/>
    </row>
    <row r="47" spans="1:8" ht="9.75" customHeight="1">
      <c r="A47" s="536"/>
      <c r="B47" s="503" t="s">
        <v>295</v>
      </c>
      <c r="C47" s="504"/>
      <c r="D47" s="504">
        <v>9886.4456625000003</v>
      </c>
      <c r="E47" s="504"/>
      <c r="F47" s="504">
        <v>9886.4456625000003</v>
      </c>
      <c r="G47" s="538">
        <v>61814.499877500006</v>
      </c>
      <c r="H47" s="196"/>
    </row>
    <row r="48" spans="1:8" ht="9.75" customHeight="1">
      <c r="A48" s="537" t="s">
        <v>487</v>
      </c>
      <c r="B48" s="401"/>
      <c r="C48" s="402">
        <v>6971.685735</v>
      </c>
      <c r="D48" s="402">
        <v>9886.4456625000003</v>
      </c>
      <c r="E48" s="402"/>
      <c r="F48" s="402">
        <v>16858.131397500001</v>
      </c>
      <c r="G48" s="539">
        <v>111119.7876675</v>
      </c>
      <c r="H48" s="196"/>
    </row>
    <row r="49" spans="1:8" ht="9.75" customHeight="1">
      <c r="A49" s="536" t="s">
        <v>113</v>
      </c>
      <c r="B49" s="503" t="s">
        <v>73</v>
      </c>
      <c r="C49" s="504"/>
      <c r="D49" s="504"/>
      <c r="E49" s="504">
        <v>1831.9468499999998</v>
      </c>
      <c r="F49" s="504">
        <v>1831.9468499999998</v>
      </c>
      <c r="G49" s="538">
        <v>14627.250925</v>
      </c>
      <c r="H49" s="196"/>
    </row>
    <row r="50" spans="1:8" ht="9.75" customHeight="1">
      <c r="A50" s="537" t="s">
        <v>488</v>
      </c>
      <c r="B50" s="401"/>
      <c r="C50" s="402"/>
      <c r="D50" s="402"/>
      <c r="E50" s="402">
        <v>1831.9468499999998</v>
      </c>
      <c r="F50" s="402">
        <v>1831.9468499999998</v>
      </c>
      <c r="G50" s="539">
        <v>14627.250925</v>
      </c>
      <c r="H50" s="196"/>
    </row>
    <row r="51" spans="1:8" ht="9.75" customHeight="1">
      <c r="A51" s="536" t="s">
        <v>89</v>
      </c>
      <c r="B51" s="503" t="s">
        <v>296</v>
      </c>
      <c r="C51" s="504">
        <v>454487.6544</v>
      </c>
      <c r="D51" s="504"/>
      <c r="E51" s="504"/>
      <c r="F51" s="504">
        <v>454487.6544</v>
      </c>
      <c r="G51" s="538">
        <v>2639858.4005999998</v>
      </c>
      <c r="H51" s="196"/>
    </row>
    <row r="52" spans="1:8" ht="9.75" customHeight="1">
      <c r="A52" s="536"/>
      <c r="B52" s="503" t="s">
        <v>297</v>
      </c>
      <c r="C52" s="504">
        <v>148356.59088</v>
      </c>
      <c r="D52" s="504"/>
      <c r="E52" s="504"/>
      <c r="F52" s="504">
        <v>148356.59088</v>
      </c>
      <c r="G52" s="538">
        <v>852029.69712000014</v>
      </c>
      <c r="H52" s="196"/>
    </row>
    <row r="53" spans="1:8" ht="9.75" customHeight="1">
      <c r="A53" s="537" t="s">
        <v>490</v>
      </c>
      <c r="B53" s="401"/>
      <c r="C53" s="402">
        <v>602844.24528000003</v>
      </c>
      <c r="D53" s="402"/>
      <c r="E53" s="402"/>
      <c r="F53" s="402">
        <v>602844.24528000003</v>
      </c>
      <c r="G53" s="539">
        <v>3491888.09772</v>
      </c>
      <c r="H53" s="196"/>
    </row>
    <row r="54" spans="1:8" ht="9.75" customHeight="1">
      <c r="A54" s="536" t="s">
        <v>235</v>
      </c>
      <c r="B54" s="503" t="s">
        <v>298</v>
      </c>
      <c r="C54" s="504">
        <v>92938.675082500005</v>
      </c>
      <c r="D54" s="504"/>
      <c r="E54" s="504"/>
      <c r="F54" s="504">
        <v>92938.675082500005</v>
      </c>
      <c r="G54" s="538">
        <v>1273354.2956025</v>
      </c>
      <c r="H54" s="196"/>
    </row>
    <row r="55" spans="1:8" ht="9.75" customHeight="1">
      <c r="A55" s="536"/>
      <c r="B55" s="503" t="s">
        <v>299</v>
      </c>
      <c r="C55" s="504">
        <v>4593.4988549999998</v>
      </c>
      <c r="D55" s="504"/>
      <c r="E55" s="504"/>
      <c r="F55" s="504">
        <v>4593.4988549999998</v>
      </c>
      <c r="G55" s="538">
        <v>26722.677227499997</v>
      </c>
      <c r="H55" s="111"/>
    </row>
    <row r="56" spans="1:8">
      <c r="A56" s="537" t="s">
        <v>491</v>
      </c>
      <c r="B56" s="401"/>
      <c r="C56" s="402">
        <v>97532.173937500003</v>
      </c>
      <c r="D56" s="402"/>
      <c r="E56" s="402"/>
      <c r="F56" s="402">
        <v>97532.173937500003</v>
      </c>
      <c r="G56" s="539">
        <v>1300076.9728299999</v>
      </c>
      <c r="H56" s="111"/>
    </row>
    <row r="57" spans="1:8" ht="9.75" customHeight="1">
      <c r="A57" s="536" t="s">
        <v>236</v>
      </c>
      <c r="B57" s="503" t="s">
        <v>300</v>
      </c>
      <c r="C57" s="504">
        <v>25917.684290000001</v>
      </c>
      <c r="D57" s="504"/>
      <c r="E57" s="504"/>
      <c r="F57" s="504">
        <v>25917.684290000001</v>
      </c>
      <c r="G57" s="538">
        <v>162176.31648499999</v>
      </c>
      <c r="H57" s="111"/>
    </row>
    <row r="58" spans="1:8" s="557" customFormat="1" ht="9.75" customHeight="1">
      <c r="A58" s="537" t="s">
        <v>492</v>
      </c>
      <c r="B58" s="401"/>
      <c r="C58" s="402">
        <v>25917.684290000001</v>
      </c>
      <c r="D58" s="402"/>
      <c r="E58" s="402"/>
      <c r="F58" s="402">
        <v>25917.684290000001</v>
      </c>
      <c r="G58" s="539">
        <v>162176.31648499999</v>
      </c>
      <c r="H58" s="111"/>
    </row>
    <row r="59" spans="1:8" s="557" customFormat="1" ht="9.75" customHeight="1">
      <c r="A59" s="536" t="s">
        <v>465</v>
      </c>
      <c r="B59" s="503" t="s">
        <v>65</v>
      </c>
      <c r="C59" s="504"/>
      <c r="D59" s="504"/>
      <c r="E59" s="504">
        <v>3432.5044499999999</v>
      </c>
      <c r="F59" s="504">
        <v>3432.5044499999999</v>
      </c>
      <c r="G59" s="538">
        <v>31182.575937499998</v>
      </c>
      <c r="H59" s="111"/>
    </row>
    <row r="60" spans="1:8" s="557" customFormat="1" ht="9.75" customHeight="1">
      <c r="A60" s="536"/>
      <c r="B60" s="503" t="s">
        <v>64</v>
      </c>
      <c r="C60" s="504"/>
      <c r="D60" s="504"/>
      <c r="E60" s="504">
        <v>3721.6503349999998</v>
      </c>
      <c r="F60" s="504">
        <v>3721.6503349999998</v>
      </c>
      <c r="G60" s="538">
        <v>32336.565332499998</v>
      </c>
      <c r="H60" s="111"/>
    </row>
    <row r="61" spans="1:8" s="557" customFormat="1" ht="9.75" customHeight="1">
      <c r="A61" s="536"/>
      <c r="B61" s="503" t="s">
        <v>60</v>
      </c>
      <c r="C61" s="504"/>
      <c r="D61" s="504"/>
      <c r="E61" s="504">
        <v>4027.4485725</v>
      </c>
      <c r="F61" s="504">
        <v>4027.4485725</v>
      </c>
      <c r="G61" s="538">
        <v>60047.485714999995</v>
      </c>
      <c r="H61" s="111"/>
    </row>
    <row r="62" spans="1:8">
      <c r="A62" s="536"/>
      <c r="B62" s="503" t="s">
        <v>57</v>
      </c>
      <c r="C62" s="504"/>
      <c r="D62" s="504"/>
      <c r="E62" s="504">
        <v>5833.2654124999999</v>
      </c>
      <c r="F62" s="504">
        <v>5833.2654124999999</v>
      </c>
      <c r="G62" s="538">
        <v>69431.985077499994</v>
      </c>
      <c r="H62" s="111"/>
    </row>
    <row r="63" spans="1:8" ht="9.75" customHeight="1">
      <c r="A63" s="536"/>
      <c r="B63" s="503" t="s">
        <v>68</v>
      </c>
      <c r="C63" s="504"/>
      <c r="D63" s="504"/>
      <c r="E63" s="504">
        <v>1210.9361225</v>
      </c>
      <c r="F63" s="504">
        <v>1210.9361225</v>
      </c>
      <c r="G63" s="538">
        <v>19104.288635000001</v>
      </c>
      <c r="H63" s="111"/>
    </row>
    <row r="64" spans="1:8" ht="9.75" customHeight="1">
      <c r="A64" s="536"/>
      <c r="B64" s="503" t="s">
        <v>67</v>
      </c>
      <c r="C64" s="504"/>
      <c r="D64" s="504"/>
      <c r="E64" s="504">
        <v>1477.6692875000001</v>
      </c>
      <c r="F64" s="504">
        <v>1477.6692875000001</v>
      </c>
      <c r="G64" s="538">
        <v>21051.775275000004</v>
      </c>
      <c r="H64" s="197"/>
    </row>
    <row r="65" spans="1:8" ht="9.75" customHeight="1">
      <c r="A65" s="537" t="s">
        <v>493</v>
      </c>
      <c r="B65" s="401"/>
      <c r="C65" s="402"/>
      <c r="D65" s="402"/>
      <c r="E65" s="402">
        <v>19703.474180000001</v>
      </c>
      <c r="F65" s="402">
        <v>19703.474180000001</v>
      </c>
      <c r="G65" s="539">
        <v>233154.67597249997</v>
      </c>
      <c r="H65" s="197"/>
    </row>
    <row r="66" spans="1:8" ht="9.75" customHeight="1">
      <c r="A66" s="536" t="s">
        <v>88</v>
      </c>
      <c r="B66" s="503" t="s">
        <v>451</v>
      </c>
      <c r="C66" s="504">
        <v>47687.833250000003</v>
      </c>
      <c r="D66" s="504"/>
      <c r="E66" s="504"/>
      <c r="F66" s="504">
        <v>47687.833250000003</v>
      </c>
      <c r="G66" s="538">
        <v>306902.54275000002</v>
      </c>
      <c r="H66" s="197"/>
    </row>
    <row r="67" spans="1:8" ht="9.75" customHeight="1">
      <c r="A67" s="536"/>
      <c r="B67" s="503" t="s">
        <v>301</v>
      </c>
      <c r="C67" s="504">
        <v>19750.869749999998</v>
      </c>
      <c r="D67" s="504"/>
      <c r="E67" s="504"/>
      <c r="F67" s="504">
        <v>19750.869749999998</v>
      </c>
      <c r="G67" s="538">
        <v>115130.1875</v>
      </c>
      <c r="H67" s="197"/>
    </row>
    <row r="68" spans="1:8" ht="9.75" customHeight="1">
      <c r="A68" s="536"/>
      <c r="B68" s="503" t="s">
        <v>302</v>
      </c>
      <c r="C68" s="504">
        <v>62259.627000000008</v>
      </c>
      <c r="D68" s="504"/>
      <c r="E68" s="504"/>
      <c r="F68" s="504">
        <v>62259.627000000008</v>
      </c>
      <c r="G68" s="538">
        <v>587696.73674999992</v>
      </c>
      <c r="H68" s="197"/>
    </row>
    <row r="69" spans="1:8" ht="9.75" customHeight="1">
      <c r="A69" s="536"/>
      <c r="B69" s="503" t="s">
        <v>303</v>
      </c>
      <c r="C69" s="504">
        <v>69796.407500000001</v>
      </c>
      <c r="D69" s="504"/>
      <c r="E69" s="504"/>
      <c r="F69" s="504">
        <v>69796.407500000001</v>
      </c>
      <c r="G69" s="538">
        <v>493980.04224999994</v>
      </c>
      <c r="H69" s="197"/>
    </row>
    <row r="70" spans="1:8" ht="9.75" customHeight="1">
      <c r="A70" s="536"/>
      <c r="B70" s="503" t="s">
        <v>304</v>
      </c>
      <c r="C70" s="504">
        <v>44482.664000000004</v>
      </c>
      <c r="D70" s="504"/>
      <c r="E70" s="504"/>
      <c r="F70" s="504">
        <v>44482.664000000004</v>
      </c>
      <c r="G70" s="538">
        <v>261236.36499999999</v>
      </c>
    </row>
    <row r="71" spans="1:8" ht="9.75" customHeight="1">
      <c r="A71" s="536"/>
      <c r="B71" s="503" t="s">
        <v>305</v>
      </c>
      <c r="C71" s="504"/>
      <c r="D71" s="504">
        <v>25342.972000000002</v>
      </c>
      <c r="E71" s="504"/>
      <c r="F71" s="504">
        <v>25342.972000000002</v>
      </c>
      <c r="G71" s="538">
        <v>59285.645250000009</v>
      </c>
    </row>
    <row r="72" spans="1:8" ht="9.75" customHeight="1">
      <c r="A72" s="536"/>
      <c r="B72" s="503" t="s">
        <v>306</v>
      </c>
      <c r="C72" s="504"/>
      <c r="D72" s="504">
        <v>21077.081750000001</v>
      </c>
      <c r="E72" s="504"/>
      <c r="F72" s="504">
        <v>21077.081750000001</v>
      </c>
      <c r="G72" s="538">
        <v>100583.04974999999</v>
      </c>
    </row>
    <row r="73" spans="1:8" ht="9.75" customHeight="1">
      <c r="A73" s="536"/>
      <c r="B73" s="503" t="s">
        <v>307</v>
      </c>
      <c r="C73" s="504"/>
      <c r="D73" s="504">
        <v>320122.58799999999</v>
      </c>
      <c r="E73" s="504"/>
      <c r="F73" s="504">
        <v>320122.58799999999</v>
      </c>
      <c r="G73" s="538">
        <v>1328826.5562500001</v>
      </c>
    </row>
    <row r="74" spans="1:8" ht="9.75" customHeight="1">
      <c r="A74" s="536"/>
      <c r="B74" s="503" t="s">
        <v>411</v>
      </c>
      <c r="C74" s="504"/>
      <c r="D74" s="504"/>
      <c r="E74" s="504">
        <v>240.94925000000001</v>
      </c>
      <c r="F74" s="504">
        <v>240.94925000000001</v>
      </c>
      <c r="G74" s="538">
        <v>1317.83925</v>
      </c>
    </row>
    <row r="75" spans="1:8" ht="9.75" customHeight="1">
      <c r="A75" s="537" t="s">
        <v>494</v>
      </c>
      <c r="B75" s="401"/>
      <c r="C75" s="402">
        <v>243977.40150000004</v>
      </c>
      <c r="D75" s="402">
        <v>366542.64175000001</v>
      </c>
      <c r="E75" s="402">
        <v>240.94925000000001</v>
      </c>
      <c r="F75" s="402">
        <v>610760.99250000005</v>
      </c>
      <c r="G75" s="539">
        <v>3254958.9647500003</v>
      </c>
    </row>
    <row r="76" spans="1:8">
      <c r="A76" s="536" t="s">
        <v>96</v>
      </c>
      <c r="B76" s="503" t="s">
        <v>308</v>
      </c>
      <c r="C76" s="504"/>
      <c r="D76" s="504">
        <v>3220.96675</v>
      </c>
      <c r="E76" s="504"/>
      <c r="F76" s="504">
        <v>3220.96675</v>
      </c>
      <c r="G76" s="538">
        <v>54501.335500000001</v>
      </c>
    </row>
    <row r="77" spans="1:8" ht="9.75" customHeight="1">
      <c r="A77" s="536"/>
      <c r="B77" s="503" t="s">
        <v>309</v>
      </c>
      <c r="C77" s="504"/>
      <c r="D77" s="504">
        <v>0</v>
      </c>
      <c r="E77" s="504"/>
      <c r="F77" s="504">
        <v>0</v>
      </c>
      <c r="G77" s="538">
        <v>0</v>
      </c>
    </row>
    <row r="78" spans="1:8" ht="9.75" customHeight="1">
      <c r="A78" s="536"/>
      <c r="B78" s="503" t="s">
        <v>310</v>
      </c>
      <c r="C78" s="504"/>
      <c r="D78" s="504">
        <v>55738.878750000003</v>
      </c>
      <c r="E78" s="504"/>
      <c r="F78" s="504">
        <v>55738.878750000003</v>
      </c>
      <c r="G78" s="538">
        <v>232297.71124999999</v>
      </c>
    </row>
    <row r="79" spans="1:8">
      <c r="A79" s="537" t="s">
        <v>495</v>
      </c>
      <c r="B79" s="401"/>
      <c r="C79" s="402"/>
      <c r="D79" s="402">
        <v>58959.845500000003</v>
      </c>
      <c r="E79" s="402"/>
      <c r="F79" s="402">
        <v>58959.845500000003</v>
      </c>
      <c r="G79" s="539">
        <v>286799.04674999998</v>
      </c>
    </row>
    <row r="80" spans="1:8" ht="9.75" customHeight="1">
      <c r="A80" s="536" t="s">
        <v>98</v>
      </c>
      <c r="B80" s="503" t="s">
        <v>419</v>
      </c>
      <c r="C80" s="504"/>
      <c r="D80" s="504"/>
      <c r="E80" s="504">
        <v>30234.33</v>
      </c>
      <c r="F80" s="504">
        <v>30234.33</v>
      </c>
      <c r="G80" s="538">
        <v>207408.36424999998</v>
      </c>
    </row>
    <row r="81" spans="1:7" ht="9.75" customHeight="1">
      <c r="A81" s="536"/>
      <c r="B81" s="503" t="s">
        <v>418</v>
      </c>
      <c r="C81" s="504"/>
      <c r="D81" s="504"/>
      <c r="E81" s="504">
        <v>46366.825750000004</v>
      </c>
      <c r="F81" s="504">
        <v>46366.825750000004</v>
      </c>
      <c r="G81" s="538">
        <v>293286.33199999999</v>
      </c>
    </row>
    <row r="82" spans="1:7" ht="9.75" customHeight="1">
      <c r="A82" s="537" t="s">
        <v>496</v>
      </c>
      <c r="B82" s="401"/>
      <c r="C82" s="402"/>
      <c r="D82" s="402"/>
      <c r="E82" s="402">
        <v>76601.155750000005</v>
      </c>
      <c r="F82" s="402">
        <v>76601.155750000005</v>
      </c>
      <c r="G82" s="539">
        <v>500694.69624999998</v>
      </c>
    </row>
    <row r="83" spans="1:7" ht="9.75" customHeight="1">
      <c r="A83" s="536" t="s">
        <v>97</v>
      </c>
      <c r="B83" s="503" t="s">
        <v>77</v>
      </c>
      <c r="C83" s="504"/>
      <c r="D83" s="504"/>
      <c r="E83" s="504">
        <v>33161.910750000003</v>
      </c>
      <c r="F83" s="504">
        <v>33161.910750000003</v>
      </c>
      <c r="G83" s="538">
        <v>168153.46425000002</v>
      </c>
    </row>
    <row r="84" spans="1:7" ht="9.75" customHeight="1">
      <c r="A84" s="536"/>
      <c r="B84" s="503" t="s">
        <v>79</v>
      </c>
      <c r="C84" s="504"/>
      <c r="D84" s="504"/>
      <c r="E84" s="504">
        <v>16046.638924999999</v>
      </c>
      <c r="F84" s="504">
        <v>16046.638924999999</v>
      </c>
      <c r="G84" s="538">
        <v>62083.903974999994</v>
      </c>
    </row>
    <row r="85" spans="1:7">
      <c r="A85" s="537" t="s">
        <v>497</v>
      </c>
      <c r="B85" s="401"/>
      <c r="C85" s="402"/>
      <c r="D85" s="402"/>
      <c r="E85" s="402">
        <v>49208.549675000002</v>
      </c>
      <c r="F85" s="402">
        <v>49208.549675000002</v>
      </c>
      <c r="G85" s="539">
        <v>230237.36822500001</v>
      </c>
    </row>
  </sheetData>
  <mergeCells count="5">
    <mergeCell ref="A2:A5"/>
    <mergeCell ref="B2:B5"/>
    <mergeCell ref="C2:F2"/>
    <mergeCell ref="C3:E3"/>
    <mergeCell ref="F3:F4"/>
  </mergeCells>
  <pageMargins left="0.59055118110236227" right="0.39370078740157483" top="0.91856060606060608" bottom="0.48683712121212119"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topLeftCell="A13" zoomScaleNormal="100" zoomScaleSheetLayoutView="100" workbookViewId="0">
      <selection activeCell="B18" sqref="M18"/>
    </sheetView>
  </sheetViews>
  <sheetFormatPr baseColWidth="10" defaultColWidth="9.33203125" defaultRowHeight="11.25"/>
  <cols>
    <col min="1" max="1" width="22.83203125" customWidth="1"/>
    <col min="2" max="2" width="21.33203125" customWidth="1"/>
    <col min="3" max="3" width="16.5" customWidth="1"/>
    <col min="4" max="4" width="18.5" customWidth="1"/>
    <col min="5" max="5" width="11.33203125" customWidth="1"/>
    <col min="6" max="6" width="12.5" customWidth="1"/>
    <col min="7" max="7" width="16.1640625" bestFit="1" customWidth="1"/>
    <col min="8" max="8" width="13" bestFit="1" customWidth="1"/>
  </cols>
  <sheetData>
    <row r="1" spans="1:8" ht="17.25" customHeight="1">
      <c r="A1" s="918" t="s">
        <v>248</v>
      </c>
      <c r="B1" s="921" t="s">
        <v>54</v>
      </c>
      <c r="C1" s="924" t="str">
        <f>+'18. ANEXOI-1'!C2:F2</f>
        <v>ENERGÍA PRODUCIDA JUNIO 2022</v>
      </c>
      <c r="D1" s="924"/>
      <c r="E1" s="924"/>
      <c r="F1" s="924"/>
      <c r="G1" s="507" t="s">
        <v>274</v>
      </c>
      <c r="H1" s="203"/>
    </row>
    <row r="2" spans="1:8" ht="11.25" customHeight="1">
      <c r="A2" s="919"/>
      <c r="B2" s="922"/>
      <c r="C2" s="925" t="s">
        <v>275</v>
      </c>
      <c r="D2" s="925"/>
      <c r="E2" s="925"/>
      <c r="F2" s="926" t="str">
        <f>"TOTAL 
"&amp;UPPER('1. Resumen'!Q4)</f>
        <v>TOTAL 
JUNIO</v>
      </c>
      <c r="G2" s="508" t="s">
        <v>276</v>
      </c>
      <c r="H2" s="194"/>
    </row>
    <row r="3" spans="1:8" ht="11.25" customHeight="1">
      <c r="A3" s="919"/>
      <c r="B3" s="922"/>
      <c r="C3" s="500" t="s">
        <v>213</v>
      </c>
      <c r="D3" s="500" t="s">
        <v>214</v>
      </c>
      <c r="E3" s="500" t="s">
        <v>277</v>
      </c>
      <c r="F3" s="927"/>
      <c r="G3" s="508">
        <v>2022</v>
      </c>
      <c r="H3" s="196"/>
    </row>
    <row r="4" spans="1:8" ht="11.25" customHeight="1">
      <c r="A4" s="928"/>
      <c r="B4" s="929"/>
      <c r="C4" s="501" t="s">
        <v>278</v>
      </c>
      <c r="D4" s="501" t="s">
        <v>278</v>
      </c>
      <c r="E4" s="501" t="s">
        <v>278</v>
      </c>
      <c r="F4" s="501" t="s">
        <v>278</v>
      </c>
      <c r="G4" s="509" t="s">
        <v>206</v>
      </c>
      <c r="H4" s="196"/>
    </row>
    <row r="5" spans="1:8" ht="10.15" customHeight="1">
      <c r="A5" s="536" t="s">
        <v>87</v>
      </c>
      <c r="B5" s="503" t="s">
        <v>311</v>
      </c>
      <c r="C5" s="504">
        <v>23760.159610000002</v>
      </c>
      <c r="D5" s="504"/>
      <c r="E5" s="504"/>
      <c r="F5" s="504">
        <v>23760.159610000002</v>
      </c>
      <c r="G5" s="538">
        <v>302115.43768500001</v>
      </c>
    </row>
    <row r="6" spans="1:8" ht="10.15" customHeight="1">
      <c r="A6" s="536"/>
      <c r="B6" s="503" t="s">
        <v>312</v>
      </c>
      <c r="C6" s="504">
        <v>61189.161114999995</v>
      </c>
      <c r="D6" s="504"/>
      <c r="E6" s="504"/>
      <c r="F6" s="504">
        <v>61189.161114999995</v>
      </c>
      <c r="G6" s="538">
        <v>478006.27278500004</v>
      </c>
    </row>
    <row r="7" spans="1:8" ht="10.15" customHeight="1">
      <c r="A7" s="536"/>
      <c r="B7" s="503" t="s">
        <v>313</v>
      </c>
      <c r="C7" s="504"/>
      <c r="D7" s="504">
        <v>497299.53323249996</v>
      </c>
      <c r="E7" s="504"/>
      <c r="F7" s="504">
        <v>497299.53323249996</v>
      </c>
      <c r="G7" s="538">
        <v>1540471.3626224999</v>
      </c>
    </row>
    <row r="8" spans="1:8" ht="10.15" customHeight="1">
      <c r="A8" s="536"/>
      <c r="B8" s="503" t="s">
        <v>314</v>
      </c>
      <c r="C8" s="504"/>
      <c r="D8" s="504">
        <v>32760.16012</v>
      </c>
      <c r="E8" s="504"/>
      <c r="F8" s="504">
        <v>32760.16012</v>
      </c>
      <c r="G8" s="538">
        <v>198218.6225925</v>
      </c>
    </row>
    <row r="9" spans="1:8" ht="10.15" customHeight="1">
      <c r="A9" s="536"/>
      <c r="B9" s="503" t="s">
        <v>315</v>
      </c>
      <c r="C9" s="504"/>
      <c r="D9" s="504">
        <v>0</v>
      </c>
      <c r="E9" s="504"/>
      <c r="F9" s="504">
        <v>0</v>
      </c>
      <c r="G9" s="538">
        <v>6083.9352225000002</v>
      </c>
    </row>
    <row r="10" spans="1:8" ht="10.15" customHeight="1">
      <c r="A10" s="536"/>
      <c r="B10" s="503" t="s">
        <v>316</v>
      </c>
      <c r="C10" s="504"/>
      <c r="D10" s="504">
        <v>215.93036000000001</v>
      </c>
      <c r="E10" s="504"/>
      <c r="F10" s="504">
        <v>215.93036000000001</v>
      </c>
      <c r="G10" s="538">
        <v>3312.6655024999995</v>
      </c>
    </row>
    <row r="11" spans="1:8" ht="10.15" customHeight="1">
      <c r="A11" s="536"/>
      <c r="B11" s="503" t="s">
        <v>317</v>
      </c>
      <c r="C11" s="504"/>
      <c r="D11" s="504">
        <v>4614.4090575</v>
      </c>
      <c r="E11" s="504"/>
      <c r="F11" s="504">
        <v>4614.4090575</v>
      </c>
      <c r="G11" s="538">
        <v>5337.3518674999996</v>
      </c>
    </row>
    <row r="12" spans="1:8" ht="10.15" customHeight="1">
      <c r="A12" s="536"/>
      <c r="B12" s="503" t="s">
        <v>420</v>
      </c>
      <c r="C12" s="504"/>
      <c r="D12" s="504"/>
      <c r="E12" s="504">
        <v>7648.3643099999999</v>
      </c>
      <c r="F12" s="504">
        <v>7648.3643099999999</v>
      </c>
      <c r="G12" s="538">
        <v>50801.4401975</v>
      </c>
    </row>
    <row r="13" spans="1:8" ht="10.15" customHeight="1">
      <c r="A13" s="537" t="s">
        <v>498</v>
      </c>
      <c r="B13" s="401"/>
      <c r="C13" s="402">
        <v>84949.320724999998</v>
      </c>
      <c r="D13" s="402">
        <v>534890.03276999993</v>
      </c>
      <c r="E13" s="402">
        <v>7648.3643099999999</v>
      </c>
      <c r="F13" s="402">
        <v>627487.71780499991</v>
      </c>
      <c r="G13" s="539">
        <v>2584347.0884749996</v>
      </c>
    </row>
    <row r="14" spans="1:8" ht="10.15" customHeight="1">
      <c r="A14" s="536" t="s">
        <v>237</v>
      </c>
      <c r="B14" s="503" t="s">
        <v>318</v>
      </c>
      <c r="C14" s="504"/>
      <c r="D14" s="504">
        <v>386312.28400749998</v>
      </c>
      <c r="E14" s="504"/>
      <c r="F14" s="504">
        <v>386312.28400749998</v>
      </c>
      <c r="G14" s="538">
        <v>1946193.9637150001</v>
      </c>
    </row>
    <row r="15" spans="1:8" ht="10.15" customHeight="1">
      <c r="A15" s="537" t="s">
        <v>499</v>
      </c>
      <c r="B15" s="401"/>
      <c r="C15" s="402"/>
      <c r="D15" s="402">
        <v>386312.28400749998</v>
      </c>
      <c r="E15" s="402"/>
      <c r="F15" s="402">
        <v>386312.28400749998</v>
      </c>
      <c r="G15" s="539">
        <v>1946193.9637150001</v>
      </c>
    </row>
    <row r="16" spans="1:8" s="557" customFormat="1" ht="10.15" customHeight="1">
      <c r="A16" s="536" t="s">
        <v>445</v>
      </c>
      <c r="B16" s="503" t="s">
        <v>449</v>
      </c>
      <c r="C16" s="504"/>
      <c r="D16" s="504"/>
      <c r="E16" s="504">
        <v>8127.528662499999</v>
      </c>
      <c r="F16" s="504">
        <v>8127.528662499999</v>
      </c>
      <c r="G16" s="538">
        <v>74408.649742499998</v>
      </c>
    </row>
    <row r="17" spans="1:7" s="557" customFormat="1" ht="10.15" customHeight="1">
      <c r="A17" s="536"/>
      <c r="B17" s="503" t="s">
        <v>446</v>
      </c>
      <c r="C17" s="504"/>
      <c r="D17" s="504"/>
      <c r="E17" s="504">
        <v>2882.6659525</v>
      </c>
      <c r="F17" s="504">
        <v>2882.6659525</v>
      </c>
      <c r="G17" s="538">
        <v>26592.910919999998</v>
      </c>
    </row>
    <row r="18" spans="1:7" s="557" customFormat="1" ht="10.15" customHeight="1">
      <c r="A18" s="537" t="s">
        <v>500</v>
      </c>
      <c r="B18" s="401"/>
      <c r="C18" s="402"/>
      <c r="D18" s="402"/>
      <c r="E18" s="402">
        <v>11010.194614999999</v>
      </c>
      <c r="F18" s="402">
        <v>11010.194614999999</v>
      </c>
      <c r="G18" s="539">
        <v>101001.56066249999</v>
      </c>
    </row>
    <row r="19" spans="1:7" s="557" customFormat="1" ht="10.15" customHeight="1">
      <c r="A19" s="536" t="s">
        <v>108</v>
      </c>
      <c r="B19" s="503" t="s">
        <v>66</v>
      </c>
      <c r="C19" s="504"/>
      <c r="D19" s="504"/>
      <c r="E19" s="504">
        <v>5303.7292925000002</v>
      </c>
      <c r="F19" s="504">
        <v>5303.7292925000002</v>
      </c>
      <c r="G19" s="538">
        <v>27993.661380000005</v>
      </c>
    </row>
    <row r="20" spans="1:7" s="557" customFormat="1" ht="10.15" customHeight="1">
      <c r="A20" s="536"/>
      <c r="B20" s="503" t="s">
        <v>410</v>
      </c>
      <c r="C20" s="504"/>
      <c r="D20" s="504"/>
      <c r="E20" s="504">
        <v>3701.4006374999999</v>
      </c>
      <c r="F20" s="504">
        <v>3701.4006374999999</v>
      </c>
      <c r="G20" s="538">
        <v>65267.751772500007</v>
      </c>
    </row>
    <row r="21" spans="1:7" s="557" customFormat="1" ht="10.15" customHeight="1">
      <c r="A21" s="536"/>
      <c r="B21" s="503" t="s">
        <v>408</v>
      </c>
      <c r="C21" s="504"/>
      <c r="D21" s="504"/>
      <c r="E21" s="504">
        <v>4938.1988150000006</v>
      </c>
      <c r="F21" s="504">
        <v>4938.1988150000006</v>
      </c>
      <c r="G21" s="538">
        <v>67273.377794999993</v>
      </c>
    </row>
    <row r="22" spans="1:7" s="557" customFormat="1" ht="10.15" customHeight="1">
      <c r="A22" s="536"/>
      <c r="B22" s="503" t="s">
        <v>409</v>
      </c>
      <c r="C22" s="504"/>
      <c r="D22" s="504"/>
      <c r="E22" s="504">
        <v>5025.7970599999999</v>
      </c>
      <c r="F22" s="504">
        <v>5025.7970599999999</v>
      </c>
      <c r="G22" s="538">
        <v>66935.153307500004</v>
      </c>
    </row>
    <row r="23" spans="1:7" s="557" customFormat="1" ht="10.15" customHeight="1">
      <c r="A23" s="764" t="s">
        <v>501</v>
      </c>
      <c r="B23" s="765"/>
      <c r="C23" s="766"/>
      <c r="D23" s="766"/>
      <c r="E23" s="766">
        <v>18969.125805</v>
      </c>
      <c r="F23" s="766">
        <v>18969.125805</v>
      </c>
      <c r="G23" s="767">
        <v>227469.94425500001</v>
      </c>
    </row>
    <row r="24" spans="1:7" ht="10.15" customHeight="1">
      <c r="A24" s="536" t="s">
        <v>462</v>
      </c>
      <c r="B24" s="503" t="s">
        <v>470</v>
      </c>
      <c r="C24" s="504"/>
      <c r="D24" s="504"/>
      <c r="E24" s="504">
        <v>3782.0845374999999</v>
      </c>
      <c r="F24" s="504">
        <v>3782.0845374999999</v>
      </c>
      <c r="G24" s="538">
        <v>21832.964122500001</v>
      </c>
    </row>
    <row r="25" spans="1:7" ht="10.15" customHeight="1">
      <c r="A25" s="537" t="s">
        <v>502</v>
      </c>
      <c r="B25" s="401"/>
      <c r="C25" s="402"/>
      <c r="D25" s="402"/>
      <c r="E25" s="402">
        <v>3782.0845374999999</v>
      </c>
      <c r="F25" s="402">
        <v>3782.0845374999999</v>
      </c>
      <c r="G25" s="539">
        <v>21832.964122500001</v>
      </c>
    </row>
    <row r="26" spans="1:7" ht="10.15" customHeight="1">
      <c r="A26" s="536" t="s">
        <v>463</v>
      </c>
      <c r="B26" s="503" t="s">
        <v>471</v>
      </c>
      <c r="C26" s="504"/>
      <c r="D26" s="504"/>
      <c r="E26" s="504">
        <v>5290.7613174999997</v>
      </c>
      <c r="F26" s="504">
        <v>5290.7613174999997</v>
      </c>
      <c r="G26" s="538">
        <v>29464.582015</v>
      </c>
    </row>
    <row r="27" spans="1:7" ht="10.15" customHeight="1">
      <c r="A27" s="537" t="s">
        <v>503</v>
      </c>
      <c r="B27" s="401"/>
      <c r="C27" s="402"/>
      <c r="D27" s="402"/>
      <c r="E27" s="402">
        <v>5290.7613174999997</v>
      </c>
      <c r="F27" s="402">
        <v>5290.7613174999997</v>
      </c>
      <c r="G27" s="539">
        <v>29464.582015</v>
      </c>
    </row>
    <row r="28" spans="1:7" ht="10.15" customHeight="1">
      <c r="A28" s="536" t="s">
        <v>114</v>
      </c>
      <c r="B28" s="503" t="s">
        <v>74</v>
      </c>
      <c r="C28" s="504"/>
      <c r="D28" s="504"/>
      <c r="E28" s="504">
        <v>2098.6999999999998</v>
      </c>
      <c r="F28" s="504">
        <v>2098.6999999999998</v>
      </c>
      <c r="G28" s="538">
        <v>14161.900000000001</v>
      </c>
    </row>
    <row r="29" spans="1:7" ht="10.15" customHeight="1">
      <c r="A29" s="537" t="s">
        <v>504</v>
      </c>
      <c r="B29" s="401"/>
      <c r="C29" s="402"/>
      <c r="D29" s="402"/>
      <c r="E29" s="402">
        <v>2098.6999999999998</v>
      </c>
      <c r="F29" s="402">
        <v>2098.6999999999998</v>
      </c>
      <c r="G29" s="539">
        <v>14161.900000000001</v>
      </c>
    </row>
    <row r="30" spans="1:7" ht="10.15" customHeight="1">
      <c r="A30" s="536" t="s">
        <v>103</v>
      </c>
      <c r="B30" s="503" t="s">
        <v>319</v>
      </c>
      <c r="C30" s="504">
        <v>13210.577482500001</v>
      </c>
      <c r="D30" s="504"/>
      <c r="E30" s="504"/>
      <c r="F30" s="504">
        <v>13210.577482500001</v>
      </c>
      <c r="G30" s="538">
        <v>80843.40731000001</v>
      </c>
    </row>
    <row r="31" spans="1:7" ht="10.15" customHeight="1">
      <c r="A31" s="537" t="s">
        <v>505</v>
      </c>
      <c r="B31" s="401"/>
      <c r="C31" s="402">
        <v>13210.577482500001</v>
      </c>
      <c r="D31" s="402"/>
      <c r="E31" s="402"/>
      <c r="F31" s="402">
        <v>13210.577482500001</v>
      </c>
      <c r="G31" s="539">
        <v>80843.40731000001</v>
      </c>
    </row>
    <row r="32" spans="1:7" ht="10.15" customHeight="1">
      <c r="A32" s="536" t="s">
        <v>238</v>
      </c>
      <c r="B32" s="503" t="s">
        <v>59</v>
      </c>
      <c r="C32" s="504"/>
      <c r="D32" s="504"/>
      <c r="E32" s="504">
        <v>12231.456749999999</v>
      </c>
      <c r="F32" s="504">
        <v>12231.456749999999</v>
      </c>
      <c r="G32" s="538">
        <v>68913.417319999993</v>
      </c>
    </row>
    <row r="33" spans="1:7" ht="10.15" customHeight="1">
      <c r="A33" s="537" t="s">
        <v>506</v>
      </c>
      <c r="B33" s="401"/>
      <c r="C33" s="402"/>
      <c r="D33" s="402"/>
      <c r="E33" s="402">
        <v>12231.456749999999</v>
      </c>
      <c r="F33" s="402">
        <v>12231.456749999999</v>
      </c>
      <c r="G33" s="539">
        <v>68913.417319999993</v>
      </c>
    </row>
    <row r="34" spans="1:7" ht="10.15" customHeight="1">
      <c r="A34" s="536" t="s">
        <v>407</v>
      </c>
      <c r="B34" s="503" t="s">
        <v>689</v>
      </c>
      <c r="C34" s="504">
        <v>59.368000000000002</v>
      </c>
      <c r="D34" s="504"/>
      <c r="E34" s="504"/>
      <c r="F34" s="504">
        <v>59.368000000000002</v>
      </c>
      <c r="G34" s="538">
        <v>1444.7089999999998</v>
      </c>
    </row>
    <row r="35" spans="1:7" ht="10.15" customHeight="1">
      <c r="A35" s="537" t="s">
        <v>507</v>
      </c>
      <c r="B35" s="401"/>
      <c r="C35" s="402">
        <v>59.368000000000002</v>
      </c>
      <c r="D35" s="402"/>
      <c r="E35" s="402"/>
      <c r="F35" s="402">
        <v>59.368000000000002</v>
      </c>
      <c r="G35" s="539">
        <v>1444.7089999999998</v>
      </c>
    </row>
    <row r="36" spans="1:7" ht="10.15" customHeight="1">
      <c r="A36" s="536" t="s">
        <v>422</v>
      </c>
      <c r="B36" s="503" t="s">
        <v>426</v>
      </c>
      <c r="C36" s="504">
        <v>60393.483797499997</v>
      </c>
      <c r="D36" s="504"/>
      <c r="E36" s="504"/>
      <c r="F36" s="504">
        <v>60393.483797499997</v>
      </c>
      <c r="G36" s="538">
        <v>379210.6264500001</v>
      </c>
    </row>
    <row r="37" spans="1:7" ht="10.15" customHeight="1">
      <c r="A37" s="537" t="s">
        <v>508</v>
      </c>
      <c r="B37" s="401"/>
      <c r="C37" s="402">
        <v>60393.483797499997</v>
      </c>
      <c r="D37" s="402"/>
      <c r="E37" s="402"/>
      <c r="F37" s="402">
        <v>60393.483797499997</v>
      </c>
      <c r="G37" s="539">
        <v>379210.6264500001</v>
      </c>
    </row>
    <row r="38" spans="1:7" ht="10.15" customHeight="1">
      <c r="A38" s="536" t="s">
        <v>453</v>
      </c>
      <c r="B38" s="503" t="s">
        <v>458</v>
      </c>
      <c r="C38" s="504"/>
      <c r="D38" s="504"/>
      <c r="E38" s="504">
        <v>0</v>
      </c>
      <c r="F38" s="504">
        <v>0</v>
      </c>
      <c r="G38" s="538">
        <v>48040.194230000001</v>
      </c>
    </row>
    <row r="39" spans="1:7" ht="10.15" customHeight="1">
      <c r="A39" s="537" t="s">
        <v>509</v>
      </c>
      <c r="B39" s="401"/>
      <c r="C39" s="402"/>
      <c r="D39" s="402"/>
      <c r="E39" s="402">
        <v>0</v>
      </c>
      <c r="F39" s="402">
        <v>0</v>
      </c>
      <c r="G39" s="539">
        <v>48040.194230000001</v>
      </c>
    </row>
    <row r="40" spans="1:7" s="46" customFormat="1" ht="10.15" customHeight="1">
      <c r="A40" s="536" t="s">
        <v>116</v>
      </c>
      <c r="B40" s="503" t="s">
        <v>321</v>
      </c>
      <c r="C40" s="504"/>
      <c r="D40" s="504">
        <v>0</v>
      </c>
      <c r="E40" s="504"/>
      <c r="F40" s="504">
        <v>0</v>
      </c>
      <c r="G40" s="538">
        <v>129.2489775</v>
      </c>
    </row>
    <row r="41" spans="1:7" ht="10.15" customHeight="1">
      <c r="A41" s="536"/>
      <c r="B41" s="503" t="s">
        <v>322</v>
      </c>
      <c r="C41" s="504"/>
      <c r="D41" s="504">
        <v>175.67353499999999</v>
      </c>
      <c r="E41" s="504"/>
      <c r="F41" s="504">
        <v>175.67353499999999</v>
      </c>
      <c r="G41" s="538">
        <v>927.80487500000004</v>
      </c>
    </row>
    <row r="42" spans="1:7" ht="10.15" customHeight="1">
      <c r="A42" s="537" t="s">
        <v>510</v>
      </c>
      <c r="B42" s="401"/>
      <c r="C42" s="402"/>
      <c r="D42" s="402">
        <v>175.67353499999999</v>
      </c>
      <c r="E42" s="402"/>
      <c r="F42" s="402">
        <v>175.67353499999999</v>
      </c>
      <c r="G42" s="539">
        <v>1057.0538524999999</v>
      </c>
    </row>
    <row r="43" spans="1:7" ht="10.15" customHeight="1">
      <c r="A43" s="536" t="s">
        <v>405</v>
      </c>
      <c r="B43" s="503" t="s">
        <v>323</v>
      </c>
      <c r="C43" s="504"/>
      <c r="D43" s="504">
        <v>367839.37150000001</v>
      </c>
      <c r="E43" s="504"/>
      <c r="F43" s="504">
        <v>367839.37150000001</v>
      </c>
      <c r="G43" s="538">
        <v>2139171.7030600002</v>
      </c>
    </row>
    <row r="44" spans="1:7" ht="10.15" customHeight="1">
      <c r="A44" s="536"/>
      <c r="B44" s="503" t="s">
        <v>690</v>
      </c>
      <c r="C44" s="504"/>
      <c r="D44" s="504">
        <v>201997.72925000003</v>
      </c>
      <c r="E44" s="504"/>
      <c r="F44" s="504">
        <v>201997.72925000003</v>
      </c>
      <c r="G44" s="538">
        <v>495644.49675000005</v>
      </c>
    </row>
    <row r="45" spans="1:7" ht="10.15" customHeight="1">
      <c r="A45" s="536"/>
      <c r="B45" s="503" t="s">
        <v>424</v>
      </c>
      <c r="C45" s="504">
        <v>195846.86300000001</v>
      </c>
      <c r="D45" s="504"/>
      <c r="E45" s="504"/>
      <c r="F45" s="504">
        <v>195846.86300000001</v>
      </c>
      <c r="G45" s="538">
        <v>1798207.0304999999</v>
      </c>
    </row>
    <row r="46" spans="1:7" ht="10.15" customHeight="1">
      <c r="A46" s="536"/>
      <c r="B46" s="503" t="s">
        <v>324</v>
      </c>
      <c r="C46" s="504">
        <v>3191.4735000000001</v>
      </c>
      <c r="D46" s="504"/>
      <c r="E46" s="504"/>
      <c r="F46" s="504">
        <v>3191.4735000000001</v>
      </c>
      <c r="G46" s="538">
        <v>30773.325999999997</v>
      </c>
    </row>
    <row r="47" spans="1:7" ht="10.15" customHeight="1">
      <c r="A47" s="537" t="s">
        <v>511</v>
      </c>
      <c r="B47" s="401"/>
      <c r="C47" s="402">
        <v>199038.3365</v>
      </c>
      <c r="D47" s="402">
        <v>569837.10074999998</v>
      </c>
      <c r="E47" s="402"/>
      <c r="F47" s="402">
        <v>768875.43724999996</v>
      </c>
      <c r="G47" s="539">
        <v>4463796.5563100008</v>
      </c>
    </row>
    <row r="48" spans="1:7" ht="10.15" customHeight="1">
      <c r="A48" s="536" t="s">
        <v>472</v>
      </c>
      <c r="B48" s="503" t="s">
        <v>562</v>
      </c>
      <c r="C48" s="504">
        <v>30790.068467500001</v>
      </c>
      <c r="D48" s="504"/>
      <c r="E48" s="504"/>
      <c r="F48" s="504">
        <v>30790.068467500001</v>
      </c>
      <c r="G48" s="538">
        <v>240714.08901249999</v>
      </c>
    </row>
    <row r="49" spans="1:8" ht="10.15" customHeight="1">
      <c r="A49" s="537" t="s">
        <v>512</v>
      </c>
      <c r="B49" s="401"/>
      <c r="C49" s="402">
        <v>30790.068467500001</v>
      </c>
      <c r="D49" s="402"/>
      <c r="E49" s="402"/>
      <c r="F49" s="402">
        <v>30790.068467500001</v>
      </c>
      <c r="G49" s="539">
        <v>240714.08901249999</v>
      </c>
    </row>
    <row r="50" spans="1:8" ht="10.15" customHeight="1">
      <c r="A50" s="536" t="s">
        <v>115</v>
      </c>
      <c r="B50" s="503" t="s">
        <v>72</v>
      </c>
      <c r="C50" s="504"/>
      <c r="D50" s="504"/>
      <c r="E50" s="504">
        <v>1332.3232499999999</v>
      </c>
      <c r="F50" s="504">
        <v>1332.3232499999999</v>
      </c>
      <c r="G50" s="538">
        <v>9099.3268749999988</v>
      </c>
    </row>
    <row r="51" spans="1:8" ht="10.15" customHeight="1">
      <c r="A51" s="537" t="s">
        <v>513</v>
      </c>
      <c r="B51" s="401"/>
      <c r="C51" s="402"/>
      <c r="D51" s="402"/>
      <c r="E51" s="402">
        <v>1332.3232499999999</v>
      </c>
      <c r="F51" s="402">
        <v>1332.3232499999999</v>
      </c>
      <c r="G51" s="539">
        <v>9099.3268749999988</v>
      </c>
      <c r="H51" s="319"/>
    </row>
    <row r="52" spans="1:8" ht="10.15" customHeight="1">
      <c r="A52" s="536" t="s">
        <v>460</v>
      </c>
      <c r="B52" s="503" t="s">
        <v>231</v>
      </c>
      <c r="C52" s="504"/>
      <c r="D52" s="504"/>
      <c r="E52" s="504">
        <v>3435.5207999999998</v>
      </c>
      <c r="F52" s="504">
        <v>3435.5207999999998</v>
      </c>
      <c r="G52" s="538">
        <v>22410.055349999999</v>
      </c>
    </row>
    <row r="53" spans="1:8" ht="10.15" customHeight="1">
      <c r="A53" s="537" t="s">
        <v>514</v>
      </c>
      <c r="B53" s="401"/>
      <c r="C53" s="402"/>
      <c r="D53" s="402"/>
      <c r="E53" s="402">
        <v>3435.5207999999998</v>
      </c>
      <c r="F53" s="402">
        <v>3435.5207999999998</v>
      </c>
      <c r="G53" s="539">
        <v>22410.055349999999</v>
      </c>
    </row>
    <row r="54" spans="1:8" ht="10.15" customHeight="1">
      <c r="A54" s="536" t="s">
        <v>110</v>
      </c>
      <c r="B54" s="503" t="s">
        <v>81</v>
      </c>
      <c r="C54" s="504"/>
      <c r="D54" s="504"/>
      <c r="E54" s="504">
        <v>3157.2381475000002</v>
      </c>
      <c r="F54" s="504">
        <v>3157.2381475000002</v>
      </c>
      <c r="G54" s="538">
        <v>22552.759127500001</v>
      </c>
    </row>
    <row r="55" spans="1:8" ht="10.15" customHeight="1">
      <c r="A55" s="537" t="s">
        <v>515</v>
      </c>
      <c r="B55" s="401"/>
      <c r="C55" s="402"/>
      <c r="D55" s="402"/>
      <c r="E55" s="402">
        <v>3157.2381475000002</v>
      </c>
      <c r="F55" s="402">
        <v>3157.2381475000002</v>
      </c>
      <c r="G55" s="539">
        <v>22552.759127500001</v>
      </c>
    </row>
    <row r="56" spans="1:8" ht="9" customHeight="1">
      <c r="A56" s="536" t="s">
        <v>239</v>
      </c>
      <c r="B56" s="503" t="s">
        <v>71</v>
      </c>
      <c r="C56" s="504"/>
      <c r="D56" s="504"/>
      <c r="E56" s="504">
        <v>3842.4575</v>
      </c>
      <c r="F56" s="504">
        <v>3842.4575</v>
      </c>
      <c r="G56" s="538">
        <v>22991.035249999997</v>
      </c>
    </row>
    <row r="57" spans="1:8" ht="9" customHeight="1">
      <c r="A57" s="536"/>
      <c r="B57" s="503" t="s">
        <v>325</v>
      </c>
      <c r="C57" s="504">
        <v>78173.572499999995</v>
      </c>
      <c r="D57" s="504"/>
      <c r="E57" s="504"/>
      <c r="F57" s="504">
        <v>78173.572499999995</v>
      </c>
      <c r="G57" s="538">
        <v>850646.84691000008</v>
      </c>
    </row>
    <row r="58" spans="1:8" ht="9" customHeight="1">
      <c r="A58" s="536"/>
      <c r="B58" s="503" t="s">
        <v>326</v>
      </c>
      <c r="C58" s="504">
        <v>61946.912499999999</v>
      </c>
      <c r="D58" s="504"/>
      <c r="E58" s="504"/>
      <c r="F58" s="504">
        <v>61946.912499999999</v>
      </c>
      <c r="G58" s="538">
        <v>374365.19333000004</v>
      </c>
    </row>
    <row r="59" spans="1:8" ht="9" customHeight="1">
      <c r="A59" s="536"/>
      <c r="B59" s="503" t="s">
        <v>62</v>
      </c>
      <c r="C59" s="504"/>
      <c r="D59" s="504"/>
      <c r="E59" s="504">
        <v>7132.2325000000001</v>
      </c>
      <c r="F59" s="504">
        <v>7132.2325000000001</v>
      </c>
      <c r="G59" s="538">
        <v>42306.881682500003</v>
      </c>
    </row>
    <row r="60" spans="1:8" ht="9" customHeight="1">
      <c r="A60" s="537" t="s">
        <v>516</v>
      </c>
      <c r="B60" s="401"/>
      <c r="C60" s="402">
        <v>140120.48499999999</v>
      </c>
      <c r="D60" s="402"/>
      <c r="E60" s="402">
        <v>10974.69</v>
      </c>
      <c r="F60" s="402">
        <v>151095.17500000002</v>
      </c>
      <c r="G60" s="539">
        <v>1290309.9571725002</v>
      </c>
    </row>
    <row r="61" spans="1:8" ht="9" customHeight="1">
      <c r="A61" s="536" t="s">
        <v>240</v>
      </c>
      <c r="B61" s="503" t="s">
        <v>78</v>
      </c>
      <c r="C61" s="504"/>
      <c r="D61" s="504"/>
      <c r="E61" s="504">
        <v>12811.9535225</v>
      </c>
      <c r="F61" s="504">
        <v>12811.9535225</v>
      </c>
      <c r="G61" s="538">
        <v>90661.768085000003</v>
      </c>
    </row>
    <row r="62" spans="1:8" ht="9" customHeight="1">
      <c r="A62" s="537" t="s">
        <v>517</v>
      </c>
      <c r="B62" s="401"/>
      <c r="C62" s="402"/>
      <c r="D62" s="402"/>
      <c r="E62" s="402">
        <v>12811.9535225</v>
      </c>
      <c r="F62" s="402">
        <v>12811.9535225</v>
      </c>
      <c r="G62" s="539">
        <v>90661.768085000003</v>
      </c>
    </row>
    <row r="63" spans="1:8" ht="9" customHeight="1">
      <c r="A63" s="536" t="s">
        <v>99</v>
      </c>
      <c r="B63" s="503" t="s">
        <v>76</v>
      </c>
      <c r="C63" s="504"/>
      <c r="D63" s="504"/>
      <c r="E63" s="504">
        <v>38330.881479999996</v>
      </c>
      <c r="F63" s="504">
        <v>38330.881479999996</v>
      </c>
      <c r="G63" s="538">
        <v>257768.56114499999</v>
      </c>
    </row>
    <row r="64" spans="1:8" ht="9" customHeight="1">
      <c r="A64" s="537" t="s">
        <v>518</v>
      </c>
      <c r="B64" s="401"/>
      <c r="C64" s="402"/>
      <c r="D64" s="402"/>
      <c r="E64" s="402">
        <v>38330.881479999996</v>
      </c>
      <c r="F64" s="402">
        <v>38330.881479999996</v>
      </c>
      <c r="G64" s="539">
        <v>257768.56114499999</v>
      </c>
    </row>
    <row r="65" spans="1:7" ht="9" customHeight="1">
      <c r="A65" s="536" t="s">
        <v>107</v>
      </c>
      <c r="B65" s="503" t="s">
        <v>230</v>
      </c>
      <c r="C65" s="504"/>
      <c r="D65" s="504"/>
      <c r="E65" s="504">
        <v>3706.5928475000001</v>
      </c>
      <c r="F65" s="504">
        <v>3706.5928475000001</v>
      </c>
      <c r="G65" s="538">
        <v>27261.242212500001</v>
      </c>
    </row>
    <row r="66" spans="1:7" ht="9" customHeight="1">
      <c r="A66" s="537" t="s">
        <v>519</v>
      </c>
      <c r="B66" s="401"/>
      <c r="C66" s="402"/>
      <c r="D66" s="402"/>
      <c r="E66" s="402">
        <v>3706.5928475000001</v>
      </c>
      <c r="F66" s="402">
        <v>3706.5928475000001</v>
      </c>
      <c r="G66" s="539">
        <v>27261.242212500001</v>
      </c>
    </row>
    <row r="67" spans="1:7" ht="9.6" customHeight="1">
      <c r="A67" s="536" t="s">
        <v>406</v>
      </c>
      <c r="B67" s="503" t="s">
        <v>85</v>
      </c>
      <c r="C67" s="504"/>
      <c r="D67" s="504"/>
      <c r="E67" s="504">
        <v>1957.3849749999999</v>
      </c>
      <c r="F67" s="504">
        <v>1957.3849749999999</v>
      </c>
      <c r="G67" s="538">
        <v>9528.1932899999993</v>
      </c>
    </row>
    <row r="68" spans="1:7" ht="9.6" customHeight="1">
      <c r="A68" s="536"/>
      <c r="B68" s="503" t="s">
        <v>84</v>
      </c>
      <c r="C68" s="504"/>
      <c r="D68" s="504"/>
      <c r="E68" s="504">
        <v>2432.259325</v>
      </c>
      <c r="F68" s="504">
        <v>2432.259325</v>
      </c>
      <c r="G68" s="538">
        <v>13587.394872500001</v>
      </c>
    </row>
    <row r="69" spans="1:7" ht="9.6" customHeight="1">
      <c r="A69" s="536"/>
      <c r="B69" s="503" t="s">
        <v>421</v>
      </c>
      <c r="C69" s="504"/>
      <c r="D69" s="504"/>
      <c r="E69" s="504">
        <v>926.45827499999996</v>
      </c>
      <c r="F69" s="504">
        <v>926.45827499999996</v>
      </c>
      <c r="G69" s="538">
        <v>6759.7425375000012</v>
      </c>
    </row>
    <row r="70" spans="1:7" ht="9.6" customHeight="1">
      <c r="A70" s="536"/>
      <c r="B70" s="503" t="s">
        <v>457</v>
      </c>
      <c r="C70" s="504"/>
      <c r="D70" s="504"/>
      <c r="E70" s="504">
        <v>1234.6742999999999</v>
      </c>
      <c r="F70" s="504">
        <v>1234.6742999999999</v>
      </c>
      <c r="G70" s="538">
        <v>6711.3895750000001</v>
      </c>
    </row>
    <row r="71" spans="1:7" ht="9.6" customHeight="1">
      <c r="A71" s="537" t="s">
        <v>520</v>
      </c>
      <c r="B71" s="401"/>
      <c r="C71" s="402"/>
      <c r="D71" s="402"/>
      <c r="E71" s="402">
        <v>6550.7768749999996</v>
      </c>
      <c r="F71" s="402">
        <v>6550.7768749999996</v>
      </c>
      <c r="G71" s="539">
        <v>36586.720275</v>
      </c>
    </row>
    <row r="72" spans="1:7" ht="9.6" customHeight="1">
      <c r="A72" s="536" t="s">
        <v>241</v>
      </c>
      <c r="B72" s="503" t="s">
        <v>327</v>
      </c>
      <c r="C72" s="504"/>
      <c r="D72" s="504">
        <v>19.518160000000002</v>
      </c>
      <c r="E72" s="504"/>
      <c r="F72" s="504">
        <v>19.518160000000002</v>
      </c>
      <c r="G72" s="538">
        <v>68.243527499999999</v>
      </c>
    </row>
    <row r="73" spans="1:7" ht="9.6" customHeight="1">
      <c r="A73" s="537" t="s">
        <v>521</v>
      </c>
      <c r="B73" s="401"/>
      <c r="C73" s="402"/>
      <c r="D73" s="402">
        <v>19.518160000000002</v>
      </c>
      <c r="E73" s="402"/>
      <c r="F73" s="402">
        <v>19.518160000000002</v>
      </c>
      <c r="G73" s="539">
        <v>68.243527499999999</v>
      </c>
    </row>
    <row r="74" spans="1:7" ht="9.6" customHeight="1">
      <c r="A74" s="536" t="s">
        <v>461</v>
      </c>
      <c r="B74" s="503" t="s">
        <v>82</v>
      </c>
      <c r="C74" s="504"/>
      <c r="D74" s="504"/>
      <c r="E74" s="504">
        <v>3268.4066825</v>
      </c>
      <c r="F74" s="504">
        <v>3268.4066825</v>
      </c>
      <c r="G74" s="538">
        <v>21143.99252</v>
      </c>
    </row>
    <row r="75" spans="1:7" ht="9.6" customHeight="1">
      <c r="A75" s="537" t="s">
        <v>522</v>
      </c>
      <c r="B75" s="401"/>
      <c r="C75" s="402"/>
      <c r="D75" s="402"/>
      <c r="E75" s="402">
        <v>3268.4066825</v>
      </c>
      <c r="F75" s="402">
        <v>3268.4066825</v>
      </c>
      <c r="G75" s="539">
        <v>21143.99252</v>
      </c>
    </row>
    <row r="76" spans="1:7" ht="9.6" customHeight="1">
      <c r="A76" s="536" t="s">
        <v>436</v>
      </c>
      <c r="B76" s="503" t="s">
        <v>447</v>
      </c>
      <c r="C76" s="504"/>
      <c r="D76" s="504"/>
      <c r="E76" s="504">
        <v>7709.4401350000007</v>
      </c>
      <c r="F76" s="504">
        <v>7709.4401350000007</v>
      </c>
      <c r="G76" s="538">
        <v>72811.401162499998</v>
      </c>
    </row>
    <row r="77" spans="1:7" ht="9.6" customHeight="1">
      <c r="A77" s="537" t="s">
        <v>523</v>
      </c>
      <c r="B77" s="401"/>
      <c r="C77" s="402"/>
      <c r="D77" s="402"/>
      <c r="E77" s="402">
        <v>7709.4401350000007</v>
      </c>
      <c r="F77" s="402">
        <v>7709.4401350000007</v>
      </c>
      <c r="G77" s="539">
        <v>72811.401162499998</v>
      </c>
    </row>
    <row r="78" spans="1:7" ht="10.15" customHeight="1">
      <c r="A78" s="536" t="s">
        <v>104</v>
      </c>
      <c r="B78" s="503" t="s">
        <v>61</v>
      </c>
      <c r="C78" s="504"/>
      <c r="D78" s="504"/>
      <c r="E78" s="504">
        <v>10894.325489999999</v>
      </c>
      <c r="F78" s="504">
        <v>10894.325489999999</v>
      </c>
      <c r="G78" s="538">
        <v>69161.045075000002</v>
      </c>
    </row>
    <row r="79" spans="1:7" ht="10.15" customHeight="1">
      <c r="A79" s="537" t="s">
        <v>524</v>
      </c>
      <c r="B79" s="401"/>
      <c r="C79" s="402"/>
      <c r="D79" s="402"/>
      <c r="E79" s="402">
        <v>10894.325489999999</v>
      </c>
      <c r="F79" s="402">
        <v>10894.325489999999</v>
      </c>
      <c r="G79" s="539">
        <v>69161.045075000002</v>
      </c>
    </row>
    <row r="80" spans="1:7" ht="12" customHeight="1"/>
  </sheetData>
  <mergeCells count="5">
    <mergeCell ref="A1:A4"/>
    <mergeCell ref="B1:B4"/>
    <mergeCell ref="C1:F1"/>
    <mergeCell ref="C2:E2"/>
    <mergeCell ref="F2:F3"/>
  </mergeCells>
  <pageMargins left="0.59055118110236227" right="0.39370078740157483" top="0.92958333333333332"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5"/>
  <sheetViews>
    <sheetView showGridLines="0" view="pageBreakPreview" zoomScaleNormal="100" zoomScaleSheetLayoutView="100" zoomScalePageLayoutView="130" workbookViewId="0">
      <selection activeCell="B18" sqref="M18"/>
    </sheetView>
  </sheetViews>
  <sheetFormatPr baseColWidth="10"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18" t="s">
        <v>248</v>
      </c>
      <c r="B1" s="921" t="s">
        <v>54</v>
      </c>
      <c r="C1" s="924" t="str">
        <f>+'19. ANEXOI-2'!C1:F1</f>
        <v>ENERGÍA PRODUCIDA JUNIO 2022</v>
      </c>
      <c r="D1" s="924"/>
      <c r="E1" s="924"/>
      <c r="F1" s="924"/>
      <c r="G1" s="507" t="s">
        <v>274</v>
      </c>
      <c r="H1" s="203"/>
    </row>
    <row r="2" spans="1:8" ht="11.25" customHeight="1">
      <c r="A2" s="919"/>
      <c r="B2" s="922"/>
      <c r="C2" s="925" t="s">
        <v>275</v>
      </c>
      <c r="D2" s="925"/>
      <c r="E2" s="925"/>
      <c r="F2" s="926" t="str">
        <f>"TOTAL 
"&amp;UPPER('1. Resumen'!Q4)</f>
        <v>TOTAL 
JUNIO</v>
      </c>
      <c r="G2" s="508" t="s">
        <v>276</v>
      </c>
      <c r="H2" s="194"/>
    </row>
    <row r="3" spans="1:8" ht="11.25" customHeight="1">
      <c r="A3" s="919"/>
      <c r="B3" s="922"/>
      <c r="C3" s="500" t="s">
        <v>213</v>
      </c>
      <c r="D3" s="500" t="s">
        <v>214</v>
      </c>
      <c r="E3" s="500" t="s">
        <v>277</v>
      </c>
      <c r="F3" s="927"/>
      <c r="G3" s="508">
        <v>2022</v>
      </c>
      <c r="H3" s="196"/>
    </row>
    <row r="4" spans="1:8" ht="11.25" customHeight="1">
      <c r="A4" s="928"/>
      <c r="B4" s="929"/>
      <c r="C4" s="501" t="s">
        <v>278</v>
      </c>
      <c r="D4" s="501" t="s">
        <v>278</v>
      </c>
      <c r="E4" s="501" t="s">
        <v>278</v>
      </c>
      <c r="F4" s="501" t="s">
        <v>278</v>
      </c>
      <c r="G4" s="509" t="s">
        <v>206</v>
      </c>
      <c r="H4" s="196"/>
    </row>
    <row r="5" spans="1:8" s="299" customFormat="1" ht="9" customHeight="1">
      <c r="A5" s="536" t="s">
        <v>242</v>
      </c>
      <c r="B5" s="503" t="s">
        <v>328</v>
      </c>
      <c r="C5" s="504"/>
      <c r="D5" s="504">
        <v>426.7115</v>
      </c>
      <c r="E5" s="504"/>
      <c r="F5" s="504">
        <v>426.7115</v>
      </c>
      <c r="G5" s="538">
        <v>2552.1541474999999</v>
      </c>
    </row>
    <row r="6" spans="1:8" s="299" customFormat="1" ht="9" customHeight="1">
      <c r="A6" s="537" t="s">
        <v>525</v>
      </c>
      <c r="B6" s="401"/>
      <c r="C6" s="402"/>
      <c r="D6" s="402">
        <v>426.7115</v>
      </c>
      <c r="E6" s="402"/>
      <c r="F6" s="402">
        <v>426.7115</v>
      </c>
      <c r="G6" s="539">
        <v>2552.1541474999999</v>
      </c>
    </row>
    <row r="7" spans="1:8" s="299" customFormat="1" ht="9" customHeight="1">
      <c r="A7" s="536" t="s">
        <v>95</v>
      </c>
      <c r="B7" s="503" t="s">
        <v>329</v>
      </c>
      <c r="C7" s="504">
        <v>46266.294557499998</v>
      </c>
      <c r="D7" s="504"/>
      <c r="E7" s="504"/>
      <c r="F7" s="504">
        <v>46266.294557499998</v>
      </c>
      <c r="G7" s="538">
        <v>411814.61895999993</v>
      </c>
    </row>
    <row r="8" spans="1:8" s="299" customFormat="1" ht="9" customHeight="1">
      <c r="A8" s="536"/>
      <c r="B8" s="503" t="s">
        <v>565</v>
      </c>
      <c r="C8" s="504">
        <v>0</v>
      </c>
      <c r="D8" s="504"/>
      <c r="E8" s="504"/>
      <c r="F8" s="504">
        <v>0</v>
      </c>
      <c r="G8" s="538">
        <v>1378.2734850000002</v>
      </c>
    </row>
    <row r="9" spans="1:8" s="299" customFormat="1" ht="9" customHeight="1">
      <c r="A9" s="537" t="s">
        <v>526</v>
      </c>
      <c r="B9" s="401"/>
      <c r="C9" s="402">
        <v>46266.294557499998</v>
      </c>
      <c r="D9" s="402"/>
      <c r="E9" s="402"/>
      <c r="F9" s="402">
        <v>46266.294557499998</v>
      </c>
      <c r="G9" s="539">
        <v>413192.89244499995</v>
      </c>
    </row>
    <row r="10" spans="1:8" s="299" customFormat="1" ht="9" customHeight="1">
      <c r="A10" s="536" t="s">
        <v>423</v>
      </c>
      <c r="B10" s="503" t="s">
        <v>452</v>
      </c>
      <c r="C10" s="504"/>
      <c r="D10" s="504"/>
      <c r="E10" s="504">
        <v>4653.8535124999999</v>
      </c>
      <c r="F10" s="504">
        <v>4653.8535124999999</v>
      </c>
      <c r="G10" s="538">
        <v>19965.2390375</v>
      </c>
    </row>
    <row r="11" spans="1:8" s="299" customFormat="1" ht="9" customHeight="1">
      <c r="A11" s="537" t="s">
        <v>527</v>
      </c>
      <c r="B11" s="401"/>
      <c r="C11" s="402"/>
      <c r="D11" s="402"/>
      <c r="E11" s="402">
        <v>4653.8535124999999</v>
      </c>
      <c r="F11" s="402">
        <v>4653.8535124999999</v>
      </c>
      <c r="G11" s="539">
        <v>19965.2390375</v>
      </c>
    </row>
    <row r="12" spans="1:8" s="299" customFormat="1" ht="9" customHeight="1">
      <c r="A12" s="536" t="s">
        <v>397</v>
      </c>
      <c r="B12" s="503" t="s">
        <v>401</v>
      </c>
      <c r="C12" s="504"/>
      <c r="D12" s="504"/>
      <c r="E12" s="504">
        <v>14366.26282</v>
      </c>
      <c r="F12" s="504">
        <v>14366.26282</v>
      </c>
      <c r="G12" s="538">
        <v>79108.187747500007</v>
      </c>
    </row>
    <row r="13" spans="1:8" s="299" customFormat="1" ht="9" customHeight="1">
      <c r="A13" s="537" t="s">
        <v>528</v>
      </c>
      <c r="B13" s="401"/>
      <c r="C13" s="402"/>
      <c r="D13" s="402"/>
      <c r="E13" s="402">
        <v>14366.26282</v>
      </c>
      <c r="F13" s="402">
        <v>14366.26282</v>
      </c>
      <c r="G13" s="539">
        <v>79108.187747500007</v>
      </c>
    </row>
    <row r="14" spans="1:8" s="299" customFormat="1" ht="9" customHeight="1">
      <c r="A14" s="536" t="s">
        <v>102</v>
      </c>
      <c r="B14" s="503" t="s">
        <v>330</v>
      </c>
      <c r="C14" s="504"/>
      <c r="D14" s="504">
        <v>4438.558</v>
      </c>
      <c r="E14" s="504"/>
      <c r="F14" s="504">
        <v>4438.558</v>
      </c>
      <c r="G14" s="538">
        <v>76132.328905000002</v>
      </c>
    </row>
    <row r="15" spans="1:8" s="299" customFormat="1" ht="9" customHeight="1">
      <c r="A15" s="537" t="s">
        <v>529</v>
      </c>
      <c r="B15" s="401"/>
      <c r="C15" s="402"/>
      <c r="D15" s="402">
        <v>4438.558</v>
      </c>
      <c r="E15" s="402"/>
      <c r="F15" s="402">
        <v>4438.558</v>
      </c>
      <c r="G15" s="539">
        <v>76132.328905000002</v>
      </c>
    </row>
    <row r="16" spans="1:8" s="299" customFormat="1" ht="9" customHeight="1">
      <c r="A16" s="536" t="s">
        <v>117</v>
      </c>
      <c r="B16" s="503" t="s">
        <v>331</v>
      </c>
      <c r="C16" s="504"/>
      <c r="D16" s="504">
        <v>0</v>
      </c>
      <c r="E16" s="504"/>
      <c r="F16" s="504">
        <v>0</v>
      </c>
      <c r="G16" s="538">
        <v>6196.6639100000002</v>
      </c>
    </row>
    <row r="17" spans="1:7" s="299" customFormat="1" ht="9" customHeight="1">
      <c r="A17" s="537" t="s">
        <v>530</v>
      </c>
      <c r="B17" s="401"/>
      <c r="C17" s="402"/>
      <c r="D17" s="402">
        <v>0</v>
      </c>
      <c r="E17" s="402"/>
      <c r="F17" s="402">
        <v>0</v>
      </c>
      <c r="G17" s="539">
        <v>6196.6639100000002</v>
      </c>
    </row>
    <row r="18" spans="1:7" s="299" customFormat="1" ht="9" customHeight="1">
      <c r="A18" s="536" t="s">
        <v>111</v>
      </c>
      <c r="B18" s="503" t="s">
        <v>448</v>
      </c>
      <c r="C18" s="504"/>
      <c r="D18" s="504"/>
      <c r="E18" s="504">
        <v>11897.997650000001</v>
      </c>
      <c r="F18" s="504">
        <v>11897.997650000001</v>
      </c>
      <c r="G18" s="538">
        <v>81747.177000000011</v>
      </c>
    </row>
    <row r="19" spans="1:7" s="299" customFormat="1" ht="9" customHeight="1">
      <c r="A19" s="536"/>
      <c r="B19" s="503" t="s">
        <v>69</v>
      </c>
      <c r="C19" s="504"/>
      <c r="D19" s="504"/>
      <c r="E19" s="504">
        <v>4742.4393074999998</v>
      </c>
      <c r="F19" s="504">
        <v>4742.4393074999998</v>
      </c>
      <c r="G19" s="538">
        <v>32299.833465000003</v>
      </c>
    </row>
    <row r="20" spans="1:7" s="299" customFormat="1" ht="9" customHeight="1">
      <c r="A20" s="537" t="s">
        <v>531</v>
      </c>
      <c r="B20" s="401"/>
      <c r="C20" s="402"/>
      <c r="D20" s="402"/>
      <c r="E20" s="402">
        <v>16640.436957500002</v>
      </c>
      <c r="F20" s="402">
        <v>16640.436957500002</v>
      </c>
      <c r="G20" s="539">
        <v>114047.01046500001</v>
      </c>
    </row>
    <row r="21" spans="1:7" s="299" customFormat="1" ht="9" customHeight="1">
      <c r="A21" s="536" t="s">
        <v>90</v>
      </c>
      <c r="B21" s="503" t="s">
        <v>332</v>
      </c>
      <c r="C21" s="504">
        <v>20936.690869999999</v>
      </c>
      <c r="D21" s="504"/>
      <c r="E21" s="504"/>
      <c r="F21" s="504">
        <v>20936.690869999999</v>
      </c>
      <c r="G21" s="538">
        <v>134174.40157749999</v>
      </c>
    </row>
    <row r="22" spans="1:7" s="299" customFormat="1" ht="9" customHeight="1">
      <c r="A22" s="536"/>
      <c r="B22" s="503" t="s">
        <v>333</v>
      </c>
      <c r="C22" s="504">
        <v>44089.225947500003</v>
      </c>
      <c r="D22" s="504"/>
      <c r="E22" s="504"/>
      <c r="F22" s="504">
        <v>44089.225947500003</v>
      </c>
      <c r="G22" s="538">
        <v>480900.15541749995</v>
      </c>
    </row>
    <row r="23" spans="1:7" s="299" customFormat="1" ht="9" customHeight="1">
      <c r="A23" s="536"/>
      <c r="B23" s="503" t="s">
        <v>334</v>
      </c>
      <c r="C23" s="504">
        <v>8147.3278200000004</v>
      </c>
      <c r="D23" s="504"/>
      <c r="E23" s="504"/>
      <c r="F23" s="504">
        <v>8147.3278200000004</v>
      </c>
      <c r="G23" s="538">
        <v>119052.815285</v>
      </c>
    </row>
    <row r="24" spans="1:7" s="299" customFormat="1" ht="9" customHeight="1">
      <c r="A24" s="536"/>
      <c r="B24" s="503" t="s">
        <v>335</v>
      </c>
      <c r="C24" s="504">
        <v>139.7208325</v>
      </c>
      <c r="D24" s="504"/>
      <c r="E24" s="504"/>
      <c r="F24" s="504">
        <v>139.7208325</v>
      </c>
      <c r="G24" s="538">
        <v>895.68359750000002</v>
      </c>
    </row>
    <row r="25" spans="1:7" s="299" customFormat="1" ht="9" customHeight="1">
      <c r="A25" s="536"/>
      <c r="B25" s="503" t="s">
        <v>336</v>
      </c>
      <c r="C25" s="504">
        <v>14470.153757499998</v>
      </c>
      <c r="D25" s="504"/>
      <c r="E25" s="504"/>
      <c r="F25" s="504">
        <v>14470.153757499998</v>
      </c>
      <c r="G25" s="538">
        <v>129432.15357749999</v>
      </c>
    </row>
    <row r="26" spans="1:7" s="299" customFormat="1" ht="9" customHeight="1">
      <c r="A26" s="536"/>
      <c r="B26" s="503" t="s">
        <v>337</v>
      </c>
      <c r="C26" s="504">
        <v>2183.7437074999998</v>
      </c>
      <c r="D26" s="504"/>
      <c r="E26" s="504"/>
      <c r="F26" s="504">
        <v>2183.7437074999998</v>
      </c>
      <c r="G26" s="538">
        <v>14641.0360325</v>
      </c>
    </row>
    <row r="27" spans="1:7" s="299" customFormat="1" ht="9" customHeight="1">
      <c r="A27" s="536"/>
      <c r="B27" s="503" t="s">
        <v>338</v>
      </c>
      <c r="C27" s="504">
        <v>4680.4418100000003</v>
      </c>
      <c r="D27" s="504"/>
      <c r="E27" s="504"/>
      <c r="F27" s="504">
        <v>4680.4418100000003</v>
      </c>
      <c r="G27" s="538">
        <v>22836.270960000002</v>
      </c>
    </row>
    <row r="28" spans="1:7" s="299" customFormat="1" ht="9" customHeight="1">
      <c r="A28" s="536"/>
      <c r="B28" s="503" t="s">
        <v>339</v>
      </c>
      <c r="C28" s="504">
        <v>2701.8380925000001</v>
      </c>
      <c r="D28" s="504"/>
      <c r="E28" s="504"/>
      <c r="F28" s="504">
        <v>2701.8380925000001</v>
      </c>
      <c r="G28" s="538">
        <v>11593.070174999999</v>
      </c>
    </row>
    <row r="29" spans="1:7" s="299" customFormat="1" ht="9" customHeight="1">
      <c r="A29" s="536"/>
      <c r="B29" s="503" t="s">
        <v>340</v>
      </c>
      <c r="C29" s="504">
        <v>1569.2849000000001</v>
      </c>
      <c r="D29" s="504"/>
      <c r="E29" s="504"/>
      <c r="F29" s="504">
        <v>1569.2849000000001</v>
      </c>
      <c r="G29" s="538">
        <v>11146.013070000001</v>
      </c>
    </row>
    <row r="30" spans="1:7" s="299" customFormat="1" ht="9" customHeight="1">
      <c r="A30" s="536"/>
      <c r="B30" s="503" t="s">
        <v>341</v>
      </c>
      <c r="C30" s="504">
        <v>306.89084500000001</v>
      </c>
      <c r="D30" s="504"/>
      <c r="E30" s="504"/>
      <c r="F30" s="504">
        <v>306.89084500000001</v>
      </c>
      <c r="G30" s="538">
        <v>1733.0780425000003</v>
      </c>
    </row>
    <row r="31" spans="1:7" s="299" customFormat="1" ht="9" customHeight="1">
      <c r="A31" s="536"/>
      <c r="B31" s="503" t="s">
        <v>342</v>
      </c>
      <c r="C31" s="504">
        <v>236.1312125</v>
      </c>
      <c r="D31" s="504"/>
      <c r="E31" s="504"/>
      <c r="F31" s="504">
        <v>236.1312125</v>
      </c>
      <c r="G31" s="538">
        <v>1297.8354624999999</v>
      </c>
    </row>
    <row r="32" spans="1:7" s="299" customFormat="1" ht="9" customHeight="1">
      <c r="A32" s="536"/>
      <c r="B32" s="503" t="s">
        <v>343</v>
      </c>
      <c r="C32" s="504">
        <v>72448.462694999995</v>
      </c>
      <c r="D32" s="504"/>
      <c r="E32" s="504"/>
      <c r="F32" s="504">
        <v>72448.462694999995</v>
      </c>
      <c r="G32" s="538">
        <v>427133.36465</v>
      </c>
    </row>
    <row r="33" spans="1:8" s="299" customFormat="1" ht="9" customHeight="1">
      <c r="A33" s="537" t="s">
        <v>532</v>
      </c>
      <c r="B33" s="401"/>
      <c r="C33" s="402">
        <v>171909.91248999999</v>
      </c>
      <c r="D33" s="402"/>
      <c r="E33" s="402"/>
      <c r="F33" s="402">
        <v>171909.91248999999</v>
      </c>
      <c r="G33" s="539">
        <v>1354835.8778474999</v>
      </c>
    </row>
    <row r="34" spans="1:8" s="299" customFormat="1" ht="9" customHeight="1">
      <c r="A34" s="536" t="s">
        <v>109</v>
      </c>
      <c r="B34" s="503" t="s">
        <v>229</v>
      </c>
      <c r="C34" s="504"/>
      <c r="D34" s="504"/>
      <c r="E34" s="504">
        <v>3327.4599450000001</v>
      </c>
      <c r="F34" s="504">
        <v>3327.4599450000001</v>
      </c>
      <c r="G34" s="538">
        <v>26994.283832499998</v>
      </c>
    </row>
    <row r="35" spans="1:8" s="299" customFormat="1" ht="9" customHeight="1">
      <c r="A35" s="537" t="s">
        <v>533</v>
      </c>
      <c r="B35" s="401"/>
      <c r="C35" s="402"/>
      <c r="D35" s="402"/>
      <c r="E35" s="402">
        <v>3327.4599450000001</v>
      </c>
      <c r="F35" s="402">
        <v>3327.4599450000001</v>
      </c>
      <c r="G35" s="539">
        <v>26994.283832499998</v>
      </c>
    </row>
    <row r="36" spans="1:8" s="299" customFormat="1" ht="9" customHeight="1">
      <c r="A36" s="536" t="s">
        <v>100</v>
      </c>
      <c r="B36" s="503" t="s">
        <v>425</v>
      </c>
      <c r="C36" s="504"/>
      <c r="D36" s="504">
        <v>135538.457945</v>
      </c>
      <c r="E36" s="504"/>
      <c r="F36" s="504">
        <v>135538.457945</v>
      </c>
      <c r="G36" s="538">
        <v>630177.46433250001</v>
      </c>
    </row>
    <row r="37" spans="1:8" s="299" customFormat="1" ht="9" customHeight="1">
      <c r="A37" s="537" t="s">
        <v>534</v>
      </c>
      <c r="B37" s="401"/>
      <c r="C37" s="402"/>
      <c r="D37" s="402">
        <v>135538.457945</v>
      </c>
      <c r="E37" s="402"/>
      <c r="F37" s="402">
        <v>135538.457945</v>
      </c>
      <c r="G37" s="539">
        <v>630177.46433250001</v>
      </c>
    </row>
    <row r="38" spans="1:8" s="299" customFormat="1" ht="9" customHeight="1">
      <c r="A38" s="536" t="s">
        <v>105</v>
      </c>
      <c r="B38" s="503" t="s">
        <v>344</v>
      </c>
      <c r="C38" s="504"/>
      <c r="D38" s="504">
        <v>35846.402499999997</v>
      </c>
      <c r="E38" s="504"/>
      <c r="F38" s="504">
        <v>35846.402499999997</v>
      </c>
      <c r="G38" s="538">
        <v>75510.044747499996</v>
      </c>
    </row>
    <row r="39" spans="1:8" s="299" customFormat="1" ht="9" customHeight="1">
      <c r="A39" s="537" t="s">
        <v>535</v>
      </c>
      <c r="B39" s="401"/>
      <c r="C39" s="402"/>
      <c r="D39" s="402">
        <v>35846.402499999997</v>
      </c>
      <c r="E39" s="402"/>
      <c r="F39" s="402">
        <v>35846.402499999997</v>
      </c>
      <c r="G39" s="539">
        <v>75510.044747499996</v>
      </c>
    </row>
    <row r="40" spans="1:8">
      <c r="A40" s="387" t="s">
        <v>417</v>
      </c>
      <c r="B40" s="387"/>
      <c r="C40" s="386">
        <v>2054169.1531725004</v>
      </c>
      <c r="D40" s="386">
        <v>2103310.1530924998</v>
      </c>
      <c r="E40" s="386">
        <v>386986.96249999997</v>
      </c>
      <c r="F40" s="386">
        <v>4544466.2687649997</v>
      </c>
      <c r="G40" s="510">
        <v>27294220.735592514</v>
      </c>
    </row>
    <row r="41" spans="1:8">
      <c r="A41" s="387" t="s">
        <v>345</v>
      </c>
      <c r="B41" s="387"/>
      <c r="C41" s="388"/>
      <c r="D41" s="388"/>
      <c r="E41" s="413"/>
      <c r="F41" s="389">
        <f>+'3. Tipo Generación'!D14*1000</f>
        <v>10513.236070000001</v>
      </c>
      <c r="G41" s="511">
        <f>+'4. Tipo Recurso'!$G$21*1000</f>
        <v>24856.691570000003</v>
      </c>
    </row>
    <row r="42" spans="1:8">
      <c r="A42" s="512" t="s">
        <v>346</v>
      </c>
      <c r="B42" s="387"/>
      <c r="C42" s="388"/>
      <c r="D42" s="388"/>
      <c r="E42" s="413"/>
      <c r="F42" s="389"/>
      <c r="G42" s="511"/>
    </row>
    <row r="43" spans="1:8" ht="6.75" customHeight="1">
      <c r="A43" s="513"/>
      <c r="B43" s="513"/>
      <c r="C43" s="513"/>
      <c r="D43" s="513"/>
      <c r="E43" s="513"/>
      <c r="F43" s="513"/>
      <c r="G43" s="513"/>
    </row>
    <row r="44" spans="1:8" ht="23.25" customHeight="1">
      <c r="A44" s="930" t="s">
        <v>544</v>
      </c>
      <c r="B44" s="930"/>
      <c r="C44" s="930"/>
      <c r="D44" s="930"/>
      <c r="E44" s="930"/>
      <c r="F44" s="930"/>
      <c r="G44" s="930"/>
    </row>
    <row r="45" spans="1:8" ht="17.25" customHeight="1">
      <c r="A45" s="550"/>
      <c r="B45" s="550"/>
      <c r="C45" s="550"/>
      <c r="D45" s="550"/>
      <c r="E45" s="550"/>
      <c r="F45" s="550"/>
      <c r="G45" s="550"/>
      <c r="H45" s="46"/>
    </row>
    <row r="46" spans="1:8" s="557" customFormat="1" ht="17.25" customHeight="1">
      <c r="A46" s="676" t="s">
        <v>563</v>
      </c>
      <c r="B46" s="550"/>
      <c r="C46" s="550"/>
      <c r="D46" s="550"/>
      <c r="E46" s="550"/>
      <c r="F46" s="550"/>
      <c r="G46" s="550"/>
      <c r="H46" s="46"/>
    </row>
    <row r="47" spans="1:8" s="557" customFormat="1" ht="17.25" customHeight="1">
      <c r="A47" s="550" t="s">
        <v>687</v>
      </c>
      <c r="B47" s="550"/>
      <c r="C47" s="550"/>
      <c r="D47" s="550"/>
      <c r="E47" s="550"/>
      <c r="F47" s="550"/>
      <c r="G47" s="550"/>
      <c r="H47" s="46"/>
    </row>
    <row r="48" spans="1:8" ht="18.600000000000001" customHeight="1">
      <c r="A48" s="550" t="s">
        <v>688</v>
      </c>
      <c r="B48" s="270"/>
      <c r="C48" s="270"/>
      <c r="D48" s="270"/>
      <c r="E48" s="270"/>
      <c r="F48" s="270"/>
    </row>
    <row r="49" spans="1:6">
      <c r="A49" s="299"/>
      <c r="B49" s="270"/>
      <c r="C49" s="270"/>
      <c r="D49" s="270"/>
      <c r="E49" s="270"/>
      <c r="F49" s="270"/>
    </row>
    <row r="50" spans="1:6">
      <c r="A50" s="299"/>
      <c r="B50" s="270"/>
      <c r="C50" s="270"/>
      <c r="D50" s="270"/>
      <c r="E50" s="270"/>
      <c r="F50" s="270"/>
    </row>
    <row r="51" spans="1:6">
      <c r="A51" s="299"/>
      <c r="B51" s="270"/>
      <c r="C51" s="270"/>
      <c r="D51" s="270"/>
      <c r="E51" s="270"/>
      <c r="F51" s="270"/>
    </row>
    <row r="52" spans="1:6">
      <c r="A52" s="299"/>
      <c r="B52" s="270"/>
      <c r="C52" s="270"/>
      <c r="D52" s="270"/>
      <c r="E52" s="270"/>
      <c r="F52" s="270"/>
    </row>
    <row r="53" spans="1:6">
      <c r="A53" s="299"/>
    </row>
    <row r="54" spans="1:6">
      <c r="A54" s="299"/>
    </row>
    <row r="55" spans="1:6">
      <c r="A55" s="299"/>
    </row>
  </sheetData>
  <mergeCells count="6">
    <mergeCell ref="A44:G44"/>
    <mergeCell ref="A1:A4"/>
    <mergeCell ref="B1:B4"/>
    <mergeCell ref="C1:F1"/>
    <mergeCell ref="C2:E2"/>
    <mergeCell ref="F2:F3"/>
  </mergeCells>
  <phoneticPr fontId="13" type="noConversion"/>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Normal="100" zoomScaleSheetLayoutView="100" zoomScalePageLayoutView="115" workbookViewId="0">
      <selection activeCell="B18" sqref="M18"/>
    </sheetView>
  </sheetViews>
  <sheetFormatPr baseColWidth="10" defaultColWidth="9.33203125" defaultRowHeight="9"/>
  <cols>
    <col min="1" max="1" width="28.83203125" style="270" customWidth="1"/>
    <col min="2" max="2" width="24.6640625" style="270" customWidth="1"/>
    <col min="3" max="5" width="16.1640625" style="270" customWidth="1"/>
    <col min="6" max="6" width="15.1640625" style="270" customWidth="1"/>
    <col min="7" max="7" width="9.33203125" style="270"/>
    <col min="8" max="8" width="15.6640625" style="270" customWidth="1"/>
    <col min="9" max="9" width="9.33203125" style="270"/>
    <col min="10" max="11" width="9.33203125" style="270" customWidth="1"/>
    <col min="12" max="16384" width="9.33203125" style="270"/>
  </cols>
  <sheetData>
    <row r="1" spans="1:12" ht="11.25" customHeight="1">
      <c r="A1" s="522" t="s">
        <v>349</v>
      </c>
      <c r="B1" s="523"/>
      <c r="C1" s="523"/>
      <c r="D1" s="523"/>
      <c r="E1" s="523"/>
      <c r="F1" s="523"/>
    </row>
    <row r="2" spans="1:12" s="299" customFormat="1" ht="11.25" customHeight="1">
      <c r="A2" s="931" t="s">
        <v>248</v>
      </c>
      <c r="B2" s="934" t="s">
        <v>54</v>
      </c>
      <c r="C2" s="934" t="s">
        <v>350</v>
      </c>
      <c r="D2" s="934"/>
      <c r="E2" s="934"/>
      <c r="F2" s="937"/>
      <c r="G2" s="337"/>
      <c r="H2" s="337"/>
      <c r="I2" s="337"/>
      <c r="J2" s="337"/>
      <c r="K2" s="337"/>
    </row>
    <row r="3" spans="1:12" s="299" customFormat="1" ht="11.25" customHeight="1">
      <c r="A3" s="932"/>
      <c r="B3" s="935"/>
      <c r="C3" s="390" t="str">
        <f>UPPER('1. Resumen'!Q4)&amp;" "&amp;'1. Resumen'!Q5</f>
        <v>JUNIO 2022</v>
      </c>
      <c r="D3" s="391" t="str">
        <f>UPPER('1. Resumen'!Q4)&amp;" "&amp;'1. Resumen'!Q5-1</f>
        <v>JUNIO 2021</v>
      </c>
      <c r="E3" s="391">
        <v>2022</v>
      </c>
      <c r="F3" s="514" t="s">
        <v>558</v>
      </c>
      <c r="G3" s="338"/>
      <c r="H3" s="338"/>
      <c r="I3" s="338"/>
      <c r="J3" s="338"/>
      <c r="K3" s="338"/>
      <c r="L3" s="337"/>
    </row>
    <row r="4" spans="1:12" s="299" customFormat="1" ht="11.25" customHeight="1">
      <c r="A4" s="932"/>
      <c r="B4" s="935"/>
      <c r="C4" s="392">
        <f>+'8. Max Potencia'!D8</f>
        <v>44727.802083333336</v>
      </c>
      <c r="D4" s="392">
        <f>+'8. Max Potencia'!E8</f>
        <v>44371.875</v>
      </c>
      <c r="E4" s="392">
        <f>+'8. Max Potencia'!G8</f>
        <v>44614.822916666664</v>
      </c>
      <c r="F4" s="515" t="s">
        <v>347</v>
      </c>
      <c r="G4" s="339"/>
      <c r="H4" s="339"/>
      <c r="I4" s="340"/>
      <c r="J4" s="340"/>
      <c r="K4" s="340"/>
      <c r="L4" s="337"/>
    </row>
    <row r="5" spans="1:12" s="299" customFormat="1" ht="11.25" customHeight="1">
      <c r="A5" s="933"/>
      <c r="B5" s="936"/>
      <c r="C5" s="517">
        <f>+'8. Max Potencia'!D9</f>
        <v>44727.802083333336</v>
      </c>
      <c r="D5" s="517">
        <f>+'8. Max Potencia'!E9</f>
        <v>44371.875</v>
      </c>
      <c r="E5" s="517">
        <f>+'8. Max Potencia'!G9</f>
        <v>44614.822916666664</v>
      </c>
      <c r="F5" s="518" t="s">
        <v>348</v>
      </c>
      <c r="G5" s="339"/>
      <c r="H5" s="339"/>
      <c r="I5" s="339"/>
      <c r="J5" s="339"/>
      <c r="K5" s="339"/>
      <c r="L5" s="341"/>
    </row>
    <row r="6" spans="1:12" s="299" customFormat="1" ht="10.15" customHeight="1">
      <c r="A6" s="541" t="s">
        <v>119</v>
      </c>
      <c r="B6" s="335" t="s">
        <v>86</v>
      </c>
      <c r="C6" s="336">
        <v>0</v>
      </c>
      <c r="D6" s="336">
        <v>12.644590000000001</v>
      </c>
      <c r="E6" s="336">
        <v>0</v>
      </c>
      <c r="F6" s="645">
        <f>+IF(D6=0,"",C6/D6-1)</f>
        <v>-1</v>
      </c>
      <c r="G6" s="339"/>
      <c r="H6" s="559"/>
      <c r="I6" s="559"/>
      <c r="J6" s="339"/>
      <c r="K6" s="339"/>
      <c r="L6" s="342"/>
    </row>
    <row r="7" spans="1:12" s="299" customFormat="1" ht="10.15" customHeight="1">
      <c r="A7" s="537" t="s">
        <v>474</v>
      </c>
      <c r="B7" s="401"/>
      <c r="C7" s="402">
        <v>0</v>
      </c>
      <c r="D7" s="402">
        <v>12.644590000000001</v>
      </c>
      <c r="E7" s="402">
        <v>0</v>
      </c>
      <c r="F7" s="646">
        <f t="shared" ref="F7:F70" si="0">+IF(D7=0,"",C7/D7-1)</f>
        <v>-1</v>
      </c>
      <c r="G7" s="339"/>
      <c r="H7" s="559"/>
      <c r="I7" s="559"/>
      <c r="J7" s="339"/>
      <c r="K7" s="339"/>
      <c r="L7" s="343"/>
    </row>
    <row r="8" spans="1:12" s="299" customFormat="1" ht="10.15" customHeight="1">
      <c r="A8" s="541" t="s">
        <v>118</v>
      </c>
      <c r="B8" s="335" t="s">
        <v>63</v>
      </c>
      <c r="C8" s="336">
        <v>18.584409999999998</v>
      </c>
      <c r="D8" s="336">
        <v>8.1507699999999996</v>
      </c>
      <c r="E8" s="336">
        <v>19.972529999999999</v>
      </c>
      <c r="F8" s="645">
        <f t="shared" si="0"/>
        <v>1.2800802868931402</v>
      </c>
      <c r="G8" s="339"/>
      <c r="H8" s="559"/>
      <c r="I8" s="559"/>
      <c r="J8" s="339"/>
      <c r="K8" s="339"/>
      <c r="L8" s="344"/>
    </row>
    <row r="9" spans="1:12" s="299" customFormat="1" ht="10.15" customHeight="1">
      <c r="A9" s="537" t="s">
        <v>475</v>
      </c>
      <c r="B9" s="401"/>
      <c r="C9" s="402">
        <v>18.584409999999998</v>
      </c>
      <c r="D9" s="402">
        <v>8.1507699999999996</v>
      </c>
      <c r="E9" s="402">
        <v>19.972529999999999</v>
      </c>
      <c r="F9" s="646">
        <f t="shared" si="0"/>
        <v>1.2800802868931402</v>
      </c>
      <c r="G9" s="339"/>
      <c r="H9" s="559"/>
      <c r="I9" s="559"/>
      <c r="J9" s="339"/>
      <c r="K9" s="339"/>
      <c r="L9" s="343"/>
    </row>
    <row r="10" spans="1:12" s="299" customFormat="1" ht="10.15" customHeight="1">
      <c r="A10" s="536" t="s">
        <v>106</v>
      </c>
      <c r="B10" s="503" t="s">
        <v>83</v>
      </c>
      <c r="C10" s="504">
        <v>15.379</v>
      </c>
      <c r="D10" s="504">
        <v>16.507770000000001</v>
      </c>
      <c r="E10" s="504">
        <v>13.233359999999999</v>
      </c>
      <c r="F10" s="647">
        <f t="shared" si="0"/>
        <v>-6.8378103159906001E-2</v>
      </c>
      <c r="G10" s="339"/>
      <c r="H10" s="559"/>
      <c r="I10" s="559"/>
      <c r="J10" s="339"/>
      <c r="K10" s="339"/>
      <c r="L10" s="343"/>
    </row>
    <row r="11" spans="1:12" s="299" customFormat="1" ht="10.15" customHeight="1">
      <c r="A11" s="537" t="s">
        <v>476</v>
      </c>
      <c r="B11" s="401"/>
      <c r="C11" s="402">
        <v>15.379</v>
      </c>
      <c r="D11" s="402">
        <v>16.507770000000001</v>
      </c>
      <c r="E11" s="402">
        <v>13.233359999999999</v>
      </c>
      <c r="F11" s="646">
        <f t="shared" si="0"/>
        <v>-6.8378103159906001E-2</v>
      </c>
      <c r="G11" s="339"/>
      <c r="H11" s="559"/>
      <c r="I11" s="559"/>
      <c r="J11" s="339"/>
      <c r="K11" s="339"/>
      <c r="L11" s="343"/>
    </row>
    <row r="12" spans="1:12" s="299" customFormat="1" ht="10.15" customHeight="1">
      <c r="A12" s="536" t="s">
        <v>413</v>
      </c>
      <c r="B12" s="503" t="s">
        <v>415</v>
      </c>
      <c r="C12" s="504">
        <v>11.82414</v>
      </c>
      <c r="D12" s="504">
        <v>18.254339999999999</v>
      </c>
      <c r="E12" s="504">
        <v>19.175850000000001</v>
      </c>
      <c r="F12" s="647">
        <f t="shared" si="0"/>
        <v>-0.35225595666564768</v>
      </c>
      <c r="G12" s="339"/>
      <c r="H12" s="559"/>
      <c r="I12" s="559"/>
      <c r="J12" s="339"/>
      <c r="K12" s="339"/>
      <c r="L12" s="343"/>
    </row>
    <row r="13" spans="1:12" s="299" customFormat="1" ht="10.15" customHeight="1">
      <c r="A13" s="537" t="s">
        <v>477</v>
      </c>
      <c r="B13" s="401"/>
      <c r="C13" s="402">
        <v>11.82414</v>
      </c>
      <c r="D13" s="402">
        <v>18.254339999999999</v>
      </c>
      <c r="E13" s="402">
        <v>19.175850000000001</v>
      </c>
      <c r="F13" s="646">
        <f t="shared" si="0"/>
        <v>-0.35225595666564768</v>
      </c>
      <c r="G13" s="339"/>
      <c r="H13" s="559"/>
      <c r="I13" s="559"/>
      <c r="J13" s="339"/>
      <c r="K13" s="339"/>
      <c r="L13" s="343"/>
    </row>
    <row r="14" spans="1:12" s="299" customFormat="1" ht="10.15" customHeight="1">
      <c r="A14" s="536" t="s">
        <v>464</v>
      </c>
      <c r="B14" s="503" t="s">
        <v>75</v>
      </c>
      <c r="C14" s="504">
        <v>0</v>
      </c>
      <c r="D14" s="504">
        <v>0</v>
      </c>
      <c r="E14" s="504">
        <v>0.52566999999999997</v>
      </c>
      <c r="F14" s="647" t="str">
        <f t="shared" si="0"/>
        <v/>
      </c>
      <c r="G14" s="339"/>
      <c r="H14" s="559"/>
      <c r="I14" s="559"/>
      <c r="J14" s="339"/>
      <c r="K14" s="339"/>
      <c r="L14" s="343"/>
    </row>
    <row r="15" spans="1:12" s="299" customFormat="1" ht="10.15" customHeight="1">
      <c r="A15" s="537" t="s">
        <v>478</v>
      </c>
      <c r="B15" s="401"/>
      <c r="C15" s="402">
        <v>0</v>
      </c>
      <c r="D15" s="402">
        <v>0</v>
      </c>
      <c r="E15" s="402">
        <v>0.52566999999999997</v>
      </c>
      <c r="F15" s="646" t="str">
        <f t="shared" si="0"/>
        <v/>
      </c>
      <c r="G15" s="339"/>
      <c r="H15" s="559"/>
      <c r="I15" s="559"/>
      <c r="J15" s="339"/>
      <c r="K15" s="339"/>
      <c r="L15" s="343"/>
    </row>
    <row r="16" spans="1:12" s="299" customFormat="1" ht="10.15" customHeight="1">
      <c r="A16" s="536" t="s">
        <v>444</v>
      </c>
      <c r="B16" s="503" t="s">
        <v>450</v>
      </c>
      <c r="C16" s="504">
        <v>9.5087200000000003</v>
      </c>
      <c r="D16" s="504">
        <v>11.875</v>
      </c>
      <c r="E16" s="504">
        <v>9.4425799999999995</v>
      </c>
      <c r="F16" s="647">
        <f t="shared" si="0"/>
        <v>-0.19926568421052626</v>
      </c>
      <c r="G16" s="339"/>
      <c r="H16" s="559"/>
      <c r="I16" s="559"/>
      <c r="J16" s="339"/>
      <c r="K16" s="339"/>
      <c r="L16" s="343"/>
    </row>
    <row r="17" spans="1:16" s="299" customFormat="1" ht="10.15" customHeight="1">
      <c r="A17" s="537" t="s">
        <v>479</v>
      </c>
      <c r="B17" s="401"/>
      <c r="C17" s="402">
        <v>9.5087200000000003</v>
      </c>
      <c r="D17" s="402">
        <v>11.875</v>
      </c>
      <c r="E17" s="402">
        <v>9.4425799999999995</v>
      </c>
      <c r="F17" s="646">
        <f t="shared" si="0"/>
        <v>-0.19926568421052626</v>
      </c>
      <c r="G17" s="339"/>
      <c r="H17" s="559"/>
      <c r="I17" s="559"/>
      <c r="J17" s="339"/>
      <c r="K17" s="339"/>
      <c r="L17" s="344"/>
    </row>
    <row r="18" spans="1:16" s="299" customFormat="1" ht="10.15" customHeight="1">
      <c r="A18" s="536" t="s">
        <v>94</v>
      </c>
      <c r="B18" s="503" t="s">
        <v>279</v>
      </c>
      <c r="C18" s="504">
        <v>205.43982</v>
      </c>
      <c r="D18" s="504">
        <v>157.25013999999999</v>
      </c>
      <c r="E18" s="504">
        <v>204.80700000000002</v>
      </c>
      <c r="F18" s="647">
        <f t="shared" si="0"/>
        <v>0.30645238217276005</v>
      </c>
      <c r="G18" s="339"/>
      <c r="H18" s="559"/>
      <c r="I18" s="559"/>
      <c r="J18" s="339"/>
      <c r="K18" s="339"/>
      <c r="L18" s="344"/>
    </row>
    <row r="19" spans="1:16" s="299" customFormat="1" ht="10.15" customHeight="1">
      <c r="A19" s="537" t="s">
        <v>480</v>
      </c>
      <c r="B19" s="401"/>
      <c r="C19" s="402">
        <v>205.43982</v>
      </c>
      <c r="D19" s="402">
        <v>157.25013999999999</v>
      </c>
      <c r="E19" s="402">
        <v>204.80700000000002</v>
      </c>
      <c r="F19" s="646">
        <f t="shared" si="0"/>
        <v>0.30645238217276005</v>
      </c>
      <c r="G19" s="339"/>
      <c r="H19" s="559"/>
      <c r="I19" s="559"/>
      <c r="J19" s="339"/>
      <c r="K19" s="339"/>
      <c r="L19" s="344"/>
    </row>
    <row r="20" spans="1:16" s="299" customFormat="1" ht="10.15" customHeight="1">
      <c r="A20" s="536" t="s">
        <v>466</v>
      </c>
      <c r="B20" s="503" t="s">
        <v>320</v>
      </c>
      <c r="C20" s="504">
        <v>17.91086</v>
      </c>
      <c r="D20" s="504">
        <v>16.12743</v>
      </c>
      <c r="E20" s="504">
        <v>19.82855</v>
      </c>
      <c r="F20" s="647">
        <f t="shared" si="0"/>
        <v>0.11058364537933185</v>
      </c>
      <c r="G20" s="339"/>
      <c r="H20" s="559"/>
      <c r="I20" s="559"/>
      <c r="J20" s="339"/>
      <c r="K20" s="339"/>
      <c r="L20" s="339"/>
      <c r="M20" s="339"/>
      <c r="N20" s="339"/>
      <c r="O20" s="339"/>
      <c r="P20" s="339"/>
    </row>
    <row r="21" spans="1:16" s="299" customFormat="1" ht="10.15" customHeight="1">
      <c r="A21" s="537" t="s">
        <v>481</v>
      </c>
      <c r="B21" s="401"/>
      <c r="C21" s="402">
        <v>17.91086</v>
      </c>
      <c r="D21" s="402">
        <v>16.12743</v>
      </c>
      <c r="E21" s="402">
        <v>19.82855</v>
      </c>
      <c r="F21" s="646">
        <f t="shared" si="0"/>
        <v>0.11058364537933185</v>
      </c>
      <c r="G21" s="339"/>
      <c r="H21" s="559"/>
      <c r="I21" s="559"/>
      <c r="J21" s="339"/>
      <c r="K21" s="339"/>
      <c r="L21" s="339"/>
      <c r="M21" s="339"/>
      <c r="N21" s="339"/>
      <c r="O21" s="339"/>
      <c r="P21" s="339"/>
    </row>
    <row r="22" spans="1:16" s="299" customFormat="1" ht="10.15" customHeight="1">
      <c r="A22" s="536" t="s">
        <v>540</v>
      </c>
      <c r="B22" s="503" t="s">
        <v>559</v>
      </c>
      <c r="C22" s="504">
        <v>0.70254000000000005</v>
      </c>
      <c r="D22" s="504"/>
      <c r="E22" s="504">
        <v>1.1677999999999999</v>
      </c>
      <c r="F22" s="647" t="str">
        <f t="shared" si="0"/>
        <v/>
      </c>
      <c r="G22" s="339"/>
      <c r="H22" s="559"/>
      <c r="I22" s="559"/>
      <c r="J22" s="339"/>
      <c r="K22" s="339"/>
      <c r="L22" s="343"/>
    </row>
    <row r="23" spans="1:16" s="299" customFormat="1" ht="10.15" customHeight="1">
      <c r="A23" s="536"/>
      <c r="B23" s="503" t="s">
        <v>560</v>
      </c>
      <c r="C23" s="504">
        <v>1.3016399999999999</v>
      </c>
      <c r="D23" s="504"/>
      <c r="E23" s="504">
        <v>1.98715</v>
      </c>
      <c r="F23" s="647" t="str">
        <f t="shared" si="0"/>
        <v/>
      </c>
      <c r="G23" s="339"/>
      <c r="H23" s="559"/>
      <c r="I23" s="559"/>
      <c r="J23" s="339"/>
      <c r="K23" s="339"/>
      <c r="L23" s="343"/>
    </row>
    <row r="24" spans="1:16" s="299" customFormat="1" ht="10.15" customHeight="1">
      <c r="A24" s="537" t="s">
        <v>542</v>
      </c>
      <c r="B24" s="401"/>
      <c r="C24" s="402">
        <v>2.0041799999999999</v>
      </c>
      <c r="D24" s="402"/>
      <c r="E24" s="402">
        <v>3.1549499999999999</v>
      </c>
      <c r="F24" s="646" t="str">
        <f t="shared" si="0"/>
        <v/>
      </c>
      <c r="G24" s="339"/>
      <c r="H24" s="559"/>
      <c r="I24" s="559"/>
      <c r="J24" s="339"/>
      <c r="K24" s="339"/>
      <c r="L24" s="343"/>
    </row>
    <row r="25" spans="1:16" s="299" customFormat="1" ht="10.15" customHeight="1">
      <c r="A25" s="536" t="s">
        <v>234</v>
      </c>
      <c r="B25" s="503" t="s">
        <v>280</v>
      </c>
      <c r="C25" s="504">
        <v>0</v>
      </c>
      <c r="D25" s="504">
        <v>0</v>
      </c>
      <c r="E25" s="504">
        <v>0</v>
      </c>
      <c r="F25" s="647" t="str">
        <f t="shared" si="0"/>
        <v/>
      </c>
      <c r="G25" s="339"/>
      <c r="H25" s="559"/>
      <c r="I25" s="559"/>
      <c r="J25" s="339"/>
      <c r="K25" s="339"/>
      <c r="L25" s="343"/>
    </row>
    <row r="26" spans="1:16" s="299" customFormat="1" ht="9" customHeight="1">
      <c r="A26" s="537" t="s">
        <v>482</v>
      </c>
      <c r="B26" s="401"/>
      <c r="C26" s="402">
        <v>0</v>
      </c>
      <c r="D26" s="402">
        <v>0</v>
      </c>
      <c r="E26" s="402">
        <v>0</v>
      </c>
      <c r="F26" s="646" t="str">
        <f t="shared" si="0"/>
        <v/>
      </c>
      <c r="G26" s="339"/>
      <c r="H26" s="559"/>
      <c r="I26" s="559"/>
      <c r="J26" s="339"/>
      <c r="K26" s="339"/>
      <c r="L26" s="343"/>
    </row>
    <row r="27" spans="1:16" s="299" customFormat="1" ht="9" customHeight="1">
      <c r="A27" s="536" t="s">
        <v>93</v>
      </c>
      <c r="B27" s="503" t="s">
        <v>281</v>
      </c>
      <c r="C27" s="504">
        <v>131.697</v>
      </c>
      <c r="D27" s="504">
        <v>150.60476</v>
      </c>
      <c r="E27" s="504">
        <v>127.017</v>
      </c>
      <c r="F27" s="647">
        <f t="shared" si="0"/>
        <v>-0.12554556708566178</v>
      </c>
      <c r="G27" s="339"/>
      <c r="H27" s="559"/>
      <c r="I27" s="559"/>
      <c r="J27" s="339"/>
      <c r="K27" s="339"/>
      <c r="L27" s="343"/>
    </row>
    <row r="28" spans="1:16" s="299" customFormat="1" ht="9" customHeight="1">
      <c r="A28" s="536"/>
      <c r="B28" s="503" t="s">
        <v>282</v>
      </c>
      <c r="C28" s="504">
        <v>22.367999999999999</v>
      </c>
      <c r="D28" s="504">
        <v>16.004169999999998</v>
      </c>
      <c r="E28" s="504">
        <v>41.948</v>
      </c>
      <c r="F28" s="647">
        <f t="shared" si="0"/>
        <v>0.39763574118495382</v>
      </c>
      <c r="G28" s="339"/>
      <c r="H28" s="559"/>
      <c r="I28" s="559"/>
      <c r="J28" s="339"/>
      <c r="K28" s="339"/>
      <c r="L28" s="343"/>
    </row>
    <row r="29" spans="1:16" s="299" customFormat="1" ht="9" customHeight="1">
      <c r="A29" s="537" t="s">
        <v>483</v>
      </c>
      <c r="B29" s="401"/>
      <c r="C29" s="402">
        <v>154.065</v>
      </c>
      <c r="D29" s="402">
        <v>166.60892999999999</v>
      </c>
      <c r="E29" s="402">
        <v>168.965</v>
      </c>
      <c r="F29" s="646">
        <f t="shared" si="0"/>
        <v>-7.5289661844656131E-2</v>
      </c>
      <c r="G29" s="339"/>
      <c r="H29" s="559"/>
      <c r="I29" s="559"/>
      <c r="J29" s="339"/>
      <c r="K29" s="339"/>
      <c r="L29" s="345"/>
    </row>
    <row r="30" spans="1:16" s="299" customFormat="1" ht="9" customHeight="1">
      <c r="A30" s="536" t="s">
        <v>541</v>
      </c>
      <c r="B30" s="503" t="s">
        <v>561</v>
      </c>
      <c r="C30" s="504">
        <v>0</v>
      </c>
      <c r="D30" s="504"/>
      <c r="E30" s="504">
        <v>0</v>
      </c>
      <c r="F30" s="647" t="str">
        <f t="shared" si="0"/>
        <v/>
      </c>
      <c r="G30" s="339"/>
      <c r="H30" s="559"/>
      <c r="I30" s="559"/>
      <c r="J30" s="339"/>
      <c r="K30" s="339"/>
      <c r="L30" s="343"/>
    </row>
    <row r="31" spans="1:16" s="299" customFormat="1" ht="9" customHeight="1">
      <c r="A31" s="537" t="s">
        <v>543</v>
      </c>
      <c r="B31" s="401"/>
      <c r="C31" s="402">
        <v>0</v>
      </c>
      <c r="D31" s="402"/>
      <c r="E31" s="402">
        <v>0</v>
      </c>
      <c r="F31" s="646" t="str">
        <f t="shared" si="0"/>
        <v/>
      </c>
      <c r="G31" s="339"/>
      <c r="H31" s="559"/>
      <c r="I31" s="559"/>
      <c r="J31" s="339"/>
      <c r="K31" s="339"/>
      <c r="L31" s="343"/>
    </row>
    <row r="32" spans="1:16" s="299" customFormat="1" ht="9" customHeight="1">
      <c r="A32" s="536" t="s">
        <v>91</v>
      </c>
      <c r="B32" s="503" t="s">
        <v>283</v>
      </c>
      <c r="C32" s="504">
        <v>1.6620200000000001</v>
      </c>
      <c r="D32" s="504">
        <v>1.6873200000000002</v>
      </c>
      <c r="E32" s="504">
        <v>1.6803300000000001</v>
      </c>
      <c r="F32" s="647">
        <f t="shared" si="0"/>
        <v>-1.4994191973069726E-2</v>
      </c>
      <c r="G32" s="339"/>
      <c r="H32" s="559"/>
      <c r="I32" s="559"/>
      <c r="J32" s="339"/>
      <c r="K32" s="339"/>
      <c r="L32" s="343"/>
    </row>
    <row r="33" spans="1:12" s="299" customFormat="1" ht="9" customHeight="1">
      <c r="A33" s="536"/>
      <c r="B33" s="503" t="s">
        <v>284</v>
      </c>
      <c r="C33" s="504">
        <v>0.56791999999999998</v>
      </c>
      <c r="D33" s="504">
        <v>0.57096999999999998</v>
      </c>
      <c r="E33" s="504">
        <v>0.57155999999999996</v>
      </c>
      <c r="F33" s="647">
        <f t="shared" si="0"/>
        <v>-5.3417867838940758E-3</v>
      </c>
      <c r="G33" s="339"/>
      <c r="H33" s="559"/>
      <c r="I33" s="559"/>
      <c r="J33" s="339"/>
      <c r="K33" s="339"/>
      <c r="L33" s="345"/>
    </row>
    <row r="34" spans="1:12" s="299" customFormat="1" ht="9" customHeight="1">
      <c r="A34" s="536"/>
      <c r="B34" s="503" t="s">
        <v>285</v>
      </c>
      <c r="C34" s="504">
        <v>4.6592700000000002</v>
      </c>
      <c r="D34" s="504">
        <v>4.6522100000000002</v>
      </c>
      <c r="E34" s="504">
        <v>4.6758300000000004</v>
      </c>
      <c r="F34" s="647">
        <f t="shared" si="0"/>
        <v>1.5175583217439392E-3</v>
      </c>
      <c r="G34" s="339"/>
      <c r="H34" s="559"/>
      <c r="I34" s="559"/>
      <c r="J34" s="339"/>
      <c r="K34" s="339"/>
      <c r="L34" s="343"/>
    </row>
    <row r="35" spans="1:12" s="299" customFormat="1" ht="9" customHeight="1">
      <c r="A35" s="536"/>
      <c r="B35" s="503" t="s">
        <v>286</v>
      </c>
      <c r="C35" s="504">
        <v>13.447949999999999</v>
      </c>
      <c r="D35" s="504">
        <v>13.991880000000002</v>
      </c>
      <c r="E35" s="504">
        <v>13.87904</v>
      </c>
      <c r="F35" s="647">
        <f t="shared" si="0"/>
        <v>-3.8874690177446047E-2</v>
      </c>
      <c r="G35" s="339"/>
      <c r="H35" s="559"/>
      <c r="I35" s="559"/>
      <c r="J35" s="339"/>
      <c r="K35" s="339"/>
      <c r="L35" s="343"/>
    </row>
    <row r="36" spans="1:12" s="299" customFormat="1" ht="9" customHeight="1">
      <c r="A36" s="536"/>
      <c r="B36" s="503" t="s">
        <v>287</v>
      </c>
      <c r="C36" s="504">
        <v>90.620429999999999</v>
      </c>
      <c r="D36" s="504">
        <v>116.44800000000001</v>
      </c>
      <c r="E36" s="504">
        <v>80.446820000000002</v>
      </c>
      <c r="F36" s="647">
        <f t="shared" si="0"/>
        <v>-0.22179487840065959</v>
      </c>
      <c r="G36" s="339"/>
      <c r="H36" s="559"/>
      <c r="I36" s="559"/>
      <c r="J36" s="339"/>
      <c r="K36" s="339"/>
      <c r="L36" s="343"/>
    </row>
    <row r="37" spans="1:12" s="299" customFormat="1" ht="9" customHeight="1">
      <c r="A37" s="536"/>
      <c r="B37" s="503" t="s">
        <v>288</v>
      </c>
      <c r="C37" s="504">
        <v>7.8590600000000004</v>
      </c>
      <c r="D37" s="504">
        <v>8.4003099999999993</v>
      </c>
      <c r="E37" s="504">
        <v>8.2111900000000002</v>
      </c>
      <c r="F37" s="647">
        <f t="shared" si="0"/>
        <v>-6.4432145956518139E-2</v>
      </c>
      <c r="G37" s="339"/>
      <c r="H37" s="559"/>
      <c r="I37" s="559"/>
      <c r="J37" s="339"/>
      <c r="K37" s="339"/>
      <c r="L37" s="343"/>
    </row>
    <row r="38" spans="1:12" s="299" customFormat="1" ht="9" customHeight="1">
      <c r="A38" s="536"/>
      <c r="B38" s="503" t="s">
        <v>289</v>
      </c>
      <c r="C38" s="504">
        <v>0</v>
      </c>
      <c r="D38" s="504">
        <v>0</v>
      </c>
      <c r="E38" s="504">
        <v>0</v>
      </c>
      <c r="F38" s="647" t="str">
        <f t="shared" si="0"/>
        <v/>
      </c>
      <c r="G38" s="339"/>
      <c r="H38" s="559"/>
      <c r="I38" s="559"/>
      <c r="J38" s="339"/>
      <c r="K38" s="339"/>
      <c r="L38" s="343"/>
    </row>
    <row r="39" spans="1:12" s="299" customFormat="1" ht="9" customHeight="1">
      <c r="A39" s="536"/>
      <c r="B39" s="503" t="s">
        <v>290</v>
      </c>
      <c r="C39" s="504">
        <v>0</v>
      </c>
      <c r="D39" s="504">
        <v>0</v>
      </c>
      <c r="E39" s="504">
        <v>0</v>
      </c>
      <c r="F39" s="647" t="str">
        <f t="shared" si="0"/>
        <v/>
      </c>
      <c r="G39" s="339"/>
      <c r="H39" s="559"/>
      <c r="I39" s="559"/>
      <c r="J39" s="339"/>
      <c r="K39" s="339"/>
      <c r="L39" s="343"/>
    </row>
    <row r="40" spans="1:12" s="299" customFormat="1" ht="9" customHeight="1">
      <c r="A40" s="536"/>
      <c r="B40" s="503" t="s">
        <v>291</v>
      </c>
      <c r="C40" s="504"/>
      <c r="D40" s="504">
        <v>0</v>
      </c>
      <c r="E40" s="504"/>
      <c r="F40" s="647" t="str">
        <f t="shared" si="0"/>
        <v/>
      </c>
      <c r="G40" s="339"/>
      <c r="H40" s="559"/>
      <c r="I40" s="559"/>
      <c r="J40" s="339"/>
      <c r="K40" s="339"/>
      <c r="L40" s="343"/>
    </row>
    <row r="41" spans="1:12" s="299" customFormat="1" ht="9" customHeight="1">
      <c r="A41" s="537" t="s">
        <v>484</v>
      </c>
      <c r="B41" s="401"/>
      <c r="C41" s="402">
        <v>118.81665</v>
      </c>
      <c r="D41" s="402">
        <v>145.75068999999999</v>
      </c>
      <c r="E41" s="402">
        <v>109.46477</v>
      </c>
      <c r="F41" s="646">
        <f t="shared" si="0"/>
        <v>-0.18479528295886627</v>
      </c>
      <c r="G41" s="339"/>
      <c r="H41" s="559"/>
      <c r="I41" s="559"/>
      <c r="J41" s="339"/>
      <c r="K41" s="339"/>
      <c r="L41" s="343"/>
    </row>
    <row r="42" spans="1:12" s="299" customFormat="1" ht="9" customHeight="1">
      <c r="A42" s="536" t="s">
        <v>112</v>
      </c>
      <c r="B42" s="503" t="s">
        <v>70</v>
      </c>
      <c r="C42" s="504">
        <v>1.5634600000000001</v>
      </c>
      <c r="D42" s="504">
        <v>2.5543200000000001</v>
      </c>
      <c r="E42" s="504">
        <v>5.1179000000000006</v>
      </c>
      <c r="F42" s="647">
        <f t="shared" si="0"/>
        <v>-0.38791537473769933</v>
      </c>
      <c r="G42" s="339"/>
      <c r="H42" s="559"/>
      <c r="I42" s="559"/>
      <c r="J42" s="339"/>
      <c r="K42" s="339"/>
      <c r="L42" s="343"/>
    </row>
    <row r="43" spans="1:12" s="299" customFormat="1" ht="9" customHeight="1">
      <c r="A43" s="537" t="s">
        <v>485</v>
      </c>
      <c r="B43" s="401"/>
      <c r="C43" s="402">
        <v>1.5634600000000001</v>
      </c>
      <c r="D43" s="402">
        <v>2.5543200000000001</v>
      </c>
      <c r="E43" s="402">
        <v>5.1179000000000006</v>
      </c>
      <c r="F43" s="646">
        <f t="shared" si="0"/>
        <v>-0.38791537473769933</v>
      </c>
      <c r="G43" s="339"/>
      <c r="H43" s="559"/>
      <c r="I43" s="559"/>
      <c r="J43" s="339"/>
      <c r="K43" s="339"/>
      <c r="L43" s="343"/>
    </row>
    <row r="44" spans="1:12" s="299" customFormat="1" ht="9" customHeight="1">
      <c r="A44" s="536" t="s">
        <v>92</v>
      </c>
      <c r="B44" s="503" t="s">
        <v>292</v>
      </c>
      <c r="C44" s="504">
        <v>153.43099999999998</v>
      </c>
      <c r="D44" s="504">
        <v>125.73308</v>
      </c>
      <c r="E44" s="504">
        <v>162.03138999999999</v>
      </c>
      <c r="F44" s="647">
        <f t="shared" si="0"/>
        <v>0.22029143006756846</v>
      </c>
      <c r="G44" s="339"/>
      <c r="H44" s="559"/>
      <c r="I44" s="559"/>
      <c r="J44" s="339"/>
      <c r="K44" s="339"/>
      <c r="L44" s="343"/>
    </row>
    <row r="45" spans="1:12" s="299" customFormat="1" ht="9" customHeight="1">
      <c r="A45" s="537" t="s">
        <v>486</v>
      </c>
      <c r="B45" s="401"/>
      <c r="C45" s="402">
        <v>153.43099999999998</v>
      </c>
      <c r="D45" s="402">
        <v>125.73308</v>
      </c>
      <c r="E45" s="402">
        <v>162.03138999999999</v>
      </c>
      <c r="F45" s="646">
        <f t="shared" si="0"/>
        <v>0.22029143006756846</v>
      </c>
      <c r="G45" s="339"/>
      <c r="H45" s="559"/>
      <c r="I45" s="559"/>
      <c r="J45" s="339"/>
      <c r="K45" s="339"/>
      <c r="L45" s="343"/>
    </row>
    <row r="46" spans="1:12" s="299" customFormat="1" ht="9" customHeight="1">
      <c r="A46" s="536" t="s">
        <v>101</v>
      </c>
      <c r="B46" s="503" t="s">
        <v>293</v>
      </c>
      <c r="C46" s="504">
        <v>16.331189999999999</v>
      </c>
      <c r="D46" s="504">
        <v>5.508</v>
      </c>
      <c r="E46" s="504">
        <v>16.270449999999997</v>
      </c>
      <c r="F46" s="647">
        <f t="shared" si="0"/>
        <v>1.9649945533769064</v>
      </c>
      <c r="G46" s="339"/>
      <c r="H46" s="559"/>
      <c r="I46" s="559"/>
      <c r="J46" s="339"/>
      <c r="K46" s="339"/>
      <c r="L46" s="346"/>
    </row>
    <row r="47" spans="1:12" s="299" customFormat="1" ht="9" customHeight="1">
      <c r="A47" s="536"/>
      <c r="B47" s="503" t="s">
        <v>294</v>
      </c>
      <c r="C47" s="504">
        <v>8.9726400000000002</v>
      </c>
      <c r="D47" s="504">
        <v>0</v>
      </c>
      <c r="E47" s="504">
        <v>9.3239199999999993</v>
      </c>
      <c r="F47" s="647" t="str">
        <f t="shared" si="0"/>
        <v/>
      </c>
      <c r="G47" s="339"/>
      <c r="H47" s="559"/>
      <c r="I47" s="559"/>
      <c r="J47" s="339"/>
      <c r="K47" s="339"/>
      <c r="L47" s="343"/>
    </row>
    <row r="48" spans="1:12" s="299" customFormat="1" ht="9" customHeight="1">
      <c r="A48" s="536"/>
      <c r="B48" s="503" t="s">
        <v>295</v>
      </c>
      <c r="C48" s="504">
        <v>22.733810000000002</v>
      </c>
      <c r="D48" s="504">
        <v>22.576899999999998</v>
      </c>
      <c r="E48" s="504">
        <v>22.537839999999999</v>
      </c>
      <c r="F48" s="647">
        <f t="shared" si="0"/>
        <v>6.9500241397182361E-3</v>
      </c>
      <c r="G48" s="339"/>
      <c r="H48" s="559"/>
      <c r="I48" s="559"/>
      <c r="J48" s="339"/>
      <c r="K48" s="339"/>
      <c r="L48" s="343"/>
    </row>
    <row r="49" spans="1:12" s="299" customFormat="1" ht="9" customHeight="1">
      <c r="A49" s="537" t="s">
        <v>487</v>
      </c>
      <c r="B49" s="401"/>
      <c r="C49" s="402">
        <v>48.037639999999996</v>
      </c>
      <c r="D49" s="402">
        <v>28.084899999999998</v>
      </c>
      <c r="E49" s="402">
        <v>48.132210000000001</v>
      </c>
      <c r="F49" s="646">
        <f t="shared" si="0"/>
        <v>0.71044369038166422</v>
      </c>
      <c r="G49" s="339"/>
      <c r="H49" s="559"/>
      <c r="I49" s="559"/>
      <c r="J49" s="339"/>
      <c r="K49" s="339"/>
      <c r="L49" s="343"/>
    </row>
    <row r="50" spans="1:12" s="299" customFormat="1" ht="9" customHeight="1">
      <c r="A50" s="536" t="s">
        <v>113</v>
      </c>
      <c r="B50" s="503" t="s">
        <v>73</v>
      </c>
      <c r="C50" s="504">
        <v>2.5990000000000002</v>
      </c>
      <c r="D50" s="504">
        <v>2.6180699999999999</v>
      </c>
      <c r="E50" s="504">
        <v>3.7050000000000001</v>
      </c>
      <c r="F50" s="647">
        <f t="shared" si="0"/>
        <v>-7.2839916426985507E-3</v>
      </c>
      <c r="G50" s="339"/>
      <c r="H50" s="559"/>
      <c r="I50" s="559"/>
      <c r="J50" s="339"/>
      <c r="K50" s="339"/>
      <c r="L50" s="343"/>
    </row>
    <row r="51" spans="1:12" s="299" customFormat="1" ht="9" customHeight="1">
      <c r="A51" s="537" t="s">
        <v>488</v>
      </c>
      <c r="B51" s="401"/>
      <c r="C51" s="402">
        <v>2.5990000000000002</v>
      </c>
      <c r="D51" s="402">
        <v>2.6180699999999999</v>
      </c>
      <c r="E51" s="402">
        <v>3.7050000000000001</v>
      </c>
      <c r="F51" s="646">
        <f t="shared" si="0"/>
        <v>-7.2839916426985507E-3</v>
      </c>
      <c r="G51" s="339"/>
      <c r="H51" s="559"/>
      <c r="I51" s="559"/>
      <c r="J51" s="339"/>
      <c r="K51" s="339"/>
      <c r="L51" s="343"/>
    </row>
    <row r="52" spans="1:12" s="299" customFormat="1" ht="9" customHeight="1">
      <c r="A52" s="536" t="s">
        <v>416</v>
      </c>
      <c r="B52" s="503" t="s">
        <v>549</v>
      </c>
      <c r="C52" s="504"/>
      <c r="D52" s="504">
        <v>11.201129999999999</v>
      </c>
      <c r="E52" s="504"/>
      <c r="F52" s="647">
        <f t="shared" si="0"/>
        <v>-1</v>
      </c>
      <c r="G52" s="339"/>
      <c r="H52" s="559"/>
      <c r="I52" s="559"/>
      <c r="J52" s="339"/>
      <c r="K52" s="339"/>
      <c r="L52" s="343"/>
    </row>
    <row r="53" spans="1:12" s="299" customFormat="1" ht="9" customHeight="1">
      <c r="A53" s="537" t="s">
        <v>489</v>
      </c>
      <c r="B53" s="401"/>
      <c r="C53" s="402"/>
      <c r="D53" s="402">
        <v>11.201129999999999</v>
      </c>
      <c r="E53" s="402"/>
      <c r="F53" s="646">
        <f t="shared" si="0"/>
        <v>-1</v>
      </c>
      <c r="G53" s="339"/>
      <c r="H53" s="559"/>
      <c r="I53" s="559"/>
      <c r="J53" s="339"/>
      <c r="K53" s="339"/>
      <c r="L53" s="343"/>
    </row>
    <row r="54" spans="1:12" s="299" customFormat="1" ht="9" customHeight="1">
      <c r="A54" s="536" t="s">
        <v>89</v>
      </c>
      <c r="B54" s="503" t="s">
        <v>296</v>
      </c>
      <c r="C54" s="504">
        <v>641.64479999999992</v>
      </c>
      <c r="D54" s="504">
        <v>639.10559999999998</v>
      </c>
      <c r="E54" s="504">
        <v>649.98</v>
      </c>
      <c r="F54" s="647">
        <f t="shared" si="0"/>
        <v>3.9730523406460438E-3</v>
      </c>
      <c r="G54" s="339"/>
      <c r="H54" s="559"/>
      <c r="I54" s="559"/>
      <c r="J54" s="339"/>
      <c r="K54" s="339"/>
      <c r="L54" s="343"/>
    </row>
    <row r="55" spans="1:12" s="299" customFormat="1" ht="9" customHeight="1">
      <c r="A55" s="536"/>
      <c r="B55" s="503" t="s">
        <v>297</v>
      </c>
      <c r="C55" s="504">
        <v>209.36256000000003</v>
      </c>
      <c r="D55" s="504">
        <v>213.95519999999999</v>
      </c>
      <c r="E55" s="504">
        <v>214.30848</v>
      </c>
      <c r="F55" s="647">
        <f t="shared" si="0"/>
        <v>-2.1465428276573606E-2</v>
      </c>
      <c r="G55" s="339"/>
      <c r="H55" s="559"/>
      <c r="I55" s="559"/>
      <c r="J55" s="339"/>
      <c r="K55" s="339"/>
    </row>
    <row r="56" spans="1:12" s="299" customFormat="1" ht="9" customHeight="1">
      <c r="A56" s="536"/>
      <c r="B56" s="503" t="s">
        <v>564</v>
      </c>
      <c r="C56" s="504"/>
      <c r="D56" s="504">
        <v>0</v>
      </c>
      <c r="E56" s="504"/>
      <c r="F56" s="647" t="str">
        <f t="shared" si="0"/>
        <v/>
      </c>
      <c r="G56" s="339"/>
      <c r="H56" s="559"/>
      <c r="I56" s="559"/>
      <c r="J56" s="339"/>
      <c r="K56" s="339"/>
    </row>
    <row r="57" spans="1:12" s="299" customFormat="1" ht="9" customHeight="1">
      <c r="A57" s="537" t="s">
        <v>490</v>
      </c>
      <c r="B57" s="401"/>
      <c r="C57" s="402">
        <v>851.00735999999995</v>
      </c>
      <c r="D57" s="402">
        <v>853.06079999999997</v>
      </c>
      <c r="E57" s="402">
        <v>864.28848000000005</v>
      </c>
      <c r="F57" s="646">
        <f t="shared" si="0"/>
        <v>-2.4071437815452734E-3</v>
      </c>
      <c r="G57" s="339"/>
      <c r="H57" s="559"/>
      <c r="I57" s="559"/>
      <c r="J57" s="339"/>
      <c r="K57" s="339"/>
    </row>
    <row r="58" spans="1:12" s="299" customFormat="1" ht="9" customHeight="1">
      <c r="A58" s="536" t="s">
        <v>235</v>
      </c>
      <c r="B58" s="503" t="s">
        <v>298</v>
      </c>
      <c r="C58" s="504">
        <v>176.61727999999999</v>
      </c>
      <c r="D58" s="504">
        <v>309.23145999999997</v>
      </c>
      <c r="E58" s="504">
        <v>463.06226000000004</v>
      </c>
      <c r="F58" s="647">
        <f t="shared" si="0"/>
        <v>-0.42885086789034976</v>
      </c>
      <c r="G58" s="339"/>
      <c r="H58" s="559"/>
      <c r="I58" s="559"/>
      <c r="J58" s="339"/>
      <c r="K58" s="339"/>
    </row>
    <row r="59" spans="1:12" s="299" customFormat="1" ht="9" customHeight="1">
      <c r="A59" s="536"/>
      <c r="B59" s="503" t="s">
        <v>299</v>
      </c>
      <c r="C59" s="504">
        <v>6.4483699999999997</v>
      </c>
      <c r="D59" s="504">
        <v>6.4378700000000002</v>
      </c>
      <c r="E59" s="504">
        <v>6.4502100000000002</v>
      </c>
      <c r="F59" s="647">
        <f t="shared" si="0"/>
        <v>1.630974219734016E-3</v>
      </c>
      <c r="G59" s="339"/>
      <c r="H59" s="559"/>
      <c r="I59" s="559"/>
      <c r="J59" s="339"/>
      <c r="K59" s="339"/>
    </row>
    <row r="60" spans="1:12" s="299" customFormat="1" ht="9" customHeight="1">
      <c r="A60" s="537" t="s">
        <v>491</v>
      </c>
      <c r="B60" s="401"/>
      <c r="C60" s="402">
        <v>183.06565000000001</v>
      </c>
      <c r="D60" s="402">
        <v>315.66932999999995</v>
      </c>
      <c r="E60" s="402">
        <v>469.51247000000006</v>
      </c>
      <c r="F60" s="646">
        <f t="shared" si="0"/>
        <v>-0.4200714716250703</v>
      </c>
      <c r="G60" s="339"/>
      <c r="H60" s="559"/>
      <c r="I60" s="559"/>
      <c r="J60" s="339"/>
      <c r="K60" s="339"/>
    </row>
    <row r="61" spans="1:12" s="299" customFormat="1" ht="9" customHeight="1">
      <c r="A61" s="536" t="s">
        <v>236</v>
      </c>
      <c r="B61" s="503" t="s">
        <v>300</v>
      </c>
      <c r="C61" s="504">
        <v>47.774459999999998</v>
      </c>
      <c r="D61" s="504">
        <v>72.859000000000009</v>
      </c>
      <c r="E61" s="504">
        <v>47.372480000000003</v>
      </c>
      <c r="F61" s="647">
        <f t="shared" si="0"/>
        <v>-0.34428883185330583</v>
      </c>
      <c r="G61" s="339"/>
      <c r="H61" s="559"/>
      <c r="I61" s="559"/>
      <c r="J61" s="339"/>
      <c r="K61" s="339"/>
    </row>
    <row r="62" spans="1:12" s="299" customFormat="1" ht="9" customHeight="1">
      <c r="A62" s="537" t="s">
        <v>492</v>
      </c>
      <c r="B62" s="401"/>
      <c r="C62" s="402">
        <v>47.774459999999998</v>
      </c>
      <c r="D62" s="402">
        <v>72.859000000000009</v>
      </c>
      <c r="E62" s="402">
        <v>47.372480000000003</v>
      </c>
      <c r="F62" s="646">
        <f t="shared" si="0"/>
        <v>-0.34428883185330583</v>
      </c>
      <c r="G62" s="339"/>
      <c r="H62" s="559"/>
      <c r="I62" s="559"/>
      <c r="J62" s="339"/>
      <c r="K62" s="339"/>
    </row>
    <row r="63" spans="1:12" s="299" customFormat="1" ht="9" customHeight="1">
      <c r="A63" s="536" t="s">
        <v>465</v>
      </c>
      <c r="B63" s="503" t="s">
        <v>65</v>
      </c>
      <c r="C63" s="504">
        <v>4.2481799999999996</v>
      </c>
      <c r="D63" s="504">
        <v>2.66255</v>
      </c>
      <c r="E63" s="504">
        <v>4.9848800000000004</v>
      </c>
      <c r="F63" s="647">
        <f t="shared" si="0"/>
        <v>0.59553060036431238</v>
      </c>
      <c r="G63" s="339"/>
      <c r="H63" s="559"/>
      <c r="I63" s="559"/>
      <c r="J63" s="339"/>
      <c r="K63" s="339"/>
    </row>
    <row r="64" spans="1:12" s="299" customFormat="1" ht="9" customHeight="1">
      <c r="A64" s="536"/>
      <c r="B64" s="503" t="s">
        <v>64</v>
      </c>
      <c r="C64" s="504">
        <v>4.6104399999999996</v>
      </c>
      <c r="D64" s="504">
        <v>3.03159</v>
      </c>
      <c r="E64" s="504">
        <v>5.0012299999999996</v>
      </c>
      <c r="F64" s="647">
        <f t="shared" si="0"/>
        <v>0.52079931653026956</v>
      </c>
      <c r="G64" s="339"/>
      <c r="H64" s="559"/>
      <c r="I64" s="559"/>
      <c r="J64" s="339"/>
      <c r="K64" s="339"/>
    </row>
    <row r="65" spans="1:11" s="299" customFormat="1" ht="9" customHeight="1">
      <c r="A65" s="536"/>
      <c r="B65" s="503" t="s">
        <v>60</v>
      </c>
      <c r="C65" s="504">
        <v>4.79277</v>
      </c>
      <c r="D65" s="504">
        <v>4.5112699999999997</v>
      </c>
      <c r="E65" s="504">
        <v>20.179189999999998</v>
      </c>
      <c r="F65" s="647">
        <f t="shared" si="0"/>
        <v>6.2399280025358772E-2</v>
      </c>
      <c r="G65" s="339"/>
      <c r="H65" s="559"/>
      <c r="I65" s="559"/>
      <c r="J65" s="339"/>
      <c r="K65" s="339"/>
    </row>
    <row r="66" spans="1:11" s="299" customFormat="1" ht="9" customHeight="1">
      <c r="A66" s="536"/>
      <c r="B66" s="503" t="s">
        <v>57</v>
      </c>
      <c r="C66" s="504">
        <v>6.7360199999999999</v>
      </c>
      <c r="D66" s="504">
        <v>6.2838200000000004</v>
      </c>
      <c r="E66" s="504">
        <v>20.088429999999999</v>
      </c>
      <c r="F66" s="647">
        <f t="shared" si="0"/>
        <v>7.1962596000521906E-2</v>
      </c>
      <c r="G66" s="339"/>
      <c r="H66" s="560"/>
      <c r="I66" s="559"/>
      <c r="J66" s="339"/>
      <c r="K66" s="339"/>
    </row>
    <row r="67" spans="1:11" s="299" customFormat="1" ht="9" customHeight="1">
      <c r="A67" s="536"/>
      <c r="B67" s="503" t="s">
        <v>68</v>
      </c>
      <c r="C67" s="504">
        <v>1.49868</v>
      </c>
      <c r="D67" s="504">
        <v>1.8441700000000001</v>
      </c>
      <c r="E67" s="504">
        <v>5.9581799999999996</v>
      </c>
      <c r="F67" s="647">
        <f t="shared" si="0"/>
        <v>-0.18734173096840312</v>
      </c>
      <c r="G67" s="339"/>
      <c r="H67" s="560"/>
      <c r="I67" s="559"/>
      <c r="J67" s="339"/>
      <c r="K67" s="339"/>
    </row>
    <row r="68" spans="1:11" s="299" customFormat="1" ht="9" customHeight="1">
      <c r="A68" s="536"/>
      <c r="B68" s="503" t="s">
        <v>67</v>
      </c>
      <c r="C68" s="504">
        <v>2.0283500000000001</v>
      </c>
      <c r="D68" s="504">
        <v>2.0458799999999999</v>
      </c>
      <c r="E68" s="504">
        <v>6.7025300000000003</v>
      </c>
      <c r="F68" s="647">
        <f t="shared" si="0"/>
        <v>-8.5684399867048677E-3</v>
      </c>
      <c r="G68" s="347"/>
      <c r="H68" s="560"/>
      <c r="I68" s="559"/>
      <c r="J68" s="339"/>
      <c r="K68" s="339"/>
    </row>
    <row r="69" spans="1:11" s="299" customFormat="1" ht="9" customHeight="1">
      <c r="A69" s="537" t="s">
        <v>493</v>
      </c>
      <c r="B69" s="401"/>
      <c r="C69" s="402">
        <v>23.914439999999999</v>
      </c>
      <c r="D69" s="402">
        <v>20.379279999999998</v>
      </c>
      <c r="E69" s="402">
        <v>62.914439999999999</v>
      </c>
      <c r="F69" s="646">
        <f t="shared" si="0"/>
        <v>0.17346834628112484</v>
      </c>
      <c r="G69" s="347"/>
      <c r="H69" s="560"/>
      <c r="I69" s="559"/>
      <c r="J69" s="339"/>
      <c r="K69" s="339"/>
    </row>
    <row r="70" spans="1:11" s="299" customFormat="1" ht="9" customHeight="1">
      <c r="A70" s="536" t="s">
        <v>88</v>
      </c>
      <c r="B70" s="503" t="s">
        <v>451</v>
      </c>
      <c r="C70" s="504">
        <v>72.88000000000001</v>
      </c>
      <c r="D70" s="504">
        <v>56.92864999999999</v>
      </c>
      <c r="E70" s="504">
        <v>76.489999999999995</v>
      </c>
      <c r="F70" s="647">
        <f t="shared" si="0"/>
        <v>0.28019898592360826</v>
      </c>
      <c r="G70" s="347"/>
      <c r="H70" s="560"/>
      <c r="I70" s="559"/>
      <c r="J70" s="339"/>
      <c r="K70" s="339"/>
    </row>
    <row r="71" spans="1:11" s="299" customFormat="1" ht="9" customHeight="1">
      <c r="A71" s="536"/>
      <c r="B71" s="503" t="s">
        <v>301</v>
      </c>
      <c r="C71" s="504">
        <v>28.996000000000002</v>
      </c>
      <c r="D71" s="504">
        <v>15.29167</v>
      </c>
      <c r="E71" s="504">
        <v>26.152000000000001</v>
      </c>
      <c r="F71" s="647">
        <f t="shared" ref="F71:F81" si="1">+IF(D71=0,"",C71/D71-1)</f>
        <v>0.89619577194642597</v>
      </c>
      <c r="G71" s="347"/>
      <c r="H71" s="559"/>
      <c r="I71" s="559"/>
      <c r="J71" s="339"/>
      <c r="K71" s="339"/>
    </row>
    <row r="72" spans="1:11" s="299" customFormat="1" ht="9" customHeight="1">
      <c r="A72" s="536"/>
      <c r="B72" s="503" t="s">
        <v>302</v>
      </c>
      <c r="C72" s="504">
        <v>101.976</v>
      </c>
      <c r="D72" s="504">
        <v>200.59762000000001</v>
      </c>
      <c r="E72" s="504">
        <v>171.09</v>
      </c>
      <c r="F72" s="647">
        <f t="shared" si="1"/>
        <v>-0.49163903340428472</v>
      </c>
      <c r="G72" s="347"/>
      <c r="H72" s="559"/>
      <c r="I72" s="559"/>
      <c r="J72" s="339"/>
      <c r="K72" s="339"/>
    </row>
    <row r="73" spans="1:11" s="299" customFormat="1" ht="9" customHeight="1">
      <c r="A73" s="536"/>
      <c r="B73" s="503" t="s">
        <v>303</v>
      </c>
      <c r="C73" s="504">
        <v>110.163</v>
      </c>
      <c r="D73" s="504">
        <v>64.79983</v>
      </c>
      <c r="E73" s="504">
        <v>132.90300000000002</v>
      </c>
      <c r="F73" s="647">
        <f t="shared" si="1"/>
        <v>0.70005075630599634</v>
      </c>
      <c r="G73" s="339"/>
      <c r="H73" s="559"/>
      <c r="I73" s="559"/>
      <c r="J73" s="339"/>
      <c r="K73" s="339"/>
    </row>
    <row r="74" spans="1:11" s="299" customFormat="1" ht="9" customHeight="1">
      <c r="A74" s="536"/>
      <c r="B74" s="503" t="s">
        <v>304</v>
      </c>
      <c r="C74" s="504">
        <v>62.540999999999997</v>
      </c>
      <c r="D74" s="504">
        <v>41.154029999999999</v>
      </c>
      <c r="E74" s="504">
        <v>60.276000000000003</v>
      </c>
      <c r="F74" s="647">
        <f t="shared" si="1"/>
        <v>0.51968106161170602</v>
      </c>
      <c r="G74" s="339"/>
      <c r="H74" s="559"/>
      <c r="I74" s="559"/>
      <c r="J74" s="339"/>
      <c r="K74" s="339"/>
    </row>
    <row r="75" spans="1:11" s="299" customFormat="1" ht="9" customHeight="1">
      <c r="A75" s="536"/>
      <c r="B75" s="503" t="s">
        <v>305</v>
      </c>
      <c r="C75" s="504">
        <v>118.253</v>
      </c>
      <c r="D75" s="504">
        <v>220.22007000000002</v>
      </c>
      <c r="E75" s="504">
        <v>0</v>
      </c>
      <c r="F75" s="647">
        <f t="shared" si="1"/>
        <v>-0.46302351098153771</v>
      </c>
      <c r="G75" s="339"/>
      <c r="H75" s="559"/>
      <c r="I75" s="559"/>
      <c r="J75" s="339"/>
      <c r="K75" s="339"/>
    </row>
    <row r="76" spans="1:11" s="299" customFormat="1" ht="9" customHeight="1">
      <c r="A76" s="536"/>
      <c r="B76" s="503" t="s">
        <v>306</v>
      </c>
      <c r="C76" s="504">
        <v>159.85499999999999</v>
      </c>
      <c r="D76" s="504">
        <v>0</v>
      </c>
      <c r="E76" s="504">
        <v>151.54900000000001</v>
      </c>
      <c r="F76" s="647" t="str">
        <f t="shared" si="1"/>
        <v/>
      </c>
      <c r="G76" s="348"/>
      <c r="H76" s="559"/>
      <c r="I76" s="559"/>
      <c r="J76" s="339"/>
      <c r="K76" s="339"/>
    </row>
    <row r="77" spans="1:11" s="299" customFormat="1" ht="9" customHeight="1">
      <c r="A77" s="536"/>
      <c r="B77" s="503" t="s">
        <v>307</v>
      </c>
      <c r="C77" s="504">
        <v>453.17500000000007</v>
      </c>
      <c r="D77" s="504">
        <v>461.2002</v>
      </c>
      <c r="E77" s="504">
        <v>204.32600000000002</v>
      </c>
      <c r="F77" s="647">
        <f t="shared" si="1"/>
        <v>-1.7400686296319745E-2</v>
      </c>
      <c r="G77" s="348"/>
      <c r="H77" s="270"/>
      <c r="I77" s="559"/>
      <c r="J77" s="339"/>
      <c r="K77" s="339"/>
    </row>
    <row r="78" spans="1:11" s="299" customFormat="1" ht="9" customHeight="1">
      <c r="A78" s="536"/>
      <c r="B78" s="503" t="s">
        <v>411</v>
      </c>
      <c r="C78" s="504">
        <v>0.33700000000000002</v>
      </c>
      <c r="D78" s="504">
        <v>0.34782000000000002</v>
      </c>
      <c r="E78" s="504">
        <v>0.33700000000000002</v>
      </c>
      <c r="F78" s="647">
        <f t="shared" si="1"/>
        <v>-3.1108044390776857E-2</v>
      </c>
      <c r="G78" s="348"/>
      <c r="H78" s="270"/>
      <c r="I78" s="559"/>
      <c r="J78" s="339"/>
      <c r="K78" s="339"/>
    </row>
    <row r="79" spans="1:11" s="299" customFormat="1" ht="9" customHeight="1">
      <c r="A79" s="537" t="s">
        <v>494</v>
      </c>
      <c r="B79" s="401"/>
      <c r="C79" s="402">
        <v>1108.1759999999999</v>
      </c>
      <c r="D79" s="402">
        <v>1060.53989</v>
      </c>
      <c r="E79" s="402">
        <v>823.12300000000005</v>
      </c>
      <c r="F79" s="646">
        <f t="shared" si="1"/>
        <v>4.491684890796499E-2</v>
      </c>
      <c r="H79" s="270"/>
      <c r="I79" s="559"/>
      <c r="J79" s="339"/>
      <c r="K79" s="339"/>
    </row>
    <row r="80" spans="1:11" s="299" customFormat="1" ht="9" customHeight="1">
      <c r="A80" s="536" t="s">
        <v>96</v>
      </c>
      <c r="B80" s="503" t="s">
        <v>308</v>
      </c>
      <c r="C80" s="504">
        <v>49.036999999999999</v>
      </c>
      <c r="D80" s="504">
        <v>0</v>
      </c>
      <c r="E80" s="504">
        <v>47.892000000000003</v>
      </c>
      <c r="F80" s="647" t="str">
        <f t="shared" si="1"/>
        <v/>
      </c>
    </row>
    <row r="81" spans="1:6" s="299" customFormat="1" ht="9" customHeight="1">
      <c r="A81" s="536"/>
      <c r="B81" s="503" t="s">
        <v>309</v>
      </c>
      <c r="C81" s="504">
        <v>0</v>
      </c>
      <c r="D81" s="504">
        <v>91.749669999999995</v>
      </c>
      <c r="E81" s="504">
        <v>0</v>
      </c>
      <c r="F81" s="647">
        <f t="shared" si="1"/>
        <v>-1</v>
      </c>
    </row>
    <row r="82" spans="1:6" s="299" customFormat="1" ht="9" customHeight="1">
      <c r="A82" s="536"/>
      <c r="B82" s="503" t="s">
        <v>310</v>
      </c>
      <c r="C82" s="504">
        <v>0</v>
      </c>
      <c r="D82" s="504">
        <v>0</v>
      </c>
      <c r="E82" s="504">
        <v>0</v>
      </c>
      <c r="F82" s="647"/>
    </row>
    <row r="83" spans="1:6" s="299" customFormat="1" ht="9" customHeight="1">
      <c r="A83" s="537" t="s">
        <v>495</v>
      </c>
      <c r="B83" s="401"/>
      <c r="C83" s="402">
        <v>49.036999999999999</v>
      </c>
      <c r="D83" s="402">
        <v>91.749669999999995</v>
      </c>
      <c r="E83" s="402">
        <v>47.892000000000003</v>
      </c>
      <c r="F83" s="646"/>
    </row>
    <row r="84" spans="1:6" s="299" customFormat="1" ht="9" customHeight="1">
      <c r="A84" s="536"/>
      <c r="B84" s="503"/>
      <c r="C84" s="504"/>
      <c r="D84" s="504"/>
      <c r="E84" s="504"/>
      <c r="F84" s="647"/>
    </row>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9" customHeight="1"/>
    <row r="138" s="299" customFormat="1" ht="9"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10.5" customHeight="1"/>
    <row r="168" s="299" customFormat="1" ht="10.5" customHeight="1"/>
    <row r="169" s="299" customFormat="1" ht="8.25"/>
    <row r="170" s="299" customFormat="1" ht="8.25"/>
    <row r="171" s="299" customFormat="1" ht="8.25"/>
    <row r="172" s="299" customFormat="1" ht="8.25"/>
    <row r="173" s="299" customFormat="1" ht="8.25"/>
    <row r="174" s="299" customFormat="1" ht="8.25"/>
    <row r="175" s="299" customFormat="1" ht="8.25"/>
    <row r="176" s="299" customFormat="1" ht="8.25"/>
    <row r="177" s="299" customFormat="1" ht="8.25"/>
    <row r="178" s="299" customFormat="1" ht="8.25"/>
    <row r="179" s="299" customFormat="1" ht="8.25"/>
    <row r="180" s="299" customFormat="1" ht="8.25"/>
    <row r="181" s="299" customFormat="1" ht="8.25"/>
    <row r="182" s="299" customFormat="1" ht="8.25"/>
    <row r="183" s="299" customFormat="1" ht="8.25"/>
    <row r="184" s="299" customFormat="1" ht="8.25"/>
    <row r="185" s="299" customFormat="1" ht="8.25"/>
    <row r="186" s="299" customFormat="1" ht="8.25"/>
    <row r="187" s="299" customFormat="1" ht="8.25"/>
    <row r="188" s="299" customFormat="1" ht="8.25"/>
    <row r="189" s="299" customFormat="1" ht="8.25"/>
  </sheetData>
  <mergeCells count="3">
    <mergeCell ref="A2:A5"/>
    <mergeCell ref="B2:B5"/>
    <mergeCell ref="C2:F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workbookViewId="0">
      <selection activeCell="B18" sqref="M18"/>
    </sheetView>
  </sheetViews>
  <sheetFormatPr baseColWidth="10" defaultColWidth="9.33203125" defaultRowHeight="9"/>
  <cols>
    <col min="1" max="1" width="28.6640625" style="270" customWidth="1"/>
    <col min="2" max="2" width="22.1640625" style="270" customWidth="1"/>
    <col min="3" max="4" width="17.6640625" style="270" customWidth="1"/>
    <col min="5" max="5" width="15.1640625" style="270" customWidth="1"/>
    <col min="6" max="6" width="13.33203125" style="270" customWidth="1"/>
    <col min="7" max="7" width="6.33203125" style="270" customWidth="1"/>
    <col min="8" max="16384" width="9.33203125" style="270"/>
  </cols>
  <sheetData>
    <row r="1" spans="1:11" s="299" customFormat="1" ht="11.25" customHeight="1">
      <c r="A1" s="938" t="s">
        <v>248</v>
      </c>
      <c r="B1" s="940" t="s">
        <v>54</v>
      </c>
      <c r="C1" s="940" t="s">
        <v>350</v>
      </c>
      <c r="D1" s="940"/>
      <c r="E1" s="940"/>
      <c r="F1" s="942"/>
      <c r="G1" s="337"/>
    </row>
    <row r="2" spans="1:11" s="299" customFormat="1" ht="11.25" customHeight="1">
      <c r="A2" s="932"/>
      <c r="B2" s="935"/>
      <c r="C2" s="390" t="str">
        <f>UPPER('1. Resumen'!Q4)&amp;" "&amp;'1. Resumen'!Q5</f>
        <v>JUNIO 2022</v>
      </c>
      <c r="D2" s="391" t="str">
        <f>UPPER('1. Resumen'!Q4)&amp;" "&amp;'1. Resumen'!Q5-1</f>
        <v>JUNIO 2021</v>
      </c>
      <c r="E2" s="391">
        <v>2022</v>
      </c>
      <c r="F2" s="514" t="s">
        <v>558</v>
      </c>
      <c r="G2" s="338"/>
      <c r="H2" s="337"/>
    </row>
    <row r="3" spans="1:11" s="299" customFormat="1" ht="11.25" customHeight="1">
      <c r="A3" s="932"/>
      <c r="B3" s="935"/>
      <c r="C3" s="392">
        <f>'21. ANEXOII-1'!C4</f>
        <v>44727.802083333336</v>
      </c>
      <c r="D3" s="392">
        <f>'21. ANEXOII-1'!D4</f>
        <v>44371.875</v>
      </c>
      <c r="E3" s="392">
        <f>'21. ANEXOII-1'!E4</f>
        <v>44614.822916666664</v>
      </c>
      <c r="F3" s="515" t="s">
        <v>347</v>
      </c>
      <c r="G3" s="339"/>
      <c r="H3" s="337"/>
    </row>
    <row r="4" spans="1:11" s="299" customFormat="1" ht="9" customHeight="1">
      <c r="A4" s="939"/>
      <c r="B4" s="941"/>
      <c r="C4" s="393">
        <f>+'8. Max Potencia'!D9</f>
        <v>44727.802083333336</v>
      </c>
      <c r="D4" s="393">
        <f>+'8. Max Potencia'!E9</f>
        <v>44371.875</v>
      </c>
      <c r="E4" s="393">
        <f>+'21. ANEXOII-1'!E5</f>
        <v>44614.822916666664</v>
      </c>
      <c r="F4" s="516" t="s">
        <v>348</v>
      </c>
      <c r="G4" s="339"/>
      <c r="H4" s="341"/>
    </row>
    <row r="5" spans="1:11" s="299" customFormat="1" ht="9.6" customHeight="1">
      <c r="A5" s="696" t="s">
        <v>98</v>
      </c>
      <c r="B5" s="684" t="s">
        <v>419</v>
      </c>
      <c r="C5" s="685">
        <v>0</v>
      </c>
      <c r="D5" s="685">
        <v>0</v>
      </c>
      <c r="E5" s="685">
        <v>0</v>
      </c>
      <c r="F5" s="686" t="str">
        <f t="shared" ref="F5:F69" si="0">+IF(D5=0,"",C5/D5-1)</f>
        <v/>
      </c>
      <c r="J5" s="412"/>
      <c r="K5" s="412"/>
    </row>
    <row r="6" spans="1:11" s="299" customFormat="1" ht="9.6" customHeight="1">
      <c r="A6" s="696"/>
      <c r="B6" s="684" t="s">
        <v>418</v>
      </c>
      <c r="C6" s="685">
        <v>125.508</v>
      </c>
      <c r="D6" s="685">
        <v>119.07773</v>
      </c>
      <c r="E6" s="685">
        <v>48.011000000000003</v>
      </c>
      <c r="F6" s="686">
        <f t="shared" si="0"/>
        <v>5.4000609517833364E-2</v>
      </c>
      <c r="J6" s="412"/>
      <c r="K6" s="412"/>
    </row>
    <row r="7" spans="1:11" s="299" customFormat="1" ht="9.6" customHeight="1">
      <c r="A7" s="697" t="s">
        <v>496</v>
      </c>
      <c r="B7" s="698"/>
      <c r="C7" s="699">
        <v>125.508</v>
      </c>
      <c r="D7" s="699">
        <v>119.07773</v>
      </c>
      <c r="E7" s="699">
        <v>48.011000000000003</v>
      </c>
      <c r="F7" s="700">
        <f t="shared" si="0"/>
        <v>5.4000609517833364E-2</v>
      </c>
      <c r="J7" s="412"/>
      <c r="K7" s="412"/>
    </row>
    <row r="8" spans="1:11" s="299" customFormat="1" ht="9.6" customHeight="1">
      <c r="A8" s="696" t="s">
        <v>97</v>
      </c>
      <c r="B8" s="684" t="s">
        <v>77</v>
      </c>
      <c r="C8" s="685">
        <v>57.634</v>
      </c>
      <c r="D8" s="685">
        <v>28.0425</v>
      </c>
      <c r="E8" s="685">
        <v>23.425999999999998</v>
      </c>
      <c r="F8" s="686">
        <f t="shared" si="0"/>
        <v>1.0552375858072569</v>
      </c>
      <c r="K8" s="412"/>
    </row>
    <row r="9" spans="1:11" s="299" customFormat="1" ht="9.6" customHeight="1">
      <c r="A9" s="696"/>
      <c r="B9" s="684" t="s">
        <v>79</v>
      </c>
      <c r="C9" s="685">
        <v>27.805599999999998</v>
      </c>
      <c r="D9" s="685">
        <v>23.869620000000001</v>
      </c>
      <c r="E9" s="685">
        <v>6.5380000000000003</v>
      </c>
      <c r="F9" s="686">
        <f t="shared" si="0"/>
        <v>0.16489495852887459</v>
      </c>
      <c r="K9" s="412"/>
    </row>
    <row r="10" spans="1:11" s="299" customFormat="1" ht="9.6" customHeight="1">
      <c r="A10" s="697" t="s">
        <v>497</v>
      </c>
      <c r="B10" s="698"/>
      <c r="C10" s="699">
        <v>85.439599999999999</v>
      </c>
      <c r="D10" s="699">
        <v>51.912120000000002</v>
      </c>
      <c r="E10" s="699">
        <v>29.963999999999999</v>
      </c>
      <c r="F10" s="700">
        <f t="shared" si="0"/>
        <v>0.64585071848346765</v>
      </c>
      <c r="K10" s="412"/>
    </row>
    <row r="11" spans="1:11" s="299" customFormat="1" ht="9.6" customHeight="1">
      <c r="A11" s="696" t="s">
        <v>87</v>
      </c>
      <c r="B11" s="684" t="s">
        <v>311</v>
      </c>
      <c r="C11" s="685">
        <v>56.098649999999999</v>
      </c>
      <c r="D11" s="685">
        <v>40.090769999999999</v>
      </c>
      <c r="E11" s="685">
        <v>112.41030000000001</v>
      </c>
      <c r="F11" s="686">
        <f t="shared" si="0"/>
        <v>0.3992909091045147</v>
      </c>
      <c r="J11" s="412"/>
      <c r="K11" s="412"/>
    </row>
    <row r="12" spans="1:11" s="299" customFormat="1" ht="9.6" customHeight="1">
      <c r="A12" s="696"/>
      <c r="B12" s="684" t="s">
        <v>312</v>
      </c>
      <c r="C12" s="685">
        <v>88.888069999999999</v>
      </c>
      <c r="D12" s="685">
        <v>66.505769999999998</v>
      </c>
      <c r="E12" s="685">
        <v>130.44429</v>
      </c>
      <c r="F12" s="686">
        <f t="shared" si="0"/>
        <v>0.3365467387265797</v>
      </c>
      <c r="J12" s="412"/>
      <c r="K12" s="412"/>
    </row>
    <row r="13" spans="1:11" s="299" customFormat="1" ht="9.6" customHeight="1">
      <c r="A13" s="696"/>
      <c r="B13" s="684" t="s">
        <v>313</v>
      </c>
      <c r="C13" s="685">
        <v>557.86991999999998</v>
      </c>
      <c r="D13" s="685">
        <v>764.3053900000001</v>
      </c>
      <c r="E13" s="685">
        <v>165.95107999999999</v>
      </c>
      <c r="F13" s="686">
        <f t="shared" si="0"/>
        <v>-0.27009553079299897</v>
      </c>
      <c r="J13" s="412"/>
      <c r="K13" s="412"/>
    </row>
    <row r="14" spans="1:11" s="299" customFormat="1" ht="9.6" customHeight="1">
      <c r="A14" s="696"/>
      <c r="B14" s="684" t="s">
        <v>314</v>
      </c>
      <c r="C14" s="685">
        <v>102.41989</v>
      </c>
      <c r="D14" s="685">
        <v>101.2364</v>
      </c>
      <c r="E14" s="685">
        <v>67.947299999999998</v>
      </c>
      <c r="F14" s="686">
        <f t="shared" si="0"/>
        <v>1.1690360384209564E-2</v>
      </c>
      <c r="J14" s="412"/>
      <c r="K14" s="412"/>
    </row>
    <row r="15" spans="1:11" s="299" customFormat="1" ht="9.6" customHeight="1">
      <c r="A15" s="696"/>
      <c r="B15" s="684" t="s">
        <v>315</v>
      </c>
      <c r="C15" s="685">
        <v>0</v>
      </c>
      <c r="D15" s="685">
        <v>0</v>
      </c>
      <c r="E15" s="685">
        <v>0</v>
      </c>
      <c r="F15" s="686" t="str">
        <f t="shared" si="0"/>
        <v/>
      </c>
      <c r="J15" s="412"/>
      <c r="K15" s="412"/>
    </row>
    <row r="16" spans="1:11" s="299" customFormat="1" ht="9.6" customHeight="1">
      <c r="A16" s="696"/>
      <c r="B16" s="684" t="s">
        <v>316</v>
      </c>
      <c r="C16" s="685">
        <v>0</v>
      </c>
      <c r="D16" s="685">
        <v>0</v>
      </c>
      <c r="E16" s="685">
        <v>0</v>
      </c>
      <c r="F16" s="686" t="str">
        <f t="shared" si="0"/>
        <v/>
      </c>
      <c r="J16" s="412"/>
      <c r="K16" s="412"/>
    </row>
    <row r="17" spans="1:11" s="299" customFormat="1" ht="9.6" customHeight="1">
      <c r="A17" s="696"/>
      <c r="B17" s="684" t="s">
        <v>317</v>
      </c>
      <c r="C17" s="685">
        <v>0</v>
      </c>
      <c r="D17" s="685">
        <v>0</v>
      </c>
      <c r="E17" s="685">
        <v>0</v>
      </c>
      <c r="F17" s="686" t="str">
        <f t="shared" si="0"/>
        <v/>
      </c>
      <c r="J17" s="412"/>
      <c r="K17" s="412"/>
    </row>
    <row r="18" spans="1:11" s="299" customFormat="1" ht="9.6" customHeight="1">
      <c r="A18" s="696"/>
      <c r="B18" s="684" t="s">
        <v>420</v>
      </c>
      <c r="C18" s="685">
        <v>0</v>
      </c>
      <c r="D18" s="685">
        <v>0</v>
      </c>
      <c r="E18" s="685">
        <v>0</v>
      </c>
      <c r="F18" s="686" t="str">
        <f t="shared" si="0"/>
        <v/>
      </c>
      <c r="J18" s="412"/>
      <c r="K18" s="412"/>
    </row>
    <row r="19" spans="1:11" s="299" customFormat="1" ht="9.6" customHeight="1">
      <c r="A19" s="697" t="s">
        <v>498</v>
      </c>
      <c r="B19" s="698"/>
      <c r="C19" s="699">
        <v>805.27652999999998</v>
      </c>
      <c r="D19" s="699">
        <v>972.13833000000011</v>
      </c>
      <c r="E19" s="699">
        <v>476.75296999999995</v>
      </c>
      <c r="F19" s="700">
        <f t="shared" si="0"/>
        <v>-0.17164409102149081</v>
      </c>
      <c r="J19" s="412"/>
      <c r="K19" s="412"/>
    </row>
    <row r="20" spans="1:11" s="299" customFormat="1" ht="9.6" customHeight="1">
      <c r="A20" s="696" t="s">
        <v>237</v>
      </c>
      <c r="B20" s="684" t="s">
        <v>318</v>
      </c>
      <c r="C20" s="685">
        <v>559.52296000000001</v>
      </c>
      <c r="D20" s="685">
        <v>540.08069</v>
      </c>
      <c r="E20" s="685">
        <v>562.50548000000003</v>
      </c>
      <c r="F20" s="686"/>
      <c r="J20" s="412"/>
      <c r="K20" s="412"/>
    </row>
    <row r="21" spans="1:11" s="299" customFormat="1" ht="9.6" customHeight="1">
      <c r="A21" s="697" t="s">
        <v>499</v>
      </c>
      <c r="B21" s="698"/>
      <c r="C21" s="699">
        <v>559.52296000000001</v>
      </c>
      <c r="D21" s="699">
        <v>540.08069</v>
      </c>
      <c r="E21" s="699">
        <v>562.50548000000003</v>
      </c>
      <c r="F21" s="700"/>
      <c r="J21" s="412"/>
      <c r="K21" s="412"/>
    </row>
    <row r="22" spans="1:11" s="299" customFormat="1" ht="9.6" customHeight="1">
      <c r="A22" s="696" t="s">
        <v>445</v>
      </c>
      <c r="B22" s="684" t="s">
        <v>449</v>
      </c>
      <c r="C22" s="685">
        <v>10.10055</v>
      </c>
      <c r="D22" s="685">
        <v>7.9807899999999998</v>
      </c>
      <c r="E22" s="685">
        <v>20.832709999999999</v>
      </c>
      <c r="F22" s="686"/>
      <c r="J22" s="412"/>
      <c r="K22" s="412"/>
    </row>
    <row r="23" spans="1:11" s="299" customFormat="1" ht="9.6" customHeight="1">
      <c r="A23" s="696"/>
      <c r="B23" s="684" t="s">
        <v>446</v>
      </c>
      <c r="C23" s="685">
        <v>3.3283100000000001</v>
      </c>
      <c r="D23" s="685">
        <v>3.1246800000000001</v>
      </c>
      <c r="E23" s="685">
        <v>6.4733700000000001</v>
      </c>
      <c r="F23" s="686">
        <f t="shared" si="0"/>
        <v>6.5168273231178908E-2</v>
      </c>
      <c r="J23" s="412"/>
      <c r="K23" s="412"/>
    </row>
    <row r="24" spans="1:11" s="299" customFormat="1" ht="9.6" customHeight="1">
      <c r="A24" s="697" t="s">
        <v>500</v>
      </c>
      <c r="B24" s="698"/>
      <c r="C24" s="699">
        <v>13.42886</v>
      </c>
      <c r="D24" s="699">
        <v>11.10547</v>
      </c>
      <c r="E24" s="699">
        <v>27.306079999999998</v>
      </c>
      <c r="F24" s="700">
        <f t="shared" si="0"/>
        <v>0.20921131658543035</v>
      </c>
      <c r="J24" s="412"/>
      <c r="K24" s="412"/>
    </row>
    <row r="25" spans="1:11" s="299" customFormat="1" ht="9.6" customHeight="1">
      <c r="A25" s="696" t="s">
        <v>108</v>
      </c>
      <c r="B25" s="684" t="s">
        <v>66</v>
      </c>
      <c r="C25" s="685">
        <v>6.6267399999999999</v>
      </c>
      <c r="D25" s="685">
        <v>7.3231299999999999</v>
      </c>
      <c r="E25" s="685">
        <v>6.8293900000000001</v>
      </c>
      <c r="F25" s="686">
        <f t="shared" si="0"/>
        <v>-9.5094583873289174E-2</v>
      </c>
      <c r="J25" s="412"/>
      <c r="K25" s="412"/>
    </row>
    <row r="26" spans="1:11" s="299" customFormat="1" ht="9.6" customHeight="1">
      <c r="A26" s="696"/>
      <c r="B26" s="684" t="s">
        <v>410</v>
      </c>
      <c r="C26" s="685">
        <v>4.68771</v>
      </c>
      <c r="D26" s="685">
        <v>5.08894</v>
      </c>
      <c r="E26" s="685">
        <v>20.386659999999999</v>
      </c>
      <c r="F26" s="686">
        <f t="shared" si="0"/>
        <v>-7.8843531265843203E-2</v>
      </c>
      <c r="J26" s="412"/>
      <c r="K26" s="412"/>
    </row>
    <row r="27" spans="1:11" s="299" customFormat="1" ht="9.6" customHeight="1">
      <c r="A27" s="696"/>
      <c r="B27" s="684" t="s">
        <v>408</v>
      </c>
      <c r="C27" s="685">
        <v>6.5939300000000003</v>
      </c>
      <c r="D27" s="685">
        <v>7.2903399999999996</v>
      </c>
      <c r="E27" s="685">
        <v>20.391100000000002</v>
      </c>
      <c r="F27" s="686">
        <f t="shared" si="0"/>
        <v>-9.5525037241061317E-2</v>
      </c>
      <c r="J27" s="412"/>
      <c r="K27" s="412"/>
    </row>
    <row r="28" spans="1:11" s="299" customFormat="1" ht="9.6" customHeight="1">
      <c r="A28" s="696"/>
      <c r="B28" s="684" t="s">
        <v>409</v>
      </c>
      <c r="C28" s="685">
        <v>6.4499599999999999</v>
      </c>
      <c r="D28" s="685">
        <v>7.4527099999999997</v>
      </c>
      <c r="E28" s="685">
        <v>20.156399999999998</v>
      </c>
      <c r="F28" s="686">
        <f t="shared" si="0"/>
        <v>-0.13454837233704253</v>
      </c>
      <c r="J28" s="412"/>
      <c r="K28" s="412"/>
    </row>
    <row r="29" spans="1:11" s="299" customFormat="1" ht="9.6" customHeight="1">
      <c r="A29" s="697" t="s">
        <v>501</v>
      </c>
      <c r="B29" s="698"/>
      <c r="C29" s="699">
        <v>24.358340000000002</v>
      </c>
      <c r="D29" s="699">
        <v>27.15512</v>
      </c>
      <c r="E29" s="699">
        <v>67.763550000000009</v>
      </c>
      <c r="F29" s="700">
        <f t="shared" si="0"/>
        <v>-0.1029927321256543</v>
      </c>
      <c r="J29" s="412"/>
      <c r="K29" s="412"/>
    </row>
    <row r="30" spans="1:11" s="299" customFormat="1" ht="9.6" customHeight="1">
      <c r="A30" s="696" t="s">
        <v>462</v>
      </c>
      <c r="B30" s="684" t="s">
        <v>470</v>
      </c>
      <c r="C30" s="685">
        <v>4.91343</v>
      </c>
      <c r="D30" s="685">
        <v>0</v>
      </c>
      <c r="E30" s="685">
        <v>5.8799999999999998E-3</v>
      </c>
      <c r="F30" s="686" t="str">
        <f t="shared" si="0"/>
        <v/>
      </c>
      <c r="J30" s="412"/>
      <c r="K30" s="412"/>
    </row>
    <row r="31" spans="1:11" s="299" customFormat="1" ht="9.6" customHeight="1">
      <c r="A31" s="697" t="s">
        <v>502</v>
      </c>
      <c r="B31" s="698"/>
      <c r="C31" s="699">
        <v>4.91343</v>
      </c>
      <c r="D31" s="699">
        <v>0</v>
      </c>
      <c r="E31" s="699">
        <v>5.8799999999999998E-3</v>
      </c>
      <c r="F31" s="700" t="str">
        <f t="shared" si="0"/>
        <v/>
      </c>
      <c r="J31" s="412"/>
      <c r="K31" s="412"/>
    </row>
    <row r="32" spans="1:11" s="299" customFormat="1" ht="9.6" customHeight="1">
      <c r="A32" s="696" t="s">
        <v>463</v>
      </c>
      <c r="B32" s="684" t="s">
        <v>471</v>
      </c>
      <c r="C32" s="685">
        <v>7.09903</v>
      </c>
      <c r="D32" s="685">
        <v>0.30436000000000002</v>
      </c>
      <c r="E32" s="685">
        <v>1.1910000000000001</v>
      </c>
      <c r="F32" s="686">
        <f t="shared" si="0"/>
        <v>22.324451307661977</v>
      </c>
      <c r="J32" s="412"/>
      <c r="K32" s="412"/>
    </row>
    <row r="33" spans="1:11" s="299" customFormat="1" ht="9.6" customHeight="1">
      <c r="A33" s="697" t="s">
        <v>503</v>
      </c>
      <c r="B33" s="698"/>
      <c r="C33" s="699">
        <v>7.09903</v>
      </c>
      <c r="D33" s="699">
        <v>0.30436000000000002</v>
      </c>
      <c r="E33" s="699">
        <v>1.1910000000000001</v>
      </c>
      <c r="F33" s="700">
        <f t="shared" si="0"/>
        <v>22.324451307661977</v>
      </c>
      <c r="J33" s="412"/>
      <c r="K33" s="412"/>
    </row>
    <row r="34" spans="1:11" s="299" customFormat="1" ht="9.6" customHeight="1">
      <c r="A34" s="696" t="s">
        <v>114</v>
      </c>
      <c r="B34" s="684" t="s">
        <v>74</v>
      </c>
      <c r="C34" s="685">
        <v>3.6</v>
      </c>
      <c r="D34" s="685">
        <v>3.2</v>
      </c>
      <c r="E34" s="685">
        <v>2.8</v>
      </c>
      <c r="F34" s="686">
        <f t="shared" si="0"/>
        <v>0.125</v>
      </c>
      <c r="J34" s="412"/>
      <c r="K34" s="412"/>
    </row>
    <row r="35" spans="1:11" s="299" customFormat="1" ht="9.6" customHeight="1">
      <c r="A35" s="697" t="s">
        <v>504</v>
      </c>
      <c r="B35" s="698"/>
      <c r="C35" s="699">
        <v>3.6</v>
      </c>
      <c r="D35" s="699">
        <v>3.2</v>
      </c>
      <c r="E35" s="699">
        <v>2.8</v>
      </c>
      <c r="F35" s="700">
        <f t="shared" si="0"/>
        <v>0.125</v>
      </c>
      <c r="J35" s="412"/>
      <c r="K35" s="412"/>
    </row>
    <row r="36" spans="1:11" s="299" customFormat="1" ht="9.6" customHeight="1">
      <c r="A36" s="696" t="s">
        <v>103</v>
      </c>
      <c r="B36" s="684" t="s">
        <v>319</v>
      </c>
      <c r="C36" s="685">
        <v>19.031759999999998</v>
      </c>
      <c r="D36" s="685">
        <v>15.986270000000001</v>
      </c>
      <c r="E36" s="685">
        <v>19.016210000000001</v>
      </c>
      <c r="F36" s="686">
        <f t="shared" si="0"/>
        <v>0.1905066034791103</v>
      </c>
      <c r="J36" s="412"/>
      <c r="K36" s="412"/>
    </row>
    <row r="37" spans="1:11" s="299" customFormat="1" ht="9.6" customHeight="1">
      <c r="A37" s="697" t="s">
        <v>505</v>
      </c>
      <c r="B37" s="698"/>
      <c r="C37" s="699">
        <v>19.031759999999998</v>
      </c>
      <c r="D37" s="699">
        <v>15.986270000000001</v>
      </c>
      <c r="E37" s="699">
        <v>19.016210000000001</v>
      </c>
      <c r="F37" s="700">
        <f t="shared" si="0"/>
        <v>0.1905066034791103</v>
      </c>
      <c r="J37" s="412"/>
      <c r="K37" s="412"/>
    </row>
    <row r="38" spans="1:11" s="550" customFormat="1" ht="18" customHeight="1">
      <c r="A38" s="696" t="s">
        <v>238</v>
      </c>
      <c r="B38" s="684" t="s">
        <v>59</v>
      </c>
      <c r="C38" s="685">
        <v>17.332999999999998</v>
      </c>
      <c r="D38" s="685">
        <v>15.518419999999999</v>
      </c>
      <c r="E38" s="685">
        <v>9.3076899999999991</v>
      </c>
      <c r="F38" s="686">
        <f t="shared" si="0"/>
        <v>0.11693071846231762</v>
      </c>
      <c r="J38" s="687"/>
      <c r="K38" s="687"/>
    </row>
    <row r="39" spans="1:11" s="299" customFormat="1" ht="9.6" customHeight="1">
      <c r="A39" s="697" t="s">
        <v>506</v>
      </c>
      <c r="B39" s="698"/>
      <c r="C39" s="699">
        <v>17.332999999999998</v>
      </c>
      <c r="D39" s="699">
        <v>15.518419999999999</v>
      </c>
      <c r="E39" s="699">
        <v>9.3076899999999991</v>
      </c>
      <c r="F39" s="700">
        <f t="shared" si="0"/>
        <v>0.11693071846231762</v>
      </c>
      <c r="J39" s="412"/>
      <c r="K39" s="412"/>
    </row>
    <row r="40" spans="1:11" s="299" customFormat="1" ht="9.6" customHeight="1">
      <c r="A40" s="696" t="s">
        <v>407</v>
      </c>
      <c r="B40" s="684" t="s">
        <v>691</v>
      </c>
      <c r="C40" s="685">
        <v>0</v>
      </c>
      <c r="D40" s="685">
        <v>0.52800000000000002</v>
      </c>
      <c r="E40" s="685">
        <v>0</v>
      </c>
      <c r="F40" s="686">
        <f t="shared" si="0"/>
        <v>-1</v>
      </c>
      <c r="J40" s="412"/>
      <c r="K40" s="412"/>
    </row>
    <row r="41" spans="1:11" s="299" customFormat="1" ht="9.6" customHeight="1">
      <c r="A41" s="697" t="s">
        <v>507</v>
      </c>
      <c r="B41" s="698"/>
      <c r="C41" s="699">
        <v>0</v>
      </c>
      <c r="D41" s="699">
        <v>0.52800000000000002</v>
      </c>
      <c r="E41" s="699">
        <v>0</v>
      </c>
      <c r="F41" s="700">
        <f t="shared" si="0"/>
        <v>-1</v>
      </c>
      <c r="J41" s="412"/>
      <c r="K41" s="412"/>
    </row>
    <row r="42" spans="1:11" s="299" customFormat="1" ht="9.6" customHeight="1">
      <c r="A42" s="696" t="s">
        <v>422</v>
      </c>
      <c r="B42" s="684" t="s">
        <v>426</v>
      </c>
      <c r="C42" s="685">
        <v>82.535640000000001</v>
      </c>
      <c r="D42" s="685">
        <v>67.226389999999995</v>
      </c>
      <c r="E42" s="685">
        <v>90.378320000000002</v>
      </c>
      <c r="F42" s="686">
        <f t="shared" si="0"/>
        <v>0.22772679002992735</v>
      </c>
      <c r="J42" s="412"/>
      <c r="K42" s="412"/>
    </row>
    <row r="43" spans="1:11" s="299" customFormat="1" ht="9.6" customHeight="1">
      <c r="A43" s="697" t="s">
        <v>508</v>
      </c>
      <c r="B43" s="698"/>
      <c r="C43" s="699">
        <v>82.535640000000001</v>
      </c>
      <c r="D43" s="699">
        <v>67.226389999999995</v>
      </c>
      <c r="E43" s="699">
        <v>90.378320000000002</v>
      </c>
      <c r="F43" s="700">
        <f t="shared" si="0"/>
        <v>0.22772679002992735</v>
      </c>
      <c r="J43" s="412"/>
      <c r="K43" s="412"/>
    </row>
    <row r="44" spans="1:11" s="299" customFormat="1" ht="19.899999999999999" customHeight="1">
      <c r="A44" s="683" t="s">
        <v>453</v>
      </c>
      <c r="B44" s="684" t="s">
        <v>458</v>
      </c>
      <c r="C44" s="685">
        <v>0</v>
      </c>
      <c r="D44" s="685">
        <v>9.2861399999999996</v>
      </c>
      <c r="E44" s="685">
        <v>19.462150000000001</v>
      </c>
      <c r="F44" s="686">
        <f t="shared" si="0"/>
        <v>-1</v>
      </c>
      <c r="J44" s="412"/>
      <c r="K44" s="412"/>
    </row>
    <row r="45" spans="1:11" s="299" customFormat="1" ht="11.45" customHeight="1">
      <c r="A45" s="697" t="s">
        <v>509</v>
      </c>
      <c r="B45" s="698"/>
      <c r="C45" s="699">
        <v>0</v>
      </c>
      <c r="D45" s="699">
        <v>9.2861399999999996</v>
      </c>
      <c r="E45" s="699">
        <v>19.462150000000001</v>
      </c>
      <c r="F45" s="700">
        <f t="shared" si="0"/>
        <v>-1</v>
      </c>
      <c r="J45" s="412"/>
      <c r="K45" s="412"/>
    </row>
    <row r="46" spans="1:11" s="299" customFormat="1" ht="11.45" customHeight="1">
      <c r="A46" s="696" t="s">
        <v>116</v>
      </c>
      <c r="B46" s="684" t="s">
        <v>321</v>
      </c>
      <c r="C46" s="685">
        <v>0</v>
      </c>
      <c r="D46" s="685">
        <v>0</v>
      </c>
      <c r="E46" s="685">
        <v>0</v>
      </c>
      <c r="F46" s="686" t="str">
        <f t="shared" si="0"/>
        <v/>
      </c>
      <c r="J46" s="412"/>
      <c r="K46" s="412"/>
    </row>
    <row r="47" spans="1:11" s="299" customFormat="1" ht="11.45" customHeight="1">
      <c r="A47" s="696"/>
      <c r="B47" s="684" t="s">
        <v>322</v>
      </c>
      <c r="C47" s="685">
        <v>0</v>
      </c>
      <c r="D47" s="685">
        <v>0</v>
      </c>
      <c r="E47" s="685">
        <v>0</v>
      </c>
      <c r="F47" s="686" t="str">
        <f t="shared" si="0"/>
        <v/>
      </c>
      <c r="J47" s="412"/>
      <c r="K47" s="412"/>
    </row>
    <row r="48" spans="1:11" s="299" customFormat="1" ht="11.45" customHeight="1">
      <c r="A48" s="697" t="s">
        <v>510</v>
      </c>
      <c r="B48" s="698"/>
      <c r="C48" s="699">
        <v>0</v>
      </c>
      <c r="D48" s="699">
        <v>0</v>
      </c>
      <c r="E48" s="699">
        <v>0</v>
      </c>
      <c r="F48" s="700" t="str">
        <f t="shared" si="0"/>
        <v/>
      </c>
      <c r="J48" s="412"/>
      <c r="K48" s="412"/>
    </row>
    <row r="49" spans="1:11" s="299" customFormat="1" ht="11.45" customHeight="1">
      <c r="A49" s="696" t="s">
        <v>405</v>
      </c>
      <c r="B49" s="684" t="s">
        <v>323</v>
      </c>
      <c r="C49" s="685">
        <v>488.21</v>
      </c>
      <c r="D49" s="685">
        <v>517.28671999999995</v>
      </c>
      <c r="E49" s="685">
        <v>786.88</v>
      </c>
      <c r="F49" s="686">
        <f t="shared" si="0"/>
        <v>-5.6210064700675022E-2</v>
      </c>
      <c r="J49" s="412"/>
      <c r="K49" s="412"/>
    </row>
    <row r="50" spans="1:11" s="299" customFormat="1" ht="11.45" customHeight="1">
      <c r="A50" s="696"/>
      <c r="B50" s="684" t="s">
        <v>692</v>
      </c>
      <c r="C50" s="685">
        <v>329.35399999999998</v>
      </c>
      <c r="D50" s="685">
        <v>183.97984</v>
      </c>
      <c r="E50" s="685">
        <v>104.8</v>
      </c>
      <c r="F50" s="686">
        <f t="shared" si="0"/>
        <v>0.79016353096078351</v>
      </c>
      <c r="J50" s="412"/>
      <c r="K50" s="412"/>
    </row>
    <row r="51" spans="1:11" s="299" customFormat="1" ht="11.45" customHeight="1">
      <c r="A51" s="696"/>
      <c r="B51" s="684" t="s">
        <v>424</v>
      </c>
      <c r="C51" s="685">
        <v>250.76499999999999</v>
      </c>
      <c r="D51" s="685">
        <v>79.525139999999993</v>
      </c>
      <c r="E51" s="685">
        <v>364.11</v>
      </c>
      <c r="F51" s="686">
        <f t="shared" si="0"/>
        <v>2.153279579262608</v>
      </c>
      <c r="J51" s="412"/>
      <c r="K51" s="412"/>
    </row>
    <row r="52" spans="1:11" s="299" customFormat="1" ht="11.45" customHeight="1">
      <c r="A52" s="696"/>
      <c r="B52" s="684" t="s">
        <v>324</v>
      </c>
      <c r="C52" s="685">
        <v>4.306</v>
      </c>
      <c r="D52" s="685">
        <v>4.41751</v>
      </c>
      <c r="E52" s="685">
        <v>10.14</v>
      </c>
      <c r="F52" s="686">
        <f t="shared" si="0"/>
        <v>-2.5242727237742568E-2</v>
      </c>
      <c r="J52" s="412"/>
      <c r="K52" s="412"/>
    </row>
    <row r="53" spans="1:11" s="299" customFormat="1" ht="11.45" customHeight="1">
      <c r="A53" s="697" t="s">
        <v>511</v>
      </c>
      <c r="B53" s="698"/>
      <c r="C53" s="699">
        <v>1072.635</v>
      </c>
      <c r="D53" s="699">
        <v>785.20920999999987</v>
      </c>
      <c r="E53" s="699">
        <v>1265.93</v>
      </c>
      <c r="F53" s="700">
        <f t="shared" si="0"/>
        <v>0.36604994737644536</v>
      </c>
      <c r="J53" s="412"/>
      <c r="K53" s="412"/>
    </row>
    <row r="54" spans="1:11" s="299" customFormat="1" ht="11.45" customHeight="1">
      <c r="A54" s="696" t="s">
        <v>472</v>
      </c>
      <c r="B54" s="684" t="s">
        <v>562</v>
      </c>
      <c r="C54" s="685">
        <v>34.318089999999998</v>
      </c>
      <c r="D54" s="685">
        <v>28.0063</v>
      </c>
      <c r="E54" s="685">
        <v>74.250879999999995</v>
      </c>
      <c r="F54" s="686">
        <f t="shared" si="0"/>
        <v>0.22537036309687464</v>
      </c>
      <c r="J54" s="412"/>
      <c r="K54" s="412"/>
    </row>
    <row r="55" spans="1:11" s="299" customFormat="1" ht="11.45" customHeight="1">
      <c r="A55" s="697" t="s">
        <v>512</v>
      </c>
      <c r="B55" s="698"/>
      <c r="C55" s="699">
        <v>34.318089999999998</v>
      </c>
      <c r="D55" s="699">
        <v>28.0063</v>
      </c>
      <c r="E55" s="699">
        <v>74.250879999999995</v>
      </c>
      <c r="F55" s="700">
        <f t="shared" si="0"/>
        <v>0.22537036309687464</v>
      </c>
      <c r="J55" s="412"/>
      <c r="K55" s="412"/>
    </row>
    <row r="56" spans="1:11" s="299" customFormat="1" ht="11.45" customHeight="1">
      <c r="A56" s="696" t="s">
        <v>115</v>
      </c>
      <c r="B56" s="684" t="s">
        <v>72</v>
      </c>
      <c r="C56" s="685">
        <v>1.8420000000000001</v>
      </c>
      <c r="D56" s="685">
        <v>1.9338599999999999</v>
      </c>
      <c r="E56" s="685">
        <v>3.694</v>
      </c>
      <c r="F56" s="686">
        <f t="shared" si="0"/>
        <v>-4.750085321584796E-2</v>
      </c>
      <c r="J56" s="412"/>
      <c r="K56" s="412"/>
    </row>
    <row r="57" spans="1:11" s="299" customFormat="1" ht="11.45" customHeight="1">
      <c r="A57" s="697" t="s">
        <v>513</v>
      </c>
      <c r="B57" s="698"/>
      <c r="C57" s="699">
        <v>1.8420000000000001</v>
      </c>
      <c r="D57" s="699">
        <v>1.9338599999999999</v>
      </c>
      <c r="E57" s="699">
        <v>3.694</v>
      </c>
      <c r="F57" s="700">
        <f t="shared" si="0"/>
        <v>-4.750085321584796E-2</v>
      </c>
      <c r="J57" s="412"/>
      <c r="K57" s="412"/>
    </row>
    <row r="58" spans="1:11" s="299" customFormat="1" ht="11.45" customHeight="1">
      <c r="A58" s="696" t="s">
        <v>460</v>
      </c>
      <c r="B58" s="684" t="s">
        <v>231</v>
      </c>
      <c r="C58" s="685">
        <v>0</v>
      </c>
      <c r="D58" s="685">
        <v>0</v>
      </c>
      <c r="E58" s="685">
        <v>0</v>
      </c>
      <c r="F58" s="686" t="str">
        <f t="shared" si="0"/>
        <v/>
      </c>
      <c r="J58" s="412"/>
      <c r="K58" s="412"/>
    </row>
    <row r="59" spans="1:11" s="299" customFormat="1" ht="11.45" customHeight="1">
      <c r="A59" s="697" t="s">
        <v>514</v>
      </c>
      <c r="B59" s="698"/>
      <c r="C59" s="699">
        <v>0</v>
      </c>
      <c r="D59" s="699">
        <v>0</v>
      </c>
      <c r="E59" s="699">
        <v>0</v>
      </c>
      <c r="F59" s="700" t="str">
        <f t="shared" si="0"/>
        <v/>
      </c>
      <c r="J59" s="412"/>
      <c r="K59" s="412"/>
    </row>
    <row r="60" spans="1:11" s="299" customFormat="1" ht="11.45" customHeight="1">
      <c r="A60" s="696" t="s">
        <v>110</v>
      </c>
      <c r="B60" s="684" t="s">
        <v>81</v>
      </c>
      <c r="C60" s="685">
        <v>0</v>
      </c>
      <c r="D60" s="685">
        <v>0</v>
      </c>
      <c r="E60" s="685">
        <v>0</v>
      </c>
      <c r="F60" s="686" t="str">
        <f t="shared" si="0"/>
        <v/>
      </c>
      <c r="J60" s="412"/>
      <c r="K60" s="412"/>
    </row>
    <row r="61" spans="1:11" s="299" customFormat="1" ht="11.45" customHeight="1">
      <c r="A61" s="697" t="s">
        <v>515</v>
      </c>
      <c r="B61" s="698"/>
      <c r="C61" s="699">
        <v>0</v>
      </c>
      <c r="D61" s="699">
        <v>0</v>
      </c>
      <c r="E61" s="699">
        <v>0</v>
      </c>
      <c r="F61" s="700" t="str">
        <f t="shared" si="0"/>
        <v/>
      </c>
      <c r="J61" s="412"/>
      <c r="K61" s="412"/>
    </row>
    <row r="62" spans="1:11" s="299" customFormat="1" ht="11.45" customHeight="1">
      <c r="A62" s="696" t="s">
        <v>239</v>
      </c>
      <c r="B62" s="684" t="s">
        <v>71</v>
      </c>
      <c r="C62" s="685">
        <v>5.45</v>
      </c>
      <c r="D62" s="685">
        <v>5.63774</v>
      </c>
      <c r="E62" s="685">
        <v>5.5860000000000003</v>
      </c>
      <c r="F62" s="686">
        <f t="shared" si="0"/>
        <v>-3.3300577891140715E-2</v>
      </c>
      <c r="J62" s="412"/>
      <c r="K62" s="412"/>
    </row>
    <row r="63" spans="1:11" s="299" customFormat="1" ht="11.45" customHeight="1">
      <c r="A63" s="696"/>
      <c r="B63" s="684" t="s">
        <v>325</v>
      </c>
      <c r="C63" s="685">
        <v>147.97</v>
      </c>
      <c r="D63" s="685">
        <v>97.819430000000011</v>
      </c>
      <c r="E63" s="685">
        <v>255.13400000000001</v>
      </c>
      <c r="F63" s="686">
        <f t="shared" si="0"/>
        <v>0.51268515876651488</v>
      </c>
      <c r="J63" s="412"/>
      <c r="K63" s="412"/>
    </row>
    <row r="64" spans="1:11" s="299" customFormat="1" ht="11.45" customHeight="1">
      <c r="A64" s="696"/>
      <c r="B64" s="684" t="s">
        <v>326</v>
      </c>
      <c r="C64" s="685">
        <v>89.77000000000001</v>
      </c>
      <c r="D64" s="685">
        <v>92.044839999999994</v>
      </c>
      <c r="E64" s="685">
        <v>92.557000000000002</v>
      </c>
      <c r="F64" s="686">
        <f t="shared" si="0"/>
        <v>-2.4714476118378625E-2</v>
      </c>
      <c r="J64" s="412"/>
      <c r="K64" s="412"/>
    </row>
    <row r="65" spans="1:11" s="299" customFormat="1" ht="11.45" customHeight="1">
      <c r="A65" s="696"/>
      <c r="B65" s="684" t="s">
        <v>62</v>
      </c>
      <c r="C65" s="685">
        <v>10.02</v>
      </c>
      <c r="D65" s="685">
        <v>9.9167500000000004</v>
      </c>
      <c r="E65" s="685">
        <v>9.7219999999999995</v>
      </c>
      <c r="F65" s="686">
        <f t="shared" si="0"/>
        <v>1.0411677212796455E-2</v>
      </c>
      <c r="J65" s="412"/>
      <c r="K65" s="412"/>
    </row>
    <row r="66" spans="1:11" s="299" customFormat="1" ht="11.45" customHeight="1">
      <c r="A66" s="697" t="s">
        <v>516</v>
      </c>
      <c r="B66" s="698"/>
      <c r="C66" s="699">
        <v>253.21</v>
      </c>
      <c r="D66" s="699">
        <v>205.41875999999999</v>
      </c>
      <c r="E66" s="699">
        <v>362.99900000000002</v>
      </c>
      <c r="F66" s="700">
        <f t="shared" si="0"/>
        <v>0.23265275284496911</v>
      </c>
      <c r="J66" s="412"/>
      <c r="K66" s="412"/>
    </row>
    <row r="67" spans="1:11" s="299" customFormat="1" ht="11.45" customHeight="1">
      <c r="A67" s="696" t="s">
        <v>240</v>
      </c>
      <c r="B67" s="684" t="s">
        <v>78</v>
      </c>
      <c r="C67" s="685">
        <v>19.678349999999998</v>
      </c>
      <c r="D67" s="685">
        <v>27.913160000000001</v>
      </c>
      <c r="E67" s="685">
        <v>13.748060000000001</v>
      </c>
      <c r="F67" s="686">
        <f t="shared" si="0"/>
        <v>-0.2950153261042463</v>
      </c>
      <c r="J67" s="412"/>
      <c r="K67" s="412"/>
    </row>
    <row r="68" spans="1:11" s="299" customFormat="1" ht="11.45" customHeight="1">
      <c r="A68" s="697" t="s">
        <v>517</v>
      </c>
      <c r="B68" s="698"/>
      <c r="C68" s="699">
        <v>19.678349999999998</v>
      </c>
      <c r="D68" s="699">
        <v>27.913160000000001</v>
      </c>
      <c r="E68" s="699">
        <v>13.748060000000001</v>
      </c>
      <c r="F68" s="700">
        <f t="shared" si="0"/>
        <v>-0.2950153261042463</v>
      </c>
      <c r="J68" s="412"/>
      <c r="K68" s="412"/>
    </row>
    <row r="69" spans="1:11" s="299" customFormat="1" ht="11.45" customHeight="1">
      <c r="A69" s="696" t="s">
        <v>99</v>
      </c>
      <c r="B69" s="684" t="s">
        <v>76</v>
      </c>
      <c r="C69" s="685">
        <v>60.343629999999997</v>
      </c>
      <c r="D69" s="685">
        <v>90.099869999999996</v>
      </c>
      <c r="E69" s="685">
        <v>43.980359999999997</v>
      </c>
      <c r="F69" s="686">
        <f t="shared" si="0"/>
        <v>-0.33025841213755358</v>
      </c>
      <c r="J69" s="412"/>
      <c r="K69" s="412"/>
    </row>
    <row r="70" spans="1:11" ht="11.45" customHeight="1">
      <c r="A70" s="697" t="s">
        <v>518</v>
      </c>
      <c r="B70" s="698"/>
      <c r="C70" s="699">
        <v>60.343629999999997</v>
      </c>
      <c r="D70" s="699">
        <v>90.099869999999996</v>
      </c>
      <c r="E70" s="699">
        <v>43.980359999999997</v>
      </c>
      <c r="F70" s="700">
        <f t="shared" ref="F70" si="1">+IF(D70=0,"",C70/D70-1)</f>
        <v>-0.33025841213755358</v>
      </c>
    </row>
    <row r="71" spans="1:11">
      <c r="A71" s="274"/>
      <c r="B71" s="274"/>
      <c r="C71" s="274"/>
      <c r="D71" s="274"/>
      <c r="E71" s="274"/>
      <c r="F71" s="701"/>
    </row>
    <row r="72" spans="1:11">
      <c r="F72" s="648"/>
    </row>
    <row r="73" spans="1:11">
      <c r="F73" s="648"/>
    </row>
    <row r="74" spans="1:11">
      <c r="F74" s="648"/>
    </row>
    <row r="75" spans="1:11">
      <c r="F75" s="648"/>
    </row>
    <row r="76" spans="1:11">
      <c r="F76" s="648"/>
    </row>
  </sheetData>
  <mergeCells count="3">
    <mergeCell ref="A1:A4"/>
    <mergeCell ref="B1:B4"/>
    <mergeCell ref="C1:F1"/>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5"/>
  <sheetViews>
    <sheetView showGridLines="0" view="pageBreakPreview" topLeftCell="A20" zoomScale="110" zoomScaleNormal="100" zoomScaleSheetLayoutView="110" zoomScalePageLayoutView="140" workbookViewId="0">
      <selection activeCell="B18" sqref="M18"/>
    </sheetView>
  </sheetViews>
  <sheetFormatPr baseColWidth="10" defaultColWidth="9.33203125" defaultRowHeight="9"/>
  <cols>
    <col min="1" max="1" width="27" style="270" customWidth="1"/>
    <col min="2" max="2" width="19.5" style="270" customWidth="1"/>
    <col min="3" max="3" width="16.5" style="270" customWidth="1"/>
    <col min="4" max="4" width="17.6640625" style="270" customWidth="1"/>
    <col min="5" max="5" width="15.1640625" style="270" customWidth="1"/>
    <col min="6" max="6" width="12.83203125" style="270" customWidth="1"/>
    <col min="7" max="22" width="9.33203125" style="794"/>
    <col min="23" max="16384" width="9.33203125" style="270"/>
  </cols>
  <sheetData>
    <row r="1" spans="1:22" s="299" customFormat="1" ht="11.25" customHeight="1">
      <c r="A1" s="938" t="s">
        <v>248</v>
      </c>
      <c r="B1" s="940" t="s">
        <v>54</v>
      </c>
      <c r="C1" s="940" t="s">
        <v>350</v>
      </c>
      <c r="D1" s="940"/>
      <c r="E1" s="940"/>
      <c r="F1" s="942"/>
      <c r="G1" s="793"/>
      <c r="H1" s="793"/>
      <c r="I1" s="793"/>
      <c r="J1" s="793"/>
      <c r="K1" s="793"/>
      <c r="L1" s="793"/>
      <c r="M1" s="793"/>
      <c r="N1" s="793"/>
      <c r="O1" s="793"/>
      <c r="P1" s="793"/>
      <c r="Q1" s="793"/>
      <c r="R1" s="793"/>
      <c r="S1" s="793"/>
      <c r="T1" s="793"/>
      <c r="U1" s="793"/>
      <c r="V1" s="793"/>
    </row>
    <row r="2" spans="1:22" s="299" customFormat="1" ht="11.25" customHeight="1">
      <c r="A2" s="932"/>
      <c r="B2" s="935"/>
      <c r="C2" s="390" t="str">
        <f>UPPER('1. Resumen'!Q4)&amp;" "&amp;'1. Resumen'!Q5</f>
        <v>JUNIO 2022</v>
      </c>
      <c r="D2" s="391" t="str">
        <f>UPPER('1. Resumen'!Q4)&amp;" "&amp;'1. Resumen'!Q5-1</f>
        <v>JUNIO 2021</v>
      </c>
      <c r="E2" s="391">
        <v>2022</v>
      </c>
      <c r="F2" s="514" t="s">
        <v>558</v>
      </c>
      <c r="G2" s="793"/>
      <c r="H2" s="793"/>
      <c r="I2" s="793"/>
      <c r="J2" s="793"/>
      <c r="K2" s="793"/>
      <c r="L2" s="793"/>
      <c r="M2" s="793"/>
      <c r="N2" s="793"/>
      <c r="O2" s="793"/>
      <c r="P2" s="793"/>
      <c r="Q2" s="793"/>
      <c r="R2" s="793"/>
      <c r="S2" s="793"/>
      <c r="T2" s="793"/>
      <c r="U2" s="793"/>
      <c r="V2" s="793"/>
    </row>
    <row r="3" spans="1:22" s="299" customFormat="1" ht="11.25" customHeight="1">
      <c r="A3" s="932"/>
      <c r="B3" s="935"/>
      <c r="C3" s="392">
        <f>'21. ANEXOII-1'!C4</f>
        <v>44727.802083333336</v>
      </c>
      <c r="D3" s="392">
        <f>'21. ANEXOII-1'!D4</f>
        <v>44371.875</v>
      </c>
      <c r="E3" s="392">
        <f>'21. ANEXOII-1'!E4</f>
        <v>44614.822916666664</v>
      </c>
      <c r="F3" s="515" t="s">
        <v>347</v>
      </c>
      <c r="G3" s="793"/>
      <c r="H3" s="793"/>
      <c r="I3" s="793"/>
      <c r="J3" s="793"/>
      <c r="K3" s="793"/>
      <c r="L3" s="793"/>
      <c r="M3" s="793"/>
      <c r="N3" s="793"/>
      <c r="O3" s="793"/>
      <c r="P3" s="793"/>
      <c r="Q3" s="793"/>
      <c r="R3" s="793"/>
      <c r="S3" s="793"/>
      <c r="T3" s="793"/>
      <c r="U3" s="793"/>
      <c r="V3" s="793"/>
    </row>
    <row r="4" spans="1:22" s="299" customFormat="1" ht="11.25" customHeight="1">
      <c r="A4" s="939"/>
      <c r="B4" s="941"/>
      <c r="C4" s="393">
        <f>+'8. Max Potencia'!D9</f>
        <v>44727.802083333336</v>
      </c>
      <c r="D4" s="393">
        <f>+'8. Max Potencia'!E9</f>
        <v>44371.875</v>
      </c>
      <c r="E4" s="393">
        <f>+'22. ANEXOII-2'!E4</f>
        <v>44614.822916666664</v>
      </c>
      <c r="F4" s="516" t="s">
        <v>348</v>
      </c>
      <c r="G4" s="793"/>
      <c r="H4" s="793"/>
      <c r="I4" s="793"/>
      <c r="J4" s="793"/>
      <c r="K4" s="793"/>
      <c r="L4" s="793"/>
      <c r="M4" s="793"/>
      <c r="N4" s="793"/>
      <c r="O4" s="793"/>
      <c r="P4" s="793"/>
      <c r="Q4" s="793"/>
      <c r="R4" s="793"/>
      <c r="S4" s="793"/>
      <c r="T4" s="793"/>
      <c r="U4" s="793"/>
      <c r="V4" s="793"/>
    </row>
    <row r="5" spans="1:22" s="299" customFormat="1" ht="9" customHeight="1">
      <c r="A5" s="536" t="s">
        <v>107</v>
      </c>
      <c r="B5" s="503" t="s">
        <v>230</v>
      </c>
      <c r="C5" s="504">
        <v>0</v>
      </c>
      <c r="D5" s="504">
        <v>0</v>
      </c>
      <c r="E5" s="504">
        <v>0</v>
      </c>
      <c r="F5" s="647" t="str">
        <f t="shared" ref="F5:F54" si="0">+IF(D5=0,"",C5/D5-1)</f>
        <v/>
      </c>
      <c r="G5" s="793"/>
      <c r="H5" s="793"/>
      <c r="I5" s="793"/>
      <c r="J5" s="793"/>
      <c r="K5" s="793"/>
      <c r="L5" s="793"/>
      <c r="M5" s="793"/>
      <c r="N5" s="793"/>
      <c r="O5" s="793"/>
      <c r="P5" s="793"/>
      <c r="Q5" s="793"/>
      <c r="R5" s="793"/>
      <c r="S5" s="793"/>
      <c r="T5" s="793"/>
      <c r="U5" s="793"/>
      <c r="V5" s="793"/>
    </row>
    <row r="6" spans="1:22" s="299" customFormat="1" ht="9" customHeight="1">
      <c r="A6" s="537" t="s">
        <v>519</v>
      </c>
      <c r="B6" s="401"/>
      <c r="C6" s="402">
        <v>0</v>
      </c>
      <c r="D6" s="402">
        <v>0</v>
      </c>
      <c r="E6" s="402">
        <v>0</v>
      </c>
      <c r="F6" s="646" t="str">
        <f t="shared" si="0"/>
        <v/>
      </c>
      <c r="G6" s="793"/>
      <c r="H6" s="793"/>
      <c r="I6" s="793"/>
      <c r="J6" s="793"/>
      <c r="K6" s="793"/>
      <c r="L6" s="793"/>
      <c r="M6" s="793"/>
      <c r="N6" s="793"/>
      <c r="O6" s="793"/>
      <c r="P6" s="793"/>
      <c r="Q6" s="793"/>
      <c r="R6" s="793"/>
      <c r="S6" s="793"/>
      <c r="T6" s="793"/>
      <c r="U6" s="793"/>
      <c r="V6" s="793"/>
    </row>
    <row r="7" spans="1:22" s="299" customFormat="1" ht="9" customHeight="1">
      <c r="A7" s="536" t="s">
        <v>406</v>
      </c>
      <c r="B7" s="503" t="s">
        <v>85</v>
      </c>
      <c r="C7" s="504">
        <v>3.0106000000000002</v>
      </c>
      <c r="D7" s="504">
        <v>2.8712999999999997</v>
      </c>
      <c r="E7" s="504">
        <v>2.8462000000000001</v>
      </c>
      <c r="F7" s="647">
        <f t="shared" si="0"/>
        <v>4.8514610106920264E-2</v>
      </c>
      <c r="G7" s="793"/>
      <c r="H7" s="793"/>
      <c r="I7" s="793"/>
      <c r="J7" s="793"/>
      <c r="K7" s="793"/>
      <c r="L7" s="793"/>
      <c r="M7" s="793"/>
      <c r="N7" s="793"/>
      <c r="O7" s="793"/>
      <c r="P7" s="793"/>
      <c r="Q7" s="793"/>
      <c r="R7" s="793"/>
      <c r="S7" s="793"/>
      <c r="T7" s="793"/>
      <c r="U7" s="793"/>
      <c r="V7" s="793"/>
    </row>
    <row r="8" spans="1:22" s="299" customFormat="1" ht="9" customHeight="1">
      <c r="A8" s="536"/>
      <c r="B8" s="503" t="s">
        <v>84</v>
      </c>
      <c r="C8" s="504">
        <v>1.6002000000000001</v>
      </c>
      <c r="D8" s="504">
        <v>3.1325000000000003</v>
      </c>
      <c r="E8" s="504">
        <v>2.911</v>
      </c>
      <c r="F8" s="647">
        <f t="shared" si="0"/>
        <v>-0.48916201117318436</v>
      </c>
      <c r="G8" s="793"/>
      <c r="H8" s="793"/>
      <c r="I8" s="793"/>
      <c r="J8" s="793"/>
      <c r="K8" s="793"/>
      <c r="L8" s="793"/>
      <c r="M8" s="793"/>
      <c r="N8" s="793"/>
      <c r="O8" s="793"/>
      <c r="P8" s="793"/>
      <c r="Q8" s="793"/>
      <c r="R8" s="793"/>
      <c r="S8" s="793"/>
      <c r="T8" s="793"/>
      <c r="U8" s="793"/>
      <c r="V8" s="793"/>
    </row>
    <row r="9" spans="1:22" s="299" customFormat="1" ht="9" customHeight="1">
      <c r="A9" s="536"/>
      <c r="B9" s="503" t="s">
        <v>421</v>
      </c>
      <c r="C9" s="504">
        <v>1.2007000000000001</v>
      </c>
      <c r="D9" s="504">
        <v>1.21</v>
      </c>
      <c r="E9" s="504">
        <v>2.4030999999999998</v>
      </c>
      <c r="F9" s="647">
        <f t="shared" si="0"/>
        <v>-7.6859504132230638E-3</v>
      </c>
      <c r="G9" s="793"/>
      <c r="H9" s="793"/>
      <c r="I9" s="793"/>
      <c r="J9" s="793"/>
      <c r="K9" s="793"/>
      <c r="L9" s="793"/>
      <c r="M9" s="793"/>
      <c r="N9" s="793"/>
      <c r="O9" s="793"/>
      <c r="P9" s="793"/>
      <c r="Q9" s="793"/>
      <c r="R9" s="793"/>
      <c r="S9" s="793"/>
      <c r="T9" s="793"/>
      <c r="U9" s="793"/>
      <c r="V9" s="793"/>
    </row>
    <row r="10" spans="1:22" s="299" customFormat="1" ht="9" customHeight="1">
      <c r="A10" s="536"/>
      <c r="B10" s="503" t="s">
        <v>457</v>
      </c>
      <c r="C10" s="504">
        <v>2.2037</v>
      </c>
      <c r="D10" s="504">
        <v>2.4020000000000001</v>
      </c>
      <c r="E10" s="504">
        <v>2.1562999999999999</v>
      </c>
      <c r="F10" s="647">
        <f t="shared" si="0"/>
        <v>-8.2556203164030006E-2</v>
      </c>
      <c r="G10" s="793"/>
      <c r="H10" s="793"/>
      <c r="I10" s="793"/>
      <c r="J10" s="793"/>
      <c r="K10" s="793"/>
      <c r="L10" s="793"/>
      <c r="M10" s="793"/>
      <c r="N10" s="793"/>
      <c r="O10" s="793"/>
      <c r="P10" s="793"/>
      <c r="Q10" s="793"/>
      <c r="R10" s="793"/>
      <c r="S10" s="793"/>
      <c r="T10" s="793"/>
      <c r="U10" s="793"/>
      <c r="V10" s="793"/>
    </row>
    <row r="11" spans="1:22" s="299" customFormat="1" ht="9" customHeight="1">
      <c r="A11" s="537" t="s">
        <v>520</v>
      </c>
      <c r="B11" s="401"/>
      <c r="C11" s="402">
        <v>8.0152000000000001</v>
      </c>
      <c r="D11" s="402">
        <v>9.6158000000000001</v>
      </c>
      <c r="E11" s="402">
        <v>10.316599999999999</v>
      </c>
      <c r="F11" s="646">
        <f t="shared" si="0"/>
        <v>-0.16645520913496537</v>
      </c>
      <c r="G11" s="793"/>
      <c r="H11" s="793"/>
      <c r="I11" s="793"/>
      <c r="J11" s="793"/>
      <c r="K11" s="793"/>
      <c r="L11" s="793"/>
      <c r="M11" s="793"/>
      <c r="N11" s="793"/>
      <c r="O11" s="793"/>
      <c r="P11" s="793"/>
      <c r="Q11" s="793"/>
      <c r="R11" s="793"/>
      <c r="S11" s="793"/>
      <c r="T11" s="793"/>
      <c r="U11" s="793"/>
      <c r="V11" s="793"/>
    </row>
    <row r="12" spans="1:22" s="299" customFormat="1" ht="9" customHeight="1">
      <c r="A12" s="536" t="s">
        <v>241</v>
      </c>
      <c r="B12" s="503" t="s">
        <v>327</v>
      </c>
      <c r="C12" s="504">
        <v>0</v>
      </c>
      <c r="D12" s="504">
        <v>0</v>
      </c>
      <c r="E12" s="504">
        <v>0</v>
      </c>
      <c r="F12" s="647" t="str">
        <f t="shared" si="0"/>
        <v/>
      </c>
      <c r="G12" s="793"/>
      <c r="H12" s="793"/>
      <c r="I12" s="793"/>
      <c r="J12" s="793"/>
      <c r="K12" s="793"/>
      <c r="L12" s="793"/>
      <c r="M12" s="793"/>
      <c r="N12" s="793"/>
      <c r="O12" s="793"/>
      <c r="P12" s="793"/>
      <c r="Q12" s="793"/>
      <c r="R12" s="793"/>
      <c r="S12" s="793"/>
      <c r="T12" s="793"/>
      <c r="U12" s="793"/>
      <c r="V12" s="793"/>
    </row>
    <row r="13" spans="1:22" s="299" customFormat="1" ht="9" customHeight="1">
      <c r="A13" s="537" t="s">
        <v>521</v>
      </c>
      <c r="B13" s="401"/>
      <c r="C13" s="402">
        <v>0</v>
      </c>
      <c r="D13" s="402">
        <v>0</v>
      </c>
      <c r="E13" s="402">
        <v>0</v>
      </c>
      <c r="F13" s="646" t="str">
        <f t="shared" si="0"/>
        <v/>
      </c>
      <c r="G13" s="793"/>
      <c r="H13" s="793"/>
      <c r="I13" s="793"/>
      <c r="J13" s="793"/>
      <c r="K13" s="793"/>
      <c r="L13" s="793"/>
      <c r="M13" s="793"/>
      <c r="N13" s="793"/>
      <c r="O13" s="793"/>
      <c r="P13" s="793"/>
      <c r="Q13" s="793"/>
      <c r="R13" s="793"/>
      <c r="S13" s="793"/>
      <c r="T13" s="793"/>
      <c r="U13" s="793"/>
      <c r="V13" s="793"/>
    </row>
    <row r="14" spans="1:22" s="299" customFormat="1" ht="9" customHeight="1">
      <c r="A14" s="536" t="s">
        <v>461</v>
      </c>
      <c r="B14" s="503" t="s">
        <v>82</v>
      </c>
      <c r="C14" s="504">
        <v>0</v>
      </c>
      <c r="D14" s="504">
        <v>0</v>
      </c>
      <c r="E14" s="504">
        <v>0</v>
      </c>
      <c r="F14" s="647" t="str">
        <f t="shared" si="0"/>
        <v/>
      </c>
      <c r="G14" s="793"/>
      <c r="H14" s="793"/>
      <c r="I14" s="793"/>
      <c r="J14" s="793"/>
      <c r="K14" s="793"/>
      <c r="L14" s="793"/>
      <c r="M14" s="793"/>
      <c r="N14" s="793"/>
      <c r="O14" s="793"/>
      <c r="P14" s="793"/>
      <c r="Q14" s="793"/>
      <c r="R14" s="793"/>
      <c r="S14" s="793"/>
      <c r="T14" s="793"/>
      <c r="U14" s="793"/>
      <c r="V14" s="793"/>
    </row>
    <row r="15" spans="1:22" s="299" customFormat="1" ht="9" customHeight="1">
      <c r="A15" s="537" t="s">
        <v>522</v>
      </c>
      <c r="B15" s="401"/>
      <c r="C15" s="402">
        <v>0</v>
      </c>
      <c r="D15" s="402">
        <v>0</v>
      </c>
      <c r="E15" s="402">
        <v>0</v>
      </c>
      <c r="F15" s="646" t="str">
        <f t="shared" si="0"/>
        <v/>
      </c>
      <c r="G15" s="793"/>
      <c r="H15" s="793"/>
      <c r="I15" s="793"/>
      <c r="J15" s="793"/>
      <c r="K15" s="793"/>
      <c r="L15" s="793"/>
      <c r="M15" s="793"/>
      <c r="N15" s="793"/>
      <c r="O15" s="793"/>
      <c r="P15" s="793"/>
      <c r="Q15" s="793"/>
      <c r="R15" s="793"/>
      <c r="S15" s="793"/>
      <c r="T15" s="793"/>
      <c r="U15" s="793"/>
      <c r="V15" s="793"/>
    </row>
    <row r="16" spans="1:22" s="299" customFormat="1" ht="9" customHeight="1">
      <c r="A16" s="536" t="s">
        <v>436</v>
      </c>
      <c r="B16" s="503" t="s">
        <v>447</v>
      </c>
      <c r="C16" s="504">
        <v>9.8667400000000001</v>
      </c>
      <c r="D16" s="504">
        <v>9.8742999999999999</v>
      </c>
      <c r="E16" s="504">
        <v>19.959029999999998</v>
      </c>
      <c r="F16" s="647">
        <f t="shared" si="0"/>
        <v>-7.6562389232648353E-4</v>
      </c>
      <c r="G16" s="793"/>
      <c r="H16" s="793"/>
      <c r="I16" s="793"/>
      <c r="J16" s="793"/>
      <c r="K16" s="793"/>
      <c r="L16" s="793"/>
      <c r="M16" s="793"/>
      <c r="N16" s="793"/>
      <c r="O16" s="793"/>
      <c r="P16" s="793"/>
      <c r="Q16" s="793"/>
      <c r="R16" s="793"/>
      <c r="S16" s="793"/>
      <c r="T16" s="793"/>
      <c r="U16" s="793"/>
      <c r="V16" s="793"/>
    </row>
    <row r="17" spans="1:22" s="299" customFormat="1" ht="9" customHeight="1">
      <c r="A17" s="537" t="s">
        <v>523</v>
      </c>
      <c r="B17" s="401"/>
      <c r="C17" s="402">
        <v>9.8667400000000001</v>
      </c>
      <c r="D17" s="402">
        <v>9.8742999999999999</v>
      </c>
      <c r="E17" s="402">
        <v>19.959029999999998</v>
      </c>
      <c r="F17" s="646">
        <f t="shared" si="0"/>
        <v>-7.6562389232648353E-4</v>
      </c>
      <c r="G17" s="793"/>
      <c r="H17" s="793"/>
      <c r="I17" s="793"/>
      <c r="J17" s="793"/>
      <c r="K17" s="793"/>
      <c r="L17" s="793"/>
      <c r="M17" s="793"/>
      <c r="N17" s="793"/>
      <c r="O17" s="793"/>
      <c r="P17" s="793"/>
      <c r="Q17" s="793"/>
      <c r="R17" s="793"/>
      <c r="S17" s="793"/>
      <c r="T17" s="793"/>
      <c r="U17" s="793"/>
      <c r="V17" s="793"/>
    </row>
    <row r="18" spans="1:22" s="299" customFormat="1" ht="9" customHeight="1">
      <c r="A18" s="536" t="s">
        <v>104</v>
      </c>
      <c r="B18" s="503" t="s">
        <v>61</v>
      </c>
      <c r="C18" s="504">
        <v>15.969349999999999</v>
      </c>
      <c r="D18" s="504">
        <v>14.931290000000001</v>
      </c>
      <c r="E18" s="504">
        <v>18.51557</v>
      </c>
      <c r="F18" s="647">
        <f t="shared" si="0"/>
        <v>6.9522459211494692E-2</v>
      </c>
      <c r="G18" s="793"/>
      <c r="H18" s="793"/>
      <c r="I18" s="793"/>
      <c r="J18" s="793"/>
      <c r="K18" s="793"/>
      <c r="L18" s="793"/>
      <c r="M18" s="793"/>
      <c r="N18" s="793"/>
      <c r="O18" s="793"/>
      <c r="P18" s="793"/>
      <c r="Q18" s="793"/>
      <c r="R18" s="793"/>
      <c r="S18" s="793"/>
      <c r="T18" s="793"/>
      <c r="U18" s="793"/>
      <c r="V18" s="793"/>
    </row>
    <row r="19" spans="1:22" s="299" customFormat="1" ht="9" customHeight="1">
      <c r="A19" s="537" t="s">
        <v>524</v>
      </c>
      <c r="B19" s="401"/>
      <c r="C19" s="402">
        <v>15.969349999999999</v>
      </c>
      <c r="D19" s="402">
        <v>14.931290000000001</v>
      </c>
      <c r="E19" s="402">
        <v>18.51557</v>
      </c>
      <c r="F19" s="646">
        <f t="shared" si="0"/>
        <v>6.9522459211494692E-2</v>
      </c>
      <c r="G19" s="793"/>
      <c r="H19" s="793"/>
      <c r="I19" s="793"/>
      <c r="J19" s="793"/>
      <c r="K19" s="793"/>
      <c r="L19" s="793"/>
      <c r="M19" s="793"/>
      <c r="N19" s="793"/>
      <c r="O19" s="793"/>
      <c r="P19" s="793"/>
      <c r="Q19" s="793"/>
      <c r="R19" s="793"/>
      <c r="S19" s="793"/>
      <c r="T19" s="793"/>
      <c r="U19" s="793"/>
      <c r="V19" s="793"/>
    </row>
    <row r="20" spans="1:22" s="299" customFormat="1" ht="9" customHeight="1">
      <c r="A20" s="536" t="s">
        <v>242</v>
      </c>
      <c r="B20" s="503" t="s">
        <v>328</v>
      </c>
      <c r="C20" s="504">
        <v>0</v>
      </c>
      <c r="D20" s="504">
        <v>0</v>
      </c>
      <c r="E20" s="504">
        <v>0</v>
      </c>
      <c r="F20" s="647" t="str">
        <f t="shared" si="0"/>
        <v/>
      </c>
      <c r="G20" s="793"/>
      <c r="H20" s="793"/>
      <c r="I20" s="793"/>
      <c r="J20" s="793"/>
      <c r="K20" s="793"/>
      <c r="L20" s="793"/>
      <c r="M20" s="793"/>
      <c r="N20" s="793"/>
      <c r="O20" s="793"/>
      <c r="P20" s="793"/>
      <c r="Q20" s="793"/>
      <c r="R20" s="793"/>
      <c r="S20" s="793"/>
      <c r="T20" s="793"/>
      <c r="U20" s="793"/>
      <c r="V20" s="793"/>
    </row>
    <row r="21" spans="1:22" s="299" customFormat="1" ht="9" customHeight="1">
      <c r="A21" s="537" t="s">
        <v>525</v>
      </c>
      <c r="B21" s="401"/>
      <c r="C21" s="402">
        <v>0</v>
      </c>
      <c r="D21" s="402">
        <v>0</v>
      </c>
      <c r="E21" s="402">
        <v>0</v>
      </c>
      <c r="F21" s="646" t="str">
        <f t="shared" si="0"/>
        <v/>
      </c>
      <c r="G21" s="793"/>
      <c r="H21" s="793"/>
      <c r="I21" s="793"/>
      <c r="J21" s="793"/>
      <c r="K21" s="793"/>
      <c r="L21" s="793"/>
      <c r="M21" s="793"/>
      <c r="N21" s="793"/>
      <c r="O21" s="793"/>
      <c r="P21" s="793"/>
      <c r="Q21" s="793"/>
      <c r="R21" s="793"/>
      <c r="S21" s="793"/>
      <c r="T21" s="793"/>
      <c r="U21" s="793"/>
      <c r="V21" s="793"/>
    </row>
    <row r="22" spans="1:22" s="299" customFormat="1" ht="9" customHeight="1">
      <c r="A22" s="536" t="s">
        <v>95</v>
      </c>
      <c r="B22" s="503" t="s">
        <v>329</v>
      </c>
      <c r="C22" s="504">
        <v>97.51715999999999</v>
      </c>
      <c r="D22" s="504">
        <v>53.209540000000004</v>
      </c>
      <c r="E22" s="504">
        <v>108.54145</v>
      </c>
      <c r="F22" s="647">
        <f t="shared" si="0"/>
        <v>0.8327006773597363</v>
      </c>
      <c r="G22" s="793"/>
      <c r="H22" s="793"/>
      <c r="I22" s="793"/>
      <c r="J22" s="793"/>
      <c r="K22" s="793"/>
      <c r="L22" s="793"/>
      <c r="M22" s="793"/>
      <c r="N22" s="793"/>
      <c r="O22" s="793"/>
      <c r="P22" s="793"/>
      <c r="Q22" s="793"/>
      <c r="R22" s="793"/>
      <c r="S22" s="793"/>
      <c r="T22" s="793"/>
      <c r="U22" s="793"/>
      <c r="V22" s="793"/>
    </row>
    <row r="23" spans="1:22" s="299" customFormat="1" ht="9" customHeight="1">
      <c r="A23" s="536"/>
      <c r="B23" s="503" t="s">
        <v>565</v>
      </c>
      <c r="C23" s="504">
        <v>0</v>
      </c>
      <c r="D23" s="504"/>
      <c r="E23" s="504">
        <v>2.1795900000000001</v>
      </c>
      <c r="F23" s="647"/>
      <c r="G23" s="793"/>
      <c r="H23" s="793"/>
      <c r="I23" s="793"/>
      <c r="J23" s="793"/>
      <c r="K23" s="793"/>
      <c r="L23" s="793"/>
      <c r="M23" s="793"/>
      <c r="N23" s="793"/>
      <c r="O23" s="793"/>
      <c r="P23" s="793"/>
      <c r="Q23" s="793"/>
      <c r="R23" s="793"/>
      <c r="S23" s="793"/>
      <c r="T23" s="793"/>
      <c r="U23" s="793"/>
      <c r="V23" s="793"/>
    </row>
    <row r="24" spans="1:22" s="299" customFormat="1" ht="9" customHeight="1">
      <c r="A24" s="537" t="s">
        <v>526</v>
      </c>
      <c r="B24" s="401"/>
      <c r="C24" s="402">
        <v>97.51715999999999</v>
      </c>
      <c r="D24" s="402">
        <v>53.209540000000004</v>
      </c>
      <c r="E24" s="402">
        <v>110.72104</v>
      </c>
      <c r="F24" s="646">
        <f t="shared" si="0"/>
        <v>0.8327006773597363</v>
      </c>
      <c r="G24" s="793"/>
      <c r="H24" s="793"/>
      <c r="I24" s="793"/>
      <c r="J24" s="793"/>
      <c r="K24" s="793"/>
      <c r="L24" s="793"/>
      <c r="M24" s="793"/>
      <c r="N24" s="793"/>
      <c r="O24" s="793"/>
      <c r="P24" s="793"/>
      <c r="Q24" s="793"/>
      <c r="R24" s="793"/>
      <c r="S24" s="793"/>
      <c r="T24" s="793"/>
      <c r="U24" s="793"/>
      <c r="V24" s="793"/>
    </row>
    <row r="25" spans="1:22" s="299" customFormat="1" ht="9" customHeight="1">
      <c r="A25" s="536" t="s">
        <v>423</v>
      </c>
      <c r="B25" s="503" t="s">
        <v>452</v>
      </c>
      <c r="C25" s="504">
        <v>6.8490399999999996</v>
      </c>
      <c r="D25" s="504">
        <v>0</v>
      </c>
      <c r="E25" s="504">
        <v>0</v>
      </c>
      <c r="F25" s="647" t="str">
        <f t="shared" si="0"/>
        <v/>
      </c>
      <c r="G25" s="793"/>
      <c r="H25" s="793"/>
      <c r="I25" s="793"/>
      <c r="J25" s="793"/>
      <c r="K25" s="793"/>
      <c r="L25" s="793"/>
      <c r="M25" s="793"/>
      <c r="N25" s="793"/>
      <c r="O25" s="793"/>
      <c r="P25" s="793"/>
      <c r="Q25" s="793"/>
      <c r="R25" s="793"/>
      <c r="S25" s="793"/>
      <c r="T25" s="793"/>
      <c r="U25" s="793"/>
      <c r="V25" s="793"/>
    </row>
    <row r="26" spans="1:22" s="299" customFormat="1" ht="9" customHeight="1">
      <c r="A26" s="537" t="s">
        <v>527</v>
      </c>
      <c r="B26" s="401"/>
      <c r="C26" s="402">
        <v>6.8490399999999996</v>
      </c>
      <c r="D26" s="402">
        <v>0</v>
      </c>
      <c r="E26" s="402">
        <v>0</v>
      </c>
      <c r="F26" s="646" t="str">
        <f t="shared" si="0"/>
        <v/>
      </c>
      <c r="G26" s="793"/>
      <c r="H26" s="793"/>
      <c r="I26" s="793"/>
      <c r="J26" s="793"/>
      <c r="K26" s="793"/>
      <c r="L26" s="793"/>
      <c r="M26" s="793"/>
      <c r="N26" s="793"/>
      <c r="O26" s="793"/>
      <c r="P26" s="793"/>
      <c r="Q26" s="793"/>
      <c r="R26" s="793"/>
      <c r="S26" s="793"/>
      <c r="T26" s="793"/>
      <c r="U26" s="793"/>
      <c r="V26" s="793"/>
    </row>
    <row r="27" spans="1:22" s="299" customFormat="1" ht="9" customHeight="1">
      <c r="A27" s="536" t="s">
        <v>397</v>
      </c>
      <c r="B27" s="503" t="s">
        <v>401</v>
      </c>
      <c r="C27" s="504">
        <v>20.08079</v>
      </c>
      <c r="D27" s="504">
        <v>20.099779999999999</v>
      </c>
      <c r="E27" s="504">
        <v>20.125959999999999</v>
      </c>
      <c r="F27" s="647">
        <f t="shared" si="0"/>
        <v>-9.4478646034923397E-4</v>
      </c>
      <c r="G27" s="793"/>
      <c r="H27" s="793"/>
      <c r="I27" s="793"/>
      <c r="J27" s="793"/>
      <c r="K27" s="793"/>
      <c r="L27" s="793"/>
      <c r="M27" s="793"/>
      <c r="N27" s="793"/>
      <c r="O27" s="793"/>
      <c r="P27" s="793"/>
      <c r="Q27" s="793"/>
      <c r="R27" s="793"/>
      <c r="S27" s="793"/>
      <c r="T27" s="793"/>
      <c r="U27" s="793"/>
      <c r="V27" s="793"/>
    </row>
    <row r="28" spans="1:22" s="299" customFormat="1" ht="9" customHeight="1">
      <c r="A28" s="537" t="s">
        <v>528</v>
      </c>
      <c r="B28" s="401"/>
      <c r="C28" s="402">
        <v>20.08079</v>
      </c>
      <c r="D28" s="402">
        <v>20.099779999999999</v>
      </c>
      <c r="E28" s="402">
        <v>20.125959999999999</v>
      </c>
      <c r="F28" s="646">
        <f t="shared" si="0"/>
        <v>-9.4478646034923397E-4</v>
      </c>
      <c r="G28" s="793"/>
      <c r="H28" s="793"/>
      <c r="I28" s="793"/>
      <c r="J28" s="793"/>
      <c r="K28" s="793"/>
      <c r="L28" s="793"/>
      <c r="M28" s="793"/>
      <c r="N28" s="793"/>
      <c r="O28" s="793"/>
      <c r="P28" s="793"/>
      <c r="Q28" s="793"/>
      <c r="R28" s="793"/>
      <c r="S28" s="793"/>
      <c r="T28" s="793"/>
      <c r="U28" s="793"/>
      <c r="V28" s="793"/>
    </row>
    <row r="29" spans="1:22" s="299" customFormat="1" ht="9" customHeight="1">
      <c r="A29" s="536" t="s">
        <v>102</v>
      </c>
      <c r="B29" s="503" t="s">
        <v>330</v>
      </c>
      <c r="C29" s="504">
        <v>0</v>
      </c>
      <c r="D29" s="504">
        <v>28.000039999999998</v>
      </c>
      <c r="E29" s="504">
        <v>26.05641</v>
      </c>
      <c r="F29" s="647">
        <f t="shared" si="0"/>
        <v>-1</v>
      </c>
      <c r="G29" s="793"/>
      <c r="H29" s="793"/>
      <c r="I29" s="793"/>
      <c r="J29" s="793"/>
      <c r="K29" s="793"/>
      <c r="L29" s="793"/>
      <c r="M29" s="793"/>
      <c r="N29" s="793"/>
      <c r="O29" s="793"/>
      <c r="P29" s="793"/>
      <c r="Q29" s="793"/>
      <c r="R29" s="793"/>
      <c r="S29" s="793"/>
      <c r="T29" s="793"/>
      <c r="U29" s="793"/>
      <c r="V29" s="793"/>
    </row>
    <row r="30" spans="1:22" s="299" customFormat="1" ht="9" customHeight="1">
      <c r="A30" s="537" t="s">
        <v>529</v>
      </c>
      <c r="B30" s="401"/>
      <c r="C30" s="402">
        <v>0</v>
      </c>
      <c r="D30" s="402">
        <v>28.000039999999998</v>
      </c>
      <c r="E30" s="402">
        <v>26.05641</v>
      </c>
      <c r="F30" s="646">
        <f t="shared" si="0"/>
        <v>-1</v>
      </c>
      <c r="G30" s="793"/>
      <c r="H30" s="793"/>
      <c r="I30" s="793"/>
      <c r="J30" s="793"/>
      <c r="K30" s="793"/>
      <c r="L30" s="793"/>
      <c r="M30" s="793"/>
      <c r="N30" s="793"/>
      <c r="O30" s="793"/>
      <c r="P30" s="793"/>
      <c r="Q30" s="793"/>
      <c r="R30" s="793"/>
      <c r="S30" s="793"/>
      <c r="T30" s="793"/>
      <c r="U30" s="793"/>
      <c r="V30" s="793"/>
    </row>
    <row r="31" spans="1:22" s="299" customFormat="1" ht="9" customHeight="1">
      <c r="A31" s="536" t="s">
        <v>117</v>
      </c>
      <c r="B31" s="503" t="s">
        <v>331</v>
      </c>
      <c r="C31" s="504">
        <v>0</v>
      </c>
      <c r="D31" s="504">
        <v>0</v>
      </c>
      <c r="E31" s="504">
        <v>0</v>
      </c>
      <c r="F31" s="647" t="str">
        <f t="shared" si="0"/>
        <v/>
      </c>
      <c r="G31" s="793"/>
      <c r="H31" s="793"/>
      <c r="I31" s="793"/>
      <c r="J31" s="793"/>
      <c r="K31" s="793"/>
      <c r="L31" s="793"/>
      <c r="M31" s="793"/>
      <c r="N31" s="793"/>
      <c r="O31" s="793"/>
      <c r="P31" s="793"/>
      <c r="Q31" s="793"/>
      <c r="R31" s="793"/>
      <c r="S31" s="793"/>
      <c r="T31" s="793"/>
      <c r="U31" s="793"/>
      <c r="V31" s="793"/>
    </row>
    <row r="32" spans="1:22" s="299" customFormat="1" ht="9" customHeight="1">
      <c r="A32" s="537" t="s">
        <v>530</v>
      </c>
      <c r="B32" s="401"/>
      <c r="C32" s="402">
        <v>0</v>
      </c>
      <c r="D32" s="402">
        <v>0</v>
      </c>
      <c r="E32" s="402">
        <v>0</v>
      </c>
      <c r="F32" s="646" t="str">
        <f t="shared" si="0"/>
        <v/>
      </c>
      <c r="G32" s="793"/>
      <c r="H32" s="793"/>
      <c r="I32" s="793"/>
      <c r="J32" s="793"/>
      <c r="K32" s="793"/>
      <c r="L32" s="793"/>
      <c r="M32" s="793"/>
      <c r="N32" s="793"/>
      <c r="O32" s="793"/>
      <c r="P32" s="793"/>
      <c r="Q32" s="793"/>
      <c r="R32" s="793"/>
      <c r="S32" s="793"/>
      <c r="T32" s="793"/>
      <c r="U32" s="793"/>
      <c r="V32" s="793"/>
    </row>
    <row r="33" spans="1:22" s="299" customFormat="1" ht="9" customHeight="1">
      <c r="A33" s="536" t="s">
        <v>111</v>
      </c>
      <c r="B33" s="503" t="s">
        <v>448</v>
      </c>
      <c r="C33" s="504">
        <v>16.795719999999999</v>
      </c>
      <c r="D33" s="504">
        <v>16.746359999999999</v>
      </c>
      <c r="E33" s="504">
        <v>19.968820000000001</v>
      </c>
      <c r="F33" s="647">
        <f t="shared" si="0"/>
        <v>2.9475062043333722E-3</v>
      </c>
      <c r="G33" s="793"/>
      <c r="H33" s="793"/>
      <c r="I33" s="793"/>
      <c r="J33" s="793"/>
      <c r="K33" s="793"/>
      <c r="L33" s="793"/>
      <c r="M33" s="793"/>
      <c r="N33" s="793"/>
      <c r="O33" s="793"/>
      <c r="P33" s="793"/>
      <c r="Q33" s="793"/>
      <c r="R33" s="793"/>
      <c r="S33" s="793"/>
      <c r="T33" s="793"/>
      <c r="U33" s="793"/>
      <c r="V33" s="793"/>
    </row>
    <row r="34" spans="1:22" s="299" customFormat="1" ht="9" customHeight="1">
      <c r="A34" s="536"/>
      <c r="B34" s="503" t="s">
        <v>69</v>
      </c>
      <c r="C34" s="504">
        <v>6.08047</v>
      </c>
      <c r="D34" s="504">
        <v>4.8210600000000001</v>
      </c>
      <c r="E34" s="504">
        <v>7.4912200000000002</v>
      </c>
      <c r="F34" s="647">
        <f t="shared" si="0"/>
        <v>0.26123093261647856</v>
      </c>
      <c r="G34" s="793"/>
      <c r="H34" s="793"/>
      <c r="I34" s="793"/>
      <c r="J34" s="793"/>
      <c r="K34" s="793"/>
      <c r="L34" s="793"/>
      <c r="M34" s="793"/>
      <c r="N34" s="793"/>
      <c r="O34" s="793"/>
      <c r="P34" s="793"/>
      <c r="Q34" s="793"/>
      <c r="R34" s="793"/>
      <c r="S34" s="793"/>
      <c r="T34" s="793"/>
      <c r="U34" s="793"/>
      <c r="V34" s="793"/>
    </row>
    <row r="35" spans="1:22" s="299" customFormat="1" ht="9" customHeight="1">
      <c r="A35" s="537" t="s">
        <v>531</v>
      </c>
      <c r="B35" s="401"/>
      <c r="C35" s="402">
        <v>22.876190000000001</v>
      </c>
      <c r="D35" s="402">
        <v>21.567419999999998</v>
      </c>
      <c r="E35" s="402">
        <v>27.460039999999999</v>
      </c>
      <c r="F35" s="646">
        <f t="shared" si="0"/>
        <v>6.0682733493389707E-2</v>
      </c>
      <c r="G35" s="793"/>
      <c r="H35" s="793"/>
      <c r="I35" s="793"/>
      <c r="J35" s="793"/>
      <c r="K35" s="793"/>
      <c r="L35" s="793"/>
      <c r="M35" s="793"/>
      <c r="N35" s="793"/>
      <c r="O35" s="793"/>
      <c r="P35" s="793"/>
      <c r="Q35" s="793"/>
      <c r="R35" s="793"/>
      <c r="S35" s="793"/>
      <c r="T35" s="793"/>
      <c r="U35" s="793"/>
      <c r="V35" s="793"/>
    </row>
    <row r="36" spans="1:22" s="299" customFormat="1" ht="9" customHeight="1">
      <c r="A36" s="536" t="s">
        <v>90</v>
      </c>
      <c r="B36" s="503" t="s">
        <v>332</v>
      </c>
      <c r="C36" s="504">
        <v>29.584540000000001</v>
      </c>
      <c r="D36" s="504">
        <v>28.121549999999999</v>
      </c>
      <c r="E36" s="504">
        <v>42.807389999999998</v>
      </c>
      <c r="F36" s="647">
        <f t="shared" si="0"/>
        <v>5.2023803808822766E-2</v>
      </c>
      <c r="G36" s="793"/>
      <c r="H36" s="793"/>
      <c r="I36" s="793"/>
      <c r="J36" s="793"/>
      <c r="K36" s="793"/>
      <c r="L36" s="793"/>
      <c r="M36" s="793"/>
      <c r="N36" s="793"/>
      <c r="O36" s="793"/>
      <c r="P36" s="793"/>
      <c r="Q36" s="793"/>
      <c r="R36" s="793"/>
      <c r="S36" s="793"/>
      <c r="T36" s="793"/>
      <c r="U36" s="793"/>
      <c r="V36" s="793"/>
    </row>
    <row r="37" spans="1:22" s="299" customFormat="1" ht="9" customHeight="1">
      <c r="A37" s="536"/>
      <c r="B37" s="503" t="s">
        <v>333</v>
      </c>
      <c r="C37" s="504">
        <v>110.89409000000001</v>
      </c>
      <c r="D37" s="504">
        <v>78.426950000000005</v>
      </c>
      <c r="E37" s="504">
        <v>169.51241999999999</v>
      </c>
      <c r="F37" s="647">
        <f t="shared" si="0"/>
        <v>0.41397937826219167</v>
      </c>
      <c r="G37" s="793"/>
      <c r="H37" s="793"/>
      <c r="I37" s="793"/>
      <c r="J37" s="793"/>
      <c r="K37" s="793"/>
      <c r="L37" s="793"/>
      <c r="M37" s="793"/>
      <c r="N37" s="793"/>
      <c r="O37" s="793"/>
      <c r="P37" s="793"/>
      <c r="Q37" s="793"/>
      <c r="R37" s="793"/>
      <c r="S37" s="793"/>
      <c r="T37" s="793"/>
      <c r="U37" s="793"/>
      <c r="V37" s="793"/>
    </row>
    <row r="38" spans="1:22" s="299" customFormat="1" ht="9" customHeight="1">
      <c r="A38" s="536"/>
      <c r="B38" s="503" t="s">
        <v>334</v>
      </c>
      <c r="C38" s="504">
        <v>11.93577</v>
      </c>
      <c r="D38" s="504">
        <v>14.95791</v>
      </c>
      <c r="E38" s="504">
        <v>31.3628</v>
      </c>
      <c r="F38" s="647">
        <f t="shared" si="0"/>
        <v>-0.20204293246850669</v>
      </c>
      <c r="G38" s="793"/>
      <c r="H38" s="793"/>
      <c r="I38" s="793"/>
      <c r="J38" s="793"/>
      <c r="K38" s="793"/>
      <c r="L38" s="793"/>
      <c r="M38" s="793"/>
      <c r="N38" s="793"/>
      <c r="O38" s="793"/>
      <c r="P38" s="793"/>
      <c r="Q38" s="793"/>
      <c r="R38" s="793"/>
      <c r="S38" s="793"/>
      <c r="T38" s="793"/>
      <c r="U38" s="793"/>
      <c r="V38" s="793"/>
    </row>
    <row r="39" spans="1:22" s="299" customFormat="1" ht="9" customHeight="1">
      <c r="A39" s="536"/>
      <c r="B39" s="503" t="s">
        <v>335</v>
      </c>
      <c r="C39" s="504">
        <v>0.21523999999999999</v>
      </c>
      <c r="D39" s="504">
        <v>0.22219</v>
      </c>
      <c r="E39" s="504">
        <v>0.21573999999999999</v>
      </c>
      <c r="F39" s="647">
        <f t="shared" si="0"/>
        <v>-3.1279535532652281E-2</v>
      </c>
      <c r="G39" s="793"/>
      <c r="H39" s="793"/>
      <c r="I39" s="793"/>
      <c r="J39" s="793"/>
      <c r="K39" s="793"/>
      <c r="L39" s="793"/>
      <c r="M39" s="793"/>
      <c r="N39" s="793"/>
      <c r="O39" s="793"/>
      <c r="P39" s="793"/>
      <c r="Q39" s="793"/>
      <c r="R39" s="793"/>
      <c r="S39" s="793"/>
      <c r="T39" s="793"/>
      <c r="U39" s="793"/>
      <c r="V39" s="793"/>
    </row>
    <row r="40" spans="1:22" s="299" customFormat="1" ht="9" customHeight="1">
      <c r="A40" s="536"/>
      <c r="B40" s="503" t="s">
        <v>336</v>
      </c>
      <c r="C40" s="504">
        <v>30.548280000000002</v>
      </c>
      <c r="D40" s="504">
        <v>37.13006</v>
      </c>
      <c r="E40" s="504">
        <v>43.877959999999995</v>
      </c>
      <c r="F40" s="647">
        <f t="shared" si="0"/>
        <v>-0.1772628430980181</v>
      </c>
      <c r="G40" s="793"/>
      <c r="H40" s="793"/>
      <c r="I40" s="793"/>
      <c r="J40" s="793"/>
      <c r="K40" s="793"/>
      <c r="L40" s="793"/>
      <c r="M40" s="793"/>
      <c r="N40" s="793"/>
      <c r="O40" s="793"/>
      <c r="P40" s="793"/>
      <c r="Q40" s="793"/>
      <c r="R40" s="793"/>
      <c r="S40" s="793"/>
      <c r="T40" s="793"/>
      <c r="U40" s="793"/>
      <c r="V40" s="793"/>
    </row>
    <row r="41" spans="1:22" s="299" customFormat="1" ht="9" customHeight="1">
      <c r="A41" s="536"/>
      <c r="B41" s="503" t="s">
        <v>337</v>
      </c>
      <c r="C41" s="504">
        <v>3.0171000000000001</v>
      </c>
      <c r="D41" s="504">
        <v>2.95486</v>
      </c>
      <c r="E41" s="504">
        <v>3.8429899999999999</v>
      </c>
      <c r="F41" s="647">
        <f t="shared" si="0"/>
        <v>2.1063603690191668E-2</v>
      </c>
      <c r="G41" s="793"/>
      <c r="H41" s="793"/>
      <c r="I41" s="793"/>
      <c r="J41" s="793"/>
      <c r="K41" s="793"/>
      <c r="L41" s="793"/>
      <c r="M41" s="793"/>
      <c r="N41" s="793"/>
      <c r="O41" s="793"/>
      <c r="P41" s="793"/>
      <c r="Q41" s="793"/>
      <c r="R41" s="793"/>
      <c r="S41" s="793"/>
      <c r="T41" s="793"/>
      <c r="U41" s="793"/>
      <c r="V41" s="793"/>
    </row>
    <row r="42" spans="1:22" s="299" customFormat="1" ht="9" customHeight="1">
      <c r="A42" s="536"/>
      <c r="B42" s="503" t="s">
        <v>338</v>
      </c>
      <c r="C42" s="504">
        <v>4.9611600000000005</v>
      </c>
      <c r="D42" s="504">
        <v>5.6732399999999998</v>
      </c>
      <c r="E42" s="504">
        <v>8.15076</v>
      </c>
      <c r="F42" s="647">
        <f t="shared" si="0"/>
        <v>-0.12551557839964456</v>
      </c>
      <c r="G42" s="793"/>
      <c r="H42" s="793"/>
      <c r="I42" s="793"/>
      <c r="J42" s="793"/>
      <c r="K42" s="793"/>
      <c r="L42" s="793"/>
      <c r="M42" s="793"/>
      <c r="N42" s="793"/>
      <c r="O42" s="793"/>
      <c r="P42" s="793"/>
      <c r="Q42" s="793"/>
      <c r="R42" s="793"/>
      <c r="S42" s="793"/>
      <c r="T42" s="793"/>
      <c r="U42" s="793"/>
      <c r="V42" s="793"/>
    </row>
    <row r="43" spans="1:22" s="299" customFormat="1" ht="9" customHeight="1">
      <c r="A43" s="536"/>
      <c r="B43" s="503" t="s">
        <v>339</v>
      </c>
      <c r="C43" s="504">
        <v>2.0212400000000001</v>
      </c>
      <c r="D43" s="504">
        <v>2.9760499999999999</v>
      </c>
      <c r="E43" s="504">
        <v>0</v>
      </c>
      <c r="F43" s="647">
        <f t="shared" si="0"/>
        <v>-0.32083130323751274</v>
      </c>
      <c r="G43" s="793"/>
      <c r="H43" s="793"/>
      <c r="I43" s="793"/>
      <c r="J43" s="793"/>
      <c r="K43" s="793"/>
      <c r="L43" s="793"/>
      <c r="M43" s="793"/>
      <c r="N43" s="793"/>
      <c r="O43" s="793"/>
      <c r="P43" s="793"/>
      <c r="Q43" s="793"/>
      <c r="R43" s="793"/>
      <c r="S43" s="793"/>
      <c r="T43" s="793"/>
      <c r="U43" s="793"/>
      <c r="V43" s="793"/>
    </row>
    <row r="44" spans="1:22" s="299" customFormat="1" ht="9" customHeight="1">
      <c r="A44" s="536"/>
      <c r="B44" s="503" t="s">
        <v>340</v>
      </c>
      <c r="C44" s="504">
        <v>2.5130300000000001</v>
      </c>
      <c r="D44" s="504">
        <v>1.6467400000000001</v>
      </c>
      <c r="E44" s="504">
        <v>3.6586699999999999</v>
      </c>
      <c r="F44" s="647">
        <f t="shared" si="0"/>
        <v>0.5260636166000705</v>
      </c>
      <c r="G44" s="793"/>
      <c r="H44" s="793"/>
      <c r="I44" s="793"/>
      <c r="J44" s="793"/>
      <c r="K44" s="793"/>
      <c r="L44" s="793"/>
      <c r="M44" s="793"/>
      <c r="N44" s="793"/>
      <c r="O44" s="793"/>
      <c r="P44" s="793"/>
      <c r="Q44" s="793"/>
      <c r="R44" s="793"/>
      <c r="S44" s="793"/>
      <c r="T44" s="793"/>
      <c r="U44" s="793"/>
      <c r="V44" s="793"/>
    </row>
    <row r="45" spans="1:22" s="299" customFormat="1" ht="9" customHeight="1">
      <c r="A45" s="536"/>
      <c r="B45" s="503" t="s">
        <v>341</v>
      </c>
      <c r="C45" s="504">
        <v>0.42065999999999998</v>
      </c>
      <c r="D45" s="504">
        <v>0.32900000000000001</v>
      </c>
      <c r="E45" s="504">
        <v>0.43784000000000001</v>
      </c>
      <c r="F45" s="647">
        <f t="shared" si="0"/>
        <v>0.27860182370820663</v>
      </c>
      <c r="G45" s="793"/>
      <c r="H45" s="793"/>
      <c r="I45" s="793"/>
      <c r="J45" s="793"/>
      <c r="K45" s="793"/>
      <c r="L45" s="793"/>
      <c r="M45" s="793"/>
      <c r="N45" s="793"/>
      <c r="O45" s="793"/>
      <c r="P45" s="793"/>
      <c r="Q45" s="793"/>
      <c r="R45" s="793"/>
      <c r="S45" s="793"/>
      <c r="T45" s="793"/>
      <c r="U45" s="793"/>
      <c r="V45" s="793"/>
    </row>
    <row r="46" spans="1:22" s="299" customFormat="1" ht="9" customHeight="1">
      <c r="A46" s="536"/>
      <c r="B46" s="503" t="s">
        <v>342</v>
      </c>
      <c r="C46" s="504">
        <v>0.31672</v>
      </c>
      <c r="D46" s="504">
        <v>0.27621000000000001</v>
      </c>
      <c r="E46" s="504">
        <v>0.32530999999999999</v>
      </c>
      <c r="F46" s="647">
        <f t="shared" si="0"/>
        <v>0.14666377031968425</v>
      </c>
      <c r="G46" s="793"/>
      <c r="H46" s="793"/>
      <c r="I46" s="793"/>
      <c r="J46" s="793"/>
      <c r="K46" s="793"/>
      <c r="L46" s="793"/>
      <c r="M46" s="793"/>
      <c r="N46" s="793"/>
      <c r="O46" s="793"/>
      <c r="P46" s="793"/>
      <c r="Q46" s="793"/>
      <c r="R46" s="793"/>
      <c r="S46" s="793"/>
      <c r="T46" s="793"/>
      <c r="U46" s="793"/>
      <c r="V46" s="793"/>
    </row>
    <row r="47" spans="1:22" s="299" customFormat="1" ht="9" customHeight="1">
      <c r="A47" s="536"/>
      <c r="B47" s="503" t="s">
        <v>343</v>
      </c>
      <c r="C47" s="504">
        <v>102.07128</v>
      </c>
      <c r="D47" s="504">
        <v>84.086970000000008</v>
      </c>
      <c r="E47" s="504">
        <v>105.19221999999999</v>
      </c>
      <c r="F47" s="647">
        <f t="shared" si="0"/>
        <v>0.21387748898551107</v>
      </c>
      <c r="G47" s="793"/>
      <c r="H47" s="793"/>
      <c r="I47" s="793"/>
      <c r="J47" s="793"/>
      <c r="K47" s="793"/>
      <c r="L47" s="793"/>
      <c r="M47" s="793"/>
      <c r="N47" s="793"/>
      <c r="O47" s="793"/>
      <c r="P47" s="793"/>
      <c r="Q47" s="793"/>
      <c r="R47" s="793"/>
      <c r="S47" s="793"/>
      <c r="T47" s="793"/>
      <c r="U47" s="793"/>
      <c r="V47" s="793"/>
    </row>
    <row r="48" spans="1:22" s="299" customFormat="1" ht="9" customHeight="1">
      <c r="A48" s="537" t="s">
        <v>532</v>
      </c>
      <c r="B48" s="401"/>
      <c r="C48" s="402">
        <v>298.49910999999997</v>
      </c>
      <c r="D48" s="402">
        <v>256.80172999999996</v>
      </c>
      <c r="E48" s="402">
        <v>409.38409999999988</v>
      </c>
      <c r="F48" s="646">
        <f t="shared" si="0"/>
        <v>0.16237188121746704</v>
      </c>
      <c r="G48" s="793"/>
      <c r="H48" s="793"/>
      <c r="I48" s="793"/>
      <c r="J48" s="793"/>
      <c r="K48" s="793"/>
      <c r="L48" s="793"/>
      <c r="M48" s="793"/>
      <c r="N48" s="793"/>
      <c r="O48" s="793"/>
      <c r="P48" s="793"/>
      <c r="Q48" s="793"/>
      <c r="R48" s="793"/>
      <c r="S48" s="793"/>
      <c r="T48" s="793"/>
      <c r="U48" s="793"/>
      <c r="V48" s="793"/>
    </row>
    <row r="49" spans="1:22" s="299" customFormat="1" ht="9" customHeight="1">
      <c r="A49" s="536" t="s">
        <v>109</v>
      </c>
      <c r="B49" s="503" t="s">
        <v>229</v>
      </c>
      <c r="C49" s="504">
        <v>0</v>
      </c>
      <c r="D49" s="504">
        <v>0</v>
      </c>
      <c r="E49" s="504">
        <v>0</v>
      </c>
      <c r="F49" s="647" t="str">
        <f t="shared" si="0"/>
        <v/>
      </c>
      <c r="G49" s="793"/>
      <c r="H49" s="793"/>
      <c r="I49" s="793"/>
      <c r="J49" s="793"/>
      <c r="K49" s="793"/>
      <c r="L49" s="793"/>
      <c r="M49" s="793"/>
      <c r="N49" s="793"/>
      <c r="O49" s="793"/>
      <c r="P49" s="793"/>
      <c r="Q49" s="793"/>
      <c r="R49" s="793"/>
      <c r="S49" s="793"/>
      <c r="T49" s="793"/>
      <c r="U49" s="793"/>
      <c r="V49" s="793"/>
    </row>
    <row r="50" spans="1:22" s="299" customFormat="1" ht="9" customHeight="1">
      <c r="A50" s="537" t="s">
        <v>533</v>
      </c>
      <c r="B50" s="401"/>
      <c r="C50" s="402">
        <v>0</v>
      </c>
      <c r="D50" s="402">
        <v>0</v>
      </c>
      <c r="E50" s="402">
        <v>0</v>
      </c>
      <c r="F50" s="646" t="str">
        <f t="shared" si="0"/>
        <v/>
      </c>
      <c r="G50" s="793"/>
      <c r="H50" s="793"/>
      <c r="I50" s="793"/>
      <c r="J50" s="793"/>
      <c r="K50" s="793"/>
      <c r="L50" s="793"/>
      <c r="M50" s="793"/>
      <c r="N50" s="793"/>
      <c r="O50" s="793"/>
      <c r="P50" s="793"/>
      <c r="Q50" s="793"/>
      <c r="R50" s="793"/>
      <c r="S50" s="793"/>
      <c r="T50" s="793"/>
      <c r="U50" s="793"/>
      <c r="V50" s="793"/>
    </row>
    <row r="51" spans="1:22" s="299" customFormat="1" ht="9" customHeight="1">
      <c r="A51" s="536" t="s">
        <v>100</v>
      </c>
      <c r="B51" s="503" t="s">
        <v>425</v>
      </c>
      <c r="C51" s="504">
        <v>290.59153000000003</v>
      </c>
      <c r="D51" s="504">
        <v>290.87457999999998</v>
      </c>
      <c r="E51" s="504">
        <v>282.49957000000001</v>
      </c>
      <c r="F51" s="647">
        <f t="shared" si="0"/>
        <v>-9.730998150472292E-4</v>
      </c>
      <c r="G51" s="793"/>
      <c r="H51" s="793"/>
      <c r="I51" s="793"/>
      <c r="J51" s="793"/>
      <c r="K51" s="793"/>
      <c r="L51" s="793"/>
      <c r="M51" s="793"/>
      <c r="N51" s="793"/>
      <c r="O51" s="793"/>
      <c r="P51" s="793"/>
      <c r="Q51" s="793"/>
      <c r="R51" s="793"/>
      <c r="S51" s="793"/>
      <c r="T51" s="793"/>
      <c r="U51" s="793"/>
      <c r="V51" s="793"/>
    </row>
    <row r="52" spans="1:22" s="299" customFormat="1" ht="9" customHeight="1">
      <c r="A52" s="537" t="s">
        <v>534</v>
      </c>
      <c r="B52" s="401"/>
      <c r="C52" s="402">
        <v>290.59153000000003</v>
      </c>
      <c r="D52" s="402">
        <v>290.87457999999998</v>
      </c>
      <c r="E52" s="402">
        <v>282.49957000000001</v>
      </c>
      <c r="F52" s="646">
        <f t="shared" si="0"/>
        <v>-9.730998150472292E-4</v>
      </c>
      <c r="G52" s="793"/>
      <c r="H52" s="793"/>
      <c r="I52" s="793"/>
      <c r="J52" s="793"/>
      <c r="K52" s="793"/>
      <c r="L52" s="793"/>
      <c r="M52" s="793"/>
      <c r="N52" s="793"/>
      <c r="O52" s="793"/>
      <c r="P52" s="793"/>
      <c r="Q52" s="793"/>
      <c r="R52" s="793"/>
      <c r="S52" s="793"/>
      <c r="T52" s="793"/>
      <c r="U52" s="793"/>
      <c r="V52" s="793"/>
    </row>
    <row r="53" spans="1:22" s="299" customFormat="1" ht="9" customHeight="1">
      <c r="A53" s="536" t="s">
        <v>105</v>
      </c>
      <c r="B53" s="503" t="s">
        <v>344</v>
      </c>
      <c r="C53" s="504">
        <v>87.43</v>
      </c>
      <c r="D53" s="504">
        <v>89.145039999999995</v>
      </c>
      <c r="E53" s="504">
        <v>0</v>
      </c>
      <c r="F53" s="647">
        <f t="shared" si="0"/>
        <v>-1.9238759666269534E-2</v>
      </c>
      <c r="G53" s="793"/>
      <c r="H53" s="793"/>
      <c r="I53" s="793"/>
      <c r="J53" s="793"/>
      <c r="K53" s="793"/>
      <c r="L53" s="793"/>
      <c r="M53" s="793"/>
      <c r="N53" s="793"/>
      <c r="O53" s="793"/>
      <c r="P53" s="793"/>
      <c r="Q53" s="793"/>
      <c r="R53" s="793"/>
      <c r="S53" s="793"/>
      <c r="T53" s="793"/>
      <c r="U53" s="793"/>
      <c r="V53" s="793"/>
    </row>
    <row r="54" spans="1:22" s="299" customFormat="1" ht="9" customHeight="1">
      <c r="A54" s="537" t="s">
        <v>535</v>
      </c>
      <c r="B54" s="401"/>
      <c r="C54" s="402">
        <v>87.43</v>
      </c>
      <c r="D54" s="402">
        <v>89.145039999999995</v>
      </c>
      <c r="E54" s="402">
        <v>0</v>
      </c>
      <c r="F54" s="646">
        <f t="shared" si="0"/>
        <v>-1.9238759666269534E-2</v>
      </c>
      <c r="G54" s="793"/>
      <c r="H54" s="793"/>
      <c r="I54" s="793"/>
      <c r="J54" s="793"/>
      <c r="K54" s="793"/>
      <c r="L54" s="793"/>
      <c r="M54" s="793"/>
      <c r="N54" s="793"/>
      <c r="O54" s="793"/>
      <c r="P54" s="793"/>
      <c r="Q54" s="793"/>
      <c r="R54" s="793"/>
      <c r="S54" s="793"/>
      <c r="T54" s="793"/>
      <c r="U54" s="793"/>
      <c r="V54" s="793"/>
    </row>
    <row r="55" spans="1:22" s="326" customFormat="1" ht="12" customHeight="1">
      <c r="A55" s="387" t="s">
        <v>399</v>
      </c>
      <c r="B55" s="396"/>
      <c r="C55" s="386">
        <v>7069.9081200000019</v>
      </c>
      <c r="D55" s="386">
        <v>6903.8388500000001</v>
      </c>
      <c r="E55" s="386">
        <v>7146.7645799999946</v>
      </c>
      <c r="F55" s="519">
        <f>+IF(D55=0,"",C55/D55-1)</f>
        <v>2.4054627231051562E-2</v>
      </c>
      <c r="G55" s="794"/>
      <c r="H55" s="794"/>
      <c r="I55" s="794"/>
      <c r="J55" s="794"/>
      <c r="K55" s="794"/>
      <c r="L55" s="794"/>
      <c r="M55" s="794"/>
      <c r="N55" s="794"/>
      <c r="O55" s="794"/>
      <c r="P55" s="794"/>
      <c r="Q55" s="794"/>
      <c r="R55" s="794"/>
      <c r="S55" s="794"/>
      <c r="T55" s="794"/>
      <c r="U55" s="794"/>
      <c r="V55" s="794"/>
    </row>
    <row r="56" spans="1:22" s="326" customFormat="1" ht="12" customHeight="1">
      <c r="A56" s="396" t="s">
        <v>345</v>
      </c>
      <c r="B56" s="387"/>
      <c r="C56" s="386">
        <f>+'8. Max Potencia'!D16</f>
        <v>0</v>
      </c>
      <c r="D56" s="386">
        <f>+'8. Max Potencia'!E16</f>
        <v>0</v>
      </c>
      <c r="E56" s="389">
        <v>0</v>
      </c>
      <c r="F56" s="520">
        <v>0</v>
      </c>
      <c r="G56" s="794"/>
      <c r="H56" s="794"/>
      <c r="I56" s="794"/>
      <c r="J56" s="794"/>
      <c r="K56" s="794"/>
      <c r="L56" s="794"/>
      <c r="M56" s="794"/>
      <c r="N56" s="794"/>
      <c r="O56" s="794"/>
      <c r="P56" s="794"/>
      <c r="Q56" s="794"/>
      <c r="R56" s="794"/>
      <c r="S56" s="794"/>
      <c r="T56" s="794"/>
      <c r="U56" s="794"/>
      <c r="V56" s="794"/>
    </row>
    <row r="57" spans="1:22" s="326" customFormat="1" ht="12" customHeight="1">
      <c r="A57" s="521" t="s">
        <v>346</v>
      </c>
      <c r="B57" s="521"/>
      <c r="C57" s="386">
        <v>0</v>
      </c>
      <c r="D57" s="386">
        <v>0</v>
      </c>
      <c r="E57" s="389">
        <v>0</v>
      </c>
      <c r="F57" s="520">
        <v>0</v>
      </c>
      <c r="G57" s="794"/>
      <c r="H57" s="794"/>
      <c r="I57" s="794"/>
      <c r="J57" s="794"/>
      <c r="K57" s="794"/>
      <c r="L57" s="794"/>
      <c r="M57" s="794"/>
      <c r="N57" s="794"/>
      <c r="O57" s="794"/>
      <c r="P57" s="794"/>
      <c r="Q57" s="794"/>
      <c r="R57" s="794"/>
      <c r="S57" s="794"/>
      <c r="T57" s="794"/>
      <c r="U57" s="794"/>
      <c r="V57" s="794"/>
    </row>
    <row r="58" spans="1:22" ht="12" customHeight="1">
      <c r="A58" s="561" t="s">
        <v>442</v>
      </c>
      <c r="B58" s="521"/>
      <c r="C58" s="386">
        <f>+C55+C56-C57</f>
        <v>7069.9081200000019</v>
      </c>
      <c r="D58" s="386">
        <f>+D55+D56-D57</f>
        <v>6903.8388500000001</v>
      </c>
      <c r="E58" s="386">
        <f>+E55+E56-E57</f>
        <v>7146.7645799999946</v>
      </c>
      <c r="F58" s="519">
        <f>+IF(D58=0,"",C58/D58-1)</f>
        <v>2.4054627231051562E-2</v>
      </c>
    </row>
    <row r="59" spans="1:22" ht="7.15" customHeight="1">
      <c r="A59" s="503"/>
      <c r="B59" s="505"/>
      <c r="C59" s="505"/>
      <c r="D59" s="505"/>
      <c r="E59" s="505"/>
      <c r="F59" s="505"/>
    </row>
    <row r="60" spans="1:22" ht="27.75" customHeight="1">
      <c r="A60" s="930" t="s">
        <v>544</v>
      </c>
      <c r="B60" s="930"/>
      <c r="C60" s="930"/>
      <c r="D60" s="930"/>
      <c r="E60" s="930"/>
      <c r="F60" s="930"/>
    </row>
    <row r="61" spans="1:22" ht="7.9" customHeight="1">
      <c r="A61" s="943"/>
      <c r="B61" s="943"/>
      <c r="C61" s="943"/>
      <c r="D61" s="943"/>
      <c r="E61" s="943"/>
      <c r="F61" s="943"/>
      <c r="G61" s="795"/>
    </row>
    <row r="62" spans="1:22" ht="11.25" customHeight="1">
      <c r="A62" s="763" t="s">
        <v>566</v>
      </c>
      <c r="B62" s="797"/>
      <c r="C62" s="797"/>
      <c r="D62" s="797"/>
      <c r="E62" s="797"/>
      <c r="F62" s="797"/>
      <c r="G62" s="795"/>
    </row>
    <row r="63" spans="1:22" ht="11.25" customHeight="1">
      <c r="A63" s="550" t="s">
        <v>687</v>
      </c>
      <c r="B63" s="797"/>
      <c r="C63" s="797"/>
      <c r="D63" s="797"/>
      <c r="E63" s="797"/>
      <c r="F63" s="797"/>
      <c r="G63" s="795"/>
    </row>
    <row r="64" spans="1:22" ht="11.25" customHeight="1">
      <c r="A64" s="550" t="s">
        <v>688</v>
      </c>
      <c r="B64" s="797"/>
      <c r="C64" s="797"/>
      <c r="D64" s="797"/>
      <c r="E64" s="797"/>
      <c r="F64" s="797"/>
      <c r="G64" s="795"/>
    </row>
    <row r="65" spans="2:7" ht="10.15" customHeight="1">
      <c r="B65" s="739"/>
      <c r="C65" s="739"/>
      <c r="D65" s="739"/>
      <c r="E65" s="739"/>
      <c r="F65" s="739"/>
      <c r="G65" s="795"/>
    </row>
  </sheetData>
  <mergeCells count="5">
    <mergeCell ref="A1:A4"/>
    <mergeCell ref="B1:B4"/>
    <mergeCell ref="C1:F1"/>
    <mergeCell ref="A60:F60"/>
    <mergeCell ref="A61:F61"/>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5"/>
  <sheetViews>
    <sheetView showGridLines="0" view="pageBreakPreview" zoomScaleNormal="100" zoomScaleSheetLayoutView="100" workbookViewId="0">
      <selection activeCell="B18" sqref="M18"/>
    </sheetView>
  </sheetViews>
  <sheetFormatPr baseColWidth="10" defaultColWidth="9.33203125" defaultRowHeight="11.25"/>
  <cols>
    <col min="1" max="1" width="11.33203125" customWidth="1"/>
    <col min="2" max="2" width="6.6640625" customWidth="1"/>
    <col min="3" max="3" width="10.1640625" customWidth="1"/>
    <col min="4" max="5" width="12.1640625" customWidth="1"/>
    <col min="6" max="6" width="12.83203125"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3" t="s">
        <v>358</v>
      </c>
      <c r="B3" s="271"/>
    </row>
    <row r="4" spans="1:13" ht="11.25" customHeight="1">
      <c r="B4" s="271"/>
    </row>
    <row r="5" spans="1:13" ht="11.25" customHeight="1">
      <c r="A5" s="272" t="s">
        <v>404</v>
      </c>
      <c r="B5" s="557"/>
      <c r="C5" s="271">
        <v>7069.9081200000001</v>
      </c>
      <c r="D5" s="557"/>
      <c r="E5" s="557"/>
      <c r="F5" s="557"/>
      <c r="G5" s="557"/>
      <c r="H5" s="557"/>
      <c r="I5" s="557"/>
      <c r="J5" s="557"/>
      <c r="K5" s="557"/>
    </row>
    <row r="6" spans="1:13" ht="11.25" customHeight="1">
      <c r="A6" s="272" t="s">
        <v>359</v>
      </c>
      <c r="B6" s="557"/>
      <c r="C6" s="271" t="s">
        <v>612</v>
      </c>
      <c r="D6" s="557"/>
      <c r="E6" s="557"/>
      <c r="F6" s="557"/>
      <c r="G6" s="557"/>
      <c r="H6" s="557"/>
      <c r="I6" s="557"/>
      <c r="J6" s="557"/>
      <c r="K6" s="557"/>
    </row>
    <row r="7" spans="1:13" ht="11.25" customHeight="1">
      <c r="A7" s="272" t="s">
        <v>360</v>
      </c>
      <c r="B7" s="557"/>
      <c r="C7" s="271" t="s">
        <v>573</v>
      </c>
      <c r="D7" s="557"/>
      <c r="E7" s="557"/>
      <c r="F7" s="557"/>
      <c r="G7" s="557"/>
      <c r="H7" s="557"/>
      <c r="I7" s="557"/>
      <c r="J7" s="557"/>
      <c r="K7" s="557"/>
    </row>
    <row r="8" spans="1:13" ht="11.25" customHeight="1">
      <c r="A8" s="557"/>
      <c r="B8" s="557"/>
      <c r="C8" s="557"/>
      <c r="D8" s="557"/>
      <c r="E8" s="557"/>
      <c r="F8" s="557"/>
      <c r="G8" s="557"/>
      <c r="H8" s="557"/>
      <c r="I8" s="557"/>
      <c r="J8" s="557"/>
      <c r="K8" s="557"/>
    </row>
    <row r="9" spans="1:13" ht="14.25" customHeight="1">
      <c r="A9" s="944" t="s">
        <v>351</v>
      </c>
      <c r="B9" s="947" t="s">
        <v>352</v>
      </c>
      <c r="C9" s="948"/>
      <c r="D9" s="948"/>
      <c r="E9" s="948"/>
      <c r="F9" s="949"/>
      <c r="G9" s="947" t="s">
        <v>353</v>
      </c>
      <c r="H9" s="948"/>
      <c r="I9" s="948"/>
      <c r="J9" s="948"/>
      <c r="K9" s="949"/>
    </row>
    <row r="10" spans="1:13" ht="26.25" customHeight="1">
      <c r="A10" s="945"/>
      <c r="B10" s="394" t="s">
        <v>354</v>
      </c>
      <c r="C10" s="394" t="s">
        <v>197</v>
      </c>
      <c r="D10" s="394" t="s">
        <v>345</v>
      </c>
      <c r="E10" s="394" t="s">
        <v>346</v>
      </c>
      <c r="F10" s="395" t="s">
        <v>357</v>
      </c>
      <c r="G10" s="394" t="s">
        <v>354</v>
      </c>
      <c r="H10" s="394" t="s">
        <v>197</v>
      </c>
      <c r="I10" s="394" t="s">
        <v>345</v>
      </c>
      <c r="J10" s="394" t="s">
        <v>346</v>
      </c>
      <c r="K10" s="395" t="s">
        <v>357</v>
      </c>
      <c r="L10" s="36"/>
      <c r="M10" s="46"/>
    </row>
    <row r="11" spans="1:13" ht="11.25" customHeight="1">
      <c r="A11" s="946"/>
      <c r="B11" s="394" t="s">
        <v>355</v>
      </c>
      <c r="C11" s="394" t="s">
        <v>356</v>
      </c>
      <c r="D11" s="394" t="s">
        <v>356</v>
      </c>
      <c r="E11" s="394" t="s">
        <v>356</v>
      </c>
      <c r="F11" s="394" t="s">
        <v>356</v>
      </c>
      <c r="G11" s="394" t="s">
        <v>355</v>
      </c>
      <c r="H11" s="394" t="s">
        <v>356</v>
      </c>
      <c r="I11" s="394" t="s">
        <v>356</v>
      </c>
      <c r="J11" s="394" t="s">
        <v>356</v>
      </c>
      <c r="K11" s="394" t="s">
        <v>356</v>
      </c>
      <c r="L11" s="36"/>
      <c r="M11" s="46"/>
    </row>
    <row r="12" spans="1:13" ht="14.25" customHeight="1">
      <c r="A12" s="798" t="s">
        <v>594</v>
      </c>
      <c r="B12" s="799" t="s">
        <v>473</v>
      </c>
      <c r="C12" s="799">
        <v>6833.2300599999999</v>
      </c>
      <c r="D12" s="799">
        <v>44.252000000000002</v>
      </c>
      <c r="E12" s="799">
        <v>0</v>
      </c>
      <c r="F12" s="799">
        <v>6877.4820600000003</v>
      </c>
      <c r="G12" s="799" t="s">
        <v>440</v>
      </c>
      <c r="H12" s="799">
        <v>6786.4238400000004</v>
      </c>
      <c r="I12" s="799">
        <v>54.503999999999998</v>
      </c>
      <c r="J12" s="799">
        <v>0</v>
      </c>
      <c r="K12" s="799">
        <v>6840.9278400000003</v>
      </c>
      <c r="L12" s="205"/>
      <c r="M12" s="46"/>
    </row>
    <row r="13" spans="1:13" ht="14.25" customHeight="1">
      <c r="A13" s="798" t="s">
        <v>595</v>
      </c>
      <c r="B13" s="799" t="s">
        <v>473</v>
      </c>
      <c r="C13" s="799">
        <v>6886.7257600000003</v>
      </c>
      <c r="D13" s="799">
        <v>42.82</v>
      </c>
      <c r="E13" s="799">
        <v>0</v>
      </c>
      <c r="F13" s="799">
        <v>6929.54576</v>
      </c>
      <c r="G13" s="799" t="s">
        <v>574</v>
      </c>
      <c r="H13" s="799">
        <v>6869.1773700000003</v>
      </c>
      <c r="I13" s="799">
        <v>52.52</v>
      </c>
      <c r="J13" s="799">
        <v>0</v>
      </c>
      <c r="K13" s="799">
        <v>6921.6973699999999</v>
      </c>
      <c r="L13" s="5"/>
    </row>
    <row r="14" spans="1:13" ht="14.25" customHeight="1">
      <c r="A14" s="798" t="s">
        <v>596</v>
      </c>
      <c r="B14" s="799" t="s">
        <v>456</v>
      </c>
      <c r="C14" s="799">
        <v>6845.67659</v>
      </c>
      <c r="D14" s="799">
        <v>37.448</v>
      </c>
      <c r="E14" s="799">
        <v>0</v>
      </c>
      <c r="F14" s="799">
        <v>6883.1245900000004</v>
      </c>
      <c r="G14" s="799" t="s">
        <v>574</v>
      </c>
      <c r="H14" s="799">
        <v>6814.6926899999999</v>
      </c>
      <c r="I14" s="799">
        <v>51.723999999999997</v>
      </c>
      <c r="J14" s="799">
        <v>0</v>
      </c>
      <c r="K14" s="799">
        <v>6866.41669</v>
      </c>
      <c r="L14" s="15"/>
    </row>
    <row r="15" spans="1:13" ht="14.25" customHeight="1">
      <c r="A15" s="798" t="s">
        <v>597</v>
      </c>
      <c r="B15" s="799" t="s">
        <v>456</v>
      </c>
      <c r="C15" s="799">
        <v>6725.9173099999998</v>
      </c>
      <c r="D15" s="799">
        <v>0</v>
      </c>
      <c r="E15" s="799">
        <v>0</v>
      </c>
      <c r="F15" s="799">
        <v>6725.9173099999998</v>
      </c>
      <c r="G15" s="799" t="s">
        <v>598</v>
      </c>
      <c r="H15" s="799">
        <v>6769.16291</v>
      </c>
      <c r="I15" s="799">
        <v>0</v>
      </c>
      <c r="J15" s="799">
        <v>0</v>
      </c>
      <c r="K15" s="799">
        <v>6769.16291</v>
      </c>
      <c r="L15" s="12"/>
    </row>
    <row r="16" spans="1:13" ht="14.25" customHeight="1">
      <c r="A16" s="798" t="s">
        <v>599</v>
      </c>
      <c r="B16" s="799" t="s">
        <v>456</v>
      </c>
      <c r="C16" s="799">
        <v>6018.1612299999997</v>
      </c>
      <c r="D16" s="799">
        <v>0</v>
      </c>
      <c r="E16" s="799">
        <v>0</v>
      </c>
      <c r="F16" s="799">
        <v>6018.1612299999997</v>
      </c>
      <c r="G16" s="799" t="s">
        <v>440</v>
      </c>
      <c r="H16" s="799">
        <v>6677.63573</v>
      </c>
      <c r="I16" s="799">
        <v>0</v>
      </c>
      <c r="J16" s="799">
        <v>0</v>
      </c>
      <c r="K16" s="799">
        <v>6677.63573</v>
      </c>
      <c r="L16" s="22"/>
    </row>
    <row r="17" spans="1:12" ht="14.25" customHeight="1">
      <c r="A17" s="798" t="s">
        <v>600</v>
      </c>
      <c r="B17" s="799" t="s">
        <v>454</v>
      </c>
      <c r="C17" s="799">
        <v>6687.0739899999999</v>
      </c>
      <c r="D17" s="799">
        <v>43.589359999999999</v>
      </c>
      <c r="E17" s="799">
        <v>0</v>
      </c>
      <c r="F17" s="799">
        <v>6730.6633499999998</v>
      </c>
      <c r="G17" s="799" t="s">
        <v>537</v>
      </c>
      <c r="H17" s="799">
        <v>6753.0512399999998</v>
      </c>
      <c r="I17" s="799">
        <v>47.805</v>
      </c>
      <c r="J17" s="799">
        <v>0</v>
      </c>
      <c r="K17" s="799">
        <v>6800.8562400000001</v>
      </c>
      <c r="L17" s="22"/>
    </row>
    <row r="18" spans="1:12" ht="14.25" customHeight="1">
      <c r="A18" s="798" t="s">
        <v>601</v>
      </c>
      <c r="B18" s="799" t="s">
        <v>571</v>
      </c>
      <c r="C18" s="799">
        <v>6734.1524099999997</v>
      </c>
      <c r="D18" s="799">
        <v>0</v>
      </c>
      <c r="E18" s="799">
        <v>0</v>
      </c>
      <c r="F18" s="799">
        <v>6734.1524099999997</v>
      </c>
      <c r="G18" s="799" t="s">
        <v>572</v>
      </c>
      <c r="H18" s="799">
        <v>6916.7755100000004</v>
      </c>
      <c r="I18" s="799">
        <v>0</v>
      </c>
      <c r="J18" s="799">
        <v>0</v>
      </c>
      <c r="K18" s="799">
        <v>6916.7755100000004</v>
      </c>
      <c r="L18" s="22"/>
    </row>
    <row r="19" spans="1:12" ht="14.25" customHeight="1">
      <c r="A19" s="798" t="s">
        <v>602</v>
      </c>
      <c r="B19" s="799" t="s">
        <v>473</v>
      </c>
      <c r="C19" s="799">
        <v>6763.1499700000004</v>
      </c>
      <c r="D19" s="799">
        <v>47.665080000000003</v>
      </c>
      <c r="E19" s="799">
        <v>0</v>
      </c>
      <c r="F19" s="799">
        <v>6810.8150500000002</v>
      </c>
      <c r="G19" s="799" t="s">
        <v>537</v>
      </c>
      <c r="H19" s="799">
        <v>6838.68235</v>
      </c>
      <c r="I19" s="799">
        <v>47.102040000000002</v>
      </c>
      <c r="J19" s="799">
        <v>0</v>
      </c>
      <c r="K19" s="799">
        <v>6885.7843899999998</v>
      </c>
      <c r="L19" s="22"/>
    </row>
    <row r="20" spans="1:12" ht="14.25" customHeight="1">
      <c r="A20" s="798" t="s">
        <v>603</v>
      </c>
      <c r="B20" s="799" t="s">
        <v>473</v>
      </c>
      <c r="C20" s="799">
        <v>6883.1868199999999</v>
      </c>
      <c r="D20" s="799">
        <v>0</v>
      </c>
      <c r="E20" s="799">
        <v>0</v>
      </c>
      <c r="F20" s="799">
        <v>6883.1868199999999</v>
      </c>
      <c r="G20" s="799" t="s">
        <v>440</v>
      </c>
      <c r="H20" s="799">
        <v>6923.9905600000002</v>
      </c>
      <c r="I20" s="799">
        <v>0</v>
      </c>
      <c r="J20" s="799">
        <v>0</v>
      </c>
      <c r="K20" s="799">
        <v>6923.9905600000002</v>
      </c>
      <c r="L20" s="24"/>
    </row>
    <row r="21" spans="1:12" ht="14.25" customHeight="1">
      <c r="A21" s="798" t="s">
        <v>604</v>
      </c>
      <c r="B21" s="799" t="s">
        <v>456</v>
      </c>
      <c r="C21" s="799">
        <v>6718.9437799999996</v>
      </c>
      <c r="D21" s="799">
        <v>46.044119999999999</v>
      </c>
      <c r="E21" s="799">
        <v>0</v>
      </c>
      <c r="F21" s="799">
        <v>6764.9879000000001</v>
      </c>
      <c r="G21" s="799" t="s">
        <v>574</v>
      </c>
      <c r="H21" s="799">
        <v>6768.6006399999997</v>
      </c>
      <c r="I21" s="799">
        <v>45.485439999999997</v>
      </c>
      <c r="J21" s="799">
        <v>0</v>
      </c>
      <c r="K21" s="799">
        <v>6814.08608</v>
      </c>
      <c r="L21" s="22"/>
    </row>
    <row r="22" spans="1:12" ht="14.25" customHeight="1">
      <c r="A22" s="798" t="s">
        <v>605</v>
      </c>
      <c r="B22" s="799" t="s">
        <v>456</v>
      </c>
      <c r="C22" s="799">
        <v>6722.0780199999999</v>
      </c>
      <c r="D22" s="799">
        <v>42.163960000000003</v>
      </c>
      <c r="E22" s="799">
        <v>0</v>
      </c>
      <c r="F22" s="799">
        <v>6764.2419799999998</v>
      </c>
      <c r="G22" s="799" t="s">
        <v>574</v>
      </c>
      <c r="H22" s="799">
        <v>6762.4452000000001</v>
      </c>
      <c r="I22" s="799">
        <v>44.955199999999998</v>
      </c>
      <c r="J22" s="799">
        <v>0</v>
      </c>
      <c r="K22" s="799">
        <v>6807.4004000000004</v>
      </c>
      <c r="L22" s="22"/>
    </row>
    <row r="23" spans="1:12" ht="14.25" customHeight="1">
      <c r="A23" s="798" t="s">
        <v>606</v>
      </c>
      <c r="B23" s="799" t="s">
        <v>607</v>
      </c>
      <c r="C23" s="799">
        <v>6139.6155799999997</v>
      </c>
      <c r="D23" s="799">
        <v>0</v>
      </c>
      <c r="E23" s="799">
        <v>0</v>
      </c>
      <c r="F23" s="799">
        <v>6139.6155799999997</v>
      </c>
      <c r="G23" s="799" t="s">
        <v>608</v>
      </c>
      <c r="H23" s="799">
        <v>6877.2090399999997</v>
      </c>
      <c r="I23" s="799">
        <v>0</v>
      </c>
      <c r="J23" s="799">
        <v>0</v>
      </c>
      <c r="K23" s="799">
        <v>6877.2090399999997</v>
      </c>
      <c r="L23" s="22"/>
    </row>
    <row r="24" spans="1:12" ht="14.25" customHeight="1">
      <c r="A24" s="798" t="s">
        <v>609</v>
      </c>
      <c r="B24" s="799" t="s">
        <v>610</v>
      </c>
      <c r="C24" s="799">
        <v>6870.0072700000001</v>
      </c>
      <c r="D24" s="799">
        <v>0</v>
      </c>
      <c r="E24" s="799">
        <v>0</v>
      </c>
      <c r="F24" s="799">
        <v>6870.0072700000001</v>
      </c>
      <c r="G24" s="799" t="s">
        <v>440</v>
      </c>
      <c r="H24" s="799">
        <v>6745.2145600000003</v>
      </c>
      <c r="I24" s="799">
        <v>0</v>
      </c>
      <c r="J24" s="799">
        <v>0</v>
      </c>
      <c r="K24" s="799">
        <v>6745.2145600000003</v>
      </c>
      <c r="L24" s="22"/>
    </row>
    <row r="25" spans="1:12" ht="14.25" customHeight="1">
      <c r="A25" s="798" t="s">
        <v>611</v>
      </c>
      <c r="B25" s="799" t="s">
        <v>456</v>
      </c>
      <c r="C25" s="799">
        <v>6939.2509</v>
      </c>
      <c r="D25" s="799">
        <v>36.628</v>
      </c>
      <c r="E25" s="799">
        <v>0</v>
      </c>
      <c r="F25" s="799">
        <v>6975.8788999999997</v>
      </c>
      <c r="G25" s="799" t="s">
        <v>537</v>
      </c>
      <c r="H25" s="799">
        <v>6954.4210999999996</v>
      </c>
      <c r="I25" s="799">
        <v>46.152000000000001</v>
      </c>
      <c r="J25" s="799">
        <v>0</v>
      </c>
      <c r="K25" s="799">
        <v>7000.5730999999996</v>
      </c>
      <c r="L25" s="22"/>
    </row>
    <row r="26" spans="1:12" ht="14.25" customHeight="1">
      <c r="A26" s="798" t="s">
        <v>612</v>
      </c>
      <c r="B26" s="799" t="s">
        <v>454</v>
      </c>
      <c r="C26" s="799">
        <v>6986.8804700000001</v>
      </c>
      <c r="D26" s="799">
        <v>0</v>
      </c>
      <c r="E26" s="799">
        <v>0</v>
      </c>
      <c r="F26" s="799">
        <v>6986.8804700000001</v>
      </c>
      <c r="G26" s="800" t="s">
        <v>573</v>
      </c>
      <c r="H26" s="800">
        <v>7069.9081200000001</v>
      </c>
      <c r="I26" s="800">
        <v>0</v>
      </c>
      <c r="J26" s="800">
        <v>0</v>
      </c>
      <c r="K26" s="800">
        <v>7069.9081200000001</v>
      </c>
      <c r="L26" s="22"/>
    </row>
    <row r="27" spans="1:12" ht="14.25" customHeight="1">
      <c r="A27" s="798" t="s">
        <v>613</v>
      </c>
      <c r="B27" s="799" t="s">
        <v>456</v>
      </c>
      <c r="C27" s="799">
        <v>6917.1701599999997</v>
      </c>
      <c r="D27" s="799">
        <v>41.057600000000001</v>
      </c>
      <c r="E27" s="799">
        <v>0</v>
      </c>
      <c r="F27" s="799">
        <v>6958.2277599999998</v>
      </c>
      <c r="G27" s="799" t="s">
        <v>572</v>
      </c>
      <c r="H27" s="799">
        <v>6864.76674</v>
      </c>
      <c r="I27" s="799">
        <v>51.003079999999997</v>
      </c>
      <c r="J27" s="799">
        <v>0</v>
      </c>
      <c r="K27" s="799">
        <v>6915.7698200000004</v>
      </c>
      <c r="L27" s="22"/>
    </row>
    <row r="28" spans="1:12" s="557" customFormat="1" ht="14.25" customHeight="1">
      <c r="A28" s="798" t="s">
        <v>614</v>
      </c>
      <c r="B28" s="799" t="s">
        <v>454</v>
      </c>
      <c r="C28" s="799">
        <v>6872.5332900000003</v>
      </c>
      <c r="D28" s="799">
        <v>40.409559999999999</v>
      </c>
      <c r="E28" s="799">
        <v>0</v>
      </c>
      <c r="F28" s="799">
        <v>6912.9428500000004</v>
      </c>
      <c r="G28" s="799" t="s">
        <v>573</v>
      </c>
      <c r="H28" s="799">
        <v>6966.3375100000003</v>
      </c>
      <c r="I28" s="799">
        <v>51.156959999999998</v>
      </c>
      <c r="J28" s="799">
        <v>0</v>
      </c>
      <c r="K28" s="799">
        <v>7017.4944699999996</v>
      </c>
      <c r="L28" s="22"/>
    </row>
    <row r="29" spans="1:12" s="557" customFormat="1" ht="14.25" customHeight="1">
      <c r="A29" s="798" t="s">
        <v>615</v>
      </c>
      <c r="B29" s="799" t="s">
        <v>610</v>
      </c>
      <c r="C29" s="799">
        <v>6927.5543900000002</v>
      </c>
      <c r="D29" s="799">
        <v>0</v>
      </c>
      <c r="E29" s="799">
        <v>0</v>
      </c>
      <c r="F29" s="799">
        <v>6927.5543900000002</v>
      </c>
      <c r="G29" s="799" t="s">
        <v>616</v>
      </c>
      <c r="H29" s="799">
        <v>6983.7918200000004</v>
      </c>
      <c r="I29" s="799">
        <v>0</v>
      </c>
      <c r="J29" s="799">
        <v>0</v>
      </c>
      <c r="K29" s="799">
        <v>6983.7918200000004</v>
      </c>
      <c r="L29" s="22"/>
    </row>
    <row r="30" spans="1:12" s="557" customFormat="1" ht="14.25" customHeight="1">
      <c r="A30" s="798" t="s">
        <v>617</v>
      </c>
      <c r="B30" s="799" t="s">
        <v>607</v>
      </c>
      <c r="C30" s="799">
        <v>6085.8865400000004</v>
      </c>
      <c r="D30" s="799">
        <v>0</v>
      </c>
      <c r="E30" s="799">
        <v>0</v>
      </c>
      <c r="F30" s="799">
        <v>6085.8865400000004</v>
      </c>
      <c r="G30" s="799" t="s">
        <v>547</v>
      </c>
      <c r="H30" s="799">
        <v>6700.3314600000003</v>
      </c>
      <c r="I30" s="799">
        <v>0</v>
      </c>
      <c r="J30" s="799">
        <v>0</v>
      </c>
      <c r="K30" s="799">
        <v>6700.3314600000003</v>
      </c>
      <c r="L30" s="22"/>
    </row>
    <row r="31" spans="1:12" ht="14.25" customHeight="1">
      <c r="A31" s="798" t="s">
        <v>618</v>
      </c>
      <c r="B31" s="799" t="s">
        <v>456</v>
      </c>
      <c r="C31" s="799">
        <v>6914.3375999999998</v>
      </c>
      <c r="D31" s="799">
        <v>43.457680000000003</v>
      </c>
      <c r="E31" s="799">
        <v>0</v>
      </c>
      <c r="F31" s="799">
        <v>6957.7952800000003</v>
      </c>
      <c r="G31" s="799" t="s">
        <v>572</v>
      </c>
      <c r="H31" s="799">
        <v>6887.0171600000003</v>
      </c>
      <c r="I31" s="799">
        <v>46.314239999999998</v>
      </c>
      <c r="J31" s="799">
        <v>0</v>
      </c>
      <c r="K31" s="799">
        <v>6933.3314</v>
      </c>
      <c r="L31" s="30"/>
    </row>
    <row r="32" spans="1:12" ht="14.25" customHeight="1">
      <c r="A32" s="798" t="s">
        <v>619</v>
      </c>
      <c r="B32" s="799" t="s">
        <v>620</v>
      </c>
      <c r="C32" s="799">
        <v>6977.8450199999997</v>
      </c>
      <c r="D32" s="799">
        <v>41.4</v>
      </c>
      <c r="E32" s="799">
        <v>0</v>
      </c>
      <c r="F32" s="799">
        <v>7019.2450200000003</v>
      </c>
      <c r="G32" s="799" t="s">
        <v>574</v>
      </c>
      <c r="H32" s="799">
        <v>6988.3918999999996</v>
      </c>
      <c r="I32" s="799">
        <v>44.472000000000001</v>
      </c>
      <c r="J32" s="799">
        <v>0</v>
      </c>
      <c r="K32" s="799">
        <v>7032.8639000000003</v>
      </c>
      <c r="L32" s="22"/>
    </row>
    <row r="33" spans="1:12" ht="14.25" customHeight="1">
      <c r="A33" s="798" t="s">
        <v>621</v>
      </c>
      <c r="B33" s="800" t="s">
        <v>456</v>
      </c>
      <c r="C33" s="800">
        <v>7087.2179599999999</v>
      </c>
      <c r="D33" s="800">
        <v>45.1</v>
      </c>
      <c r="E33" s="800">
        <v>0</v>
      </c>
      <c r="F33" s="800">
        <v>7132.3179600000003</v>
      </c>
      <c r="G33" s="799" t="s">
        <v>572</v>
      </c>
      <c r="H33" s="799">
        <v>6940.66669</v>
      </c>
      <c r="I33" s="799">
        <v>45.508000000000003</v>
      </c>
      <c r="J33" s="799">
        <v>0</v>
      </c>
      <c r="K33" s="799">
        <v>6986.1746899999998</v>
      </c>
      <c r="L33" s="22"/>
    </row>
    <row r="34" spans="1:12" ht="14.25" customHeight="1">
      <c r="A34" s="798" t="s">
        <v>622</v>
      </c>
      <c r="B34" s="799" t="s">
        <v>456</v>
      </c>
      <c r="C34" s="799">
        <v>6997.2179900000001</v>
      </c>
      <c r="D34" s="799">
        <v>43.703679999999999</v>
      </c>
      <c r="E34" s="799">
        <v>0</v>
      </c>
      <c r="F34" s="799">
        <v>7040.9216699999997</v>
      </c>
      <c r="G34" s="799" t="s">
        <v>537</v>
      </c>
      <c r="H34" s="799">
        <v>6918.2641199999998</v>
      </c>
      <c r="I34" s="799">
        <v>47.188519999999997</v>
      </c>
      <c r="J34" s="799">
        <v>0</v>
      </c>
      <c r="K34" s="799">
        <v>6965.4526400000004</v>
      </c>
      <c r="L34" s="15"/>
    </row>
    <row r="35" spans="1:12" ht="14.25" customHeight="1">
      <c r="A35" s="798" t="s">
        <v>623</v>
      </c>
      <c r="B35" s="799" t="s">
        <v>454</v>
      </c>
      <c r="C35" s="799">
        <v>6981.9786199999999</v>
      </c>
      <c r="D35" s="799">
        <v>0</v>
      </c>
      <c r="E35" s="799">
        <v>0</v>
      </c>
      <c r="F35" s="799">
        <v>6981.9786199999999</v>
      </c>
      <c r="G35" s="799" t="s">
        <v>574</v>
      </c>
      <c r="H35" s="799">
        <v>6994.8009499999998</v>
      </c>
      <c r="I35" s="799">
        <v>0</v>
      </c>
      <c r="J35" s="799">
        <v>0</v>
      </c>
      <c r="K35" s="799">
        <v>6994.8009499999998</v>
      </c>
      <c r="L35" s="16"/>
    </row>
    <row r="36" spans="1:12" ht="14.25" customHeight="1">
      <c r="A36" s="798" t="s">
        <v>624</v>
      </c>
      <c r="B36" s="799" t="s">
        <v>454</v>
      </c>
      <c r="C36" s="799">
        <v>6810.9262099999996</v>
      </c>
      <c r="D36" s="799">
        <v>41.021999999999998</v>
      </c>
      <c r="E36" s="799">
        <v>0</v>
      </c>
      <c r="F36" s="799">
        <v>6851.9482099999996</v>
      </c>
      <c r="G36" s="799" t="s">
        <v>616</v>
      </c>
      <c r="H36" s="799">
        <v>6795.2524299999995</v>
      </c>
      <c r="I36" s="799">
        <v>44.256799999999998</v>
      </c>
      <c r="J36" s="799">
        <v>0</v>
      </c>
      <c r="K36" s="799">
        <v>6839.5092299999997</v>
      </c>
      <c r="L36" s="15"/>
    </row>
    <row r="37" spans="1:12" s="557" customFormat="1" ht="14.25" customHeight="1">
      <c r="A37" s="798" t="s">
        <v>625</v>
      </c>
      <c r="B37" s="799" t="s">
        <v>455</v>
      </c>
      <c r="C37" s="799">
        <v>6062.3091100000001</v>
      </c>
      <c r="D37" s="799">
        <v>0</v>
      </c>
      <c r="E37" s="799">
        <v>0</v>
      </c>
      <c r="F37" s="799">
        <v>6062.3091100000001</v>
      </c>
      <c r="G37" s="799" t="s">
        <v>573</v>
      </c>
      <c r="H37" s="799">
        <v>6912.8770699999995</v>
      </c>
      <c r="I37" s="799">
        <v>0</v>
      </c>
      <c r="J37" s="799">
        <v>0</v>
      </c>
      <c r="K37" s="799">
        <v>6912.8770699999995</v>
      </c>
      <c r="L37" s="15"/>
    </row>
    <row r="38" spans="1:12" ht="14.25" customHeight="1">
      <c r="A38" s="798" t="s">
        <v>626</v>
      </c>
      <c r="B38" s="799" t="s">
        <v>456</v>
      </c>
      <c r="C38" s="799">
        <v>6920.0627299999996</v>
      </c>
      <c r="D38" s="799">
        <v>38.155999999999999</v>
      </c>
      <c r="E38" s="799">
        <v>0</v>
      </c>
      <c r="F38" s="799">
        <v>6958.2187299999996</v>
      </c>
      <c r="G38" s="799" t="s">
        <v>572</v>
      </c>
      <c r="H38" s="799">
        <v>6973.7870899999998</v>
      </c>
      <c r="I38" s="799">
        <v>46.783999999999999</v>
      </c>
      <c r="J38" s="799">
        <v>0</v>
      </c>
      <c r="K38" s="799">
        <v>7020.5710900000004</v>
      </c>
      <c r="L38" s="15"/>
    </row>
    <row r="39" spans="1:12" s="557" customFormat="1" ht="14.25" customHeight="1">
      <c r="A39" s="798" t="s">
        <v>627</v>
      </c>
      <c r="B39" s="799" t="s">
        <v>456</v>
      </c>
      <c r="C39" s="799">
        <v>7051.4524099999999</v>
      </c>
      <c r="D39" s="799">
        <v>37.916800000000002</v>
      </c>
      <c r="E39" s="799">
        <v>0</v>
      </c>
      <c r="F39" s="799">
        <v>7089.3692099999998</v>
      </c>
      <c r="G39" s="799" t="s">
        <v>628</v>
      </c>
      <c r="H39" s="799">
        <v>6947.5843999999997</v>
      </c>
      <c r="I39" s="799">
        <v>42.253999999999998</v>
      </c>
      <c r="J39" s="799">
        <v>0</v>
      </c>
      <c r="K39" s="799">
        <v>6989.8383999999996</v>
      </c>
      <c r="L39" s="15"/>
    </row>
    <row r="40" spans="1:12" ht="14.25" customHeight="1">
      <c r="A40" s="798" t="s">
        <v>629</v>
      </c>
      <c r="B40" s="799" t="s">
        <v>456</v>
      </c>
      <c r="C40" s="799">
        <v>6579.6486500000001</v>
      </c>
      <c r="D40" s="799">
        <v>0</v>
      </c>
      <c r="E40" s="799">
        <v>0</v>
      </c>
      <c r="F40" s="799">
        <v>6579.6486500000001</v>
      </c>
      <c r="G40" s="799" t="s">
        <v>547</v>
      </c>
      <c r="H40" s="799">
        <v>7001.8198700000003</v>
      </c>
      <c r="I40" s="799">
        <v>0</v>
      </c>
      <c r="J40" s="799">
        <v>0</v>
      </c>
      <c r="K40" s="799">
        <v>7001.8198700000003</v>
      </c>
    </row>
    <row r="41" spans="1:12" ht="14.25" customHeight="1">
      <c r="A41" s="798" t="s">
        <v>630</v>
      </c>
      <c r="B41" s="799" t="s">
        <v>473</v>
      </c>
      <c r="C41" s="799">
        <v>6948.41327</v>
      </c>
      <c r="D41" s="799">
        <v>0</v>
      </c>
      <c r="E41" s="799">
        <v>0</v>
      </c>
      <c r="F41" s="799">
        <v>6948.41327</v>
      </c>
      <c r="G41" s="799" t="s">
        <v>440</v>
      </c>
      <c r="H41" s="799">
        <v>6986.0350900000003</v>
      </c>
      <c r="I41" s="799">
        <v>0</v>
      </c>
      <c r="J41" s="799">
        <v>0</v>
      </c>
      <c r="K41" s="799">
        <v>6986.0350900000003</v>
      </c>
    </row>
    <row r="42" spans="1:12" ht="12.75">
      <c r="A42" s="196"/>
      <c r="B42" s="196"/>
      <c r="C42" s="196"/>
      <c r="D42" s="196"/>
      <c r="E42" s="196"/>
      <c r="F42" s="196"/>
      <c r="G42" s="196"/>
      <c r="H42" s="196"/>
      <c r="I42" s="196"/>
      <c r="J42" s="196"/>
      <c r="K42" s="198"/>
    </row>
    <row r="43" spans="1:12" ht="12.75">
      <c r="A43" s="196"/>
      <c r="B43" s="196"/>
      <c r="C43" s="196"/>
      <c r="D43" s="196"/>
      <c r="E43" s="196"/>
      <c r="F43" s="196"/>
      <c r="G43" s="196"/>
      <c r="H43" s="196"/>
      <c r="I43" s="196"/>
      <c r="J43" s="196"/>
      <c r="K43" s="198"/>
    </row>
    <row r="44" spans="1:12" ht="12.75">
      <c r="A44" s="196"/>
      <c r="B44" s="196"/>
      <c r="C44" s="196"/>
      <c r="D44" s="196"/>
      <c r="E44" s="196"/>
      <c r="F44" s="196"/>
      <c r="G44" s="196"/>
      <c r="H44" s="196"/>
      <c r="I44" s="196"/>
      <c r="J44" s="196"/>
      <c r="K44" s="198"/>
    </row>
    <row r="45" spans="1:12" ht="12.75">
      <c r="A45" s="196"/>
      <c r="B45" s="111"/>
      <c r="C45" s="111"/>
      <c r="D45" s="111"/>
      <c r="E45" s="111"/>
      <c r="F45" s="111"/>
      <c r="G45" s="111"/>
      <c r="H45" s="111"/>
      <c r="I45" s="111"/>
      <c r="J45" s="111"/>
      <c r="K45" s="198"/>
    </row>
    <row r="46" spans="1:12" ht="12.75">
      <c r="A46" s="196"/>
      <c r="B46" s="111"/>
      <c r="C46" s="111"/>
      <c r="D46" s="111"/>
      <c r="E46" s="111"/>
      <c r="F46" s="111"/>
      <c r="G46" s="111"/>
      <c r="H46" s="111"/>
      <c r="I46" s="111"/>
      <c r="J46" s="111"/>
      <c r="K46" s="198"/>
    </row>
    <row r="47" spans="1:12" ht="12.75">
      <c r="A47" s="196"/>
      <c r="B47" s="111"/>
      <c r="C47" s="111"/>
      <c r="D47" s="111"/>
      <c r="E47" s="111"/>
      <c r="F47" s="111"/>
      <c r="G47" s="111"/>
      <c r="H47" s="111"/>
      <c r="I47" s="111"/>
      <c r="J47" s="111"/>
      <c r="K47" s="198"/>
    </row>
    <row r="48" spans="1:12" ht="12.75">
      <c r="A48" s="196"/>
      <c r="B48" s="111"/>
      <c r="C48" s="111"/>
      <c r="D48" s="111"/>
      <c r="E48" s="111"/>
      <c r="F48" s="111"/>
      <c r="G48" s="111"/>
      <c r="H48" s="111"/>
      <c r="I48" s="111"/>
      <c r="J48" s="111"/>
      <c r="K48" s="198"/>
    </row>
    <row r="49" spans="1:11" ht="12.75">
      <c r="A49" s="196"/>
      <c r="B49" s="111"/>
      <c r="C49" s="111"/>
      <c r="D49" s="111"/>
      <c r="E49" s="111"/>
      <c r="F49" s="111"/>
      <c r="G49" s="111"/>
      <c r="H49" s="111"/>
      <c r="I49" s="111"/>
      <c r="J49" s="111"/>
      <c r="K49" s="198"/>
    </row>
    <row r="50" spans="1:11" ht="12.75">
      <c r="A50" s="196"/>
      <c r="B50" s="197"/>
      <c r="C50" s="197"/>
      <c r="D50" s="197"/>
      <c r="E50" s="197"/>
      <c r="F50" s="197"/>
      <c r="G50" s="197"/>
      <c r="H50" s="197"/>
      <c r="I50" s="197"/>
      <c r="J50" s="197"/>
      <c r="K50" s="198"/>
    </row>
    <row r="51" spans="1:11" ht="12.75">
      <c r="A51" s="196"/>
      <c r="B51" s="197"/>
      <c r="C51" s="197"/>
      <c r="D51" s="197"/>
      <c r="E51" s="197"/>
      <c r="F51" s="197"/>
      <c r="G51" s="197"/>
      <c r="H51" s="197"/>
      <c r="I51" s="197"/>
      <c r="J51" s="197"/>
      <c r="K51" s="198"/>
    </row>
    <row r="52" spans="1:11" ht="12.75">
      <c r="A52" s="196"/>
      <c r="B52" s="200"/>
      <c r="C52" s="198"/>
      <c r="D52" s="198"/>
      <c r="E52" s="198"/>
      <c r="F52" s="198"/>
      <c r="G52" s="197"/>
      <c r="H52" s="197"/>
      <c r="I52" s="197"/>
      <c r="J52" s="197"/>
      <c r="K52" s="198"/>
    </row>
    <row r="53" spans="1:11" ht="12.75">
      <c r="A53" s="201"/>
      <c r="B53" s="202"/>
      <c r="C53" s="202"/>
      <c r="D53" s="202"/>
      <c r="E53" s="202"/>
      <c r="F53" s="202"/>
      <c r="G53" s="202"/>
      <c r="H53" s="197"/>
      <c r="I53" s="197"/>
      <c r="J53" s="197"/>
      <c r="K53" s="198"/>
    </row>
    <row r="54" spans="1:11" ht="12.75">
      <c r="A54" s="201"/>
      <c r="B54" s="202"/>
      <c r="C54" s="202"/>
      <c r="D54" s="202"/>
      <c r="E54" s="202"/>
      <c r="F54" s="202"/>
      <c r="G54" s="202"/>
      <c r="H54" s="197"/>
      <c r="I54" s="197"/>
      <c r="J54" s="197"/>
      <c r="K54" s="197"/>
    </row>
    <row r="55" spans="1:11" ht="12.75">
      <c r="A55" s="201"/>
      <c r="B55" s="202"/>
      <c r="C55" s="202"/>
      <c r="D55" s="202"/>
      <c r="E55" s="202"/>
      <c r="F55" s="202"/>
      <c r="G55" s="202"/>
      <c r="H55" s="197"/>
      <c r="I55" s="197"/>
      <c r="J55" s="197"/>
      <c r="K55" s="197"/>
    </row>
  </sheetData>
  <mergeCells count="3">
    <mergeCell ref="A9:A11"/>
    <mergeCell ref="B9:F9"/>
    <mergeCell ref="G9:K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81"/>
  <sheetViews>
    <sheetView showGridLines="0" view="pageBreakPreview" zoomScale="115" zoomScaleNormal="100" zoomScaleSheetLayoutView="115" zoomScalePageLayoutView="150" workbookViewId="0">
      <selection activeCell="B18" sqref="M18"/>
    </sheetView>
  </sheetViews>
  <sheetFormatPr baseColWidth="10" defaultColWidth="9.33203125" defaultRowHeight="9"/>
  <cols>
    <col min="1" max="1" width="15.33203125" style="578" customWidth="1"/>
    <col min="2" max="2" width="17.6640625" style="578" customWidth="1"/>
    <col min="3" max="3" width="12.83203125" style="578" bestFit="1" customWidth="1"/>
    <col min="4" max="4" width="52" style="578" customWidth="1"/>
    <col min="5" max="5" width="11.33203125" style="578" customWidth="1"/>
    <col min="6" max="6" width="10.5" style="578" customWidth="1"/>
    <col min="7" max="8" width="9.33203125" style="578" customWidth="1"/>
    <col min="9" max="16384" width="9.33203125" style="578"/>
  </cols>
  <sheetData>
    <row r="1" spans="1:9" ht="11.25" customHeight="1">
      <c r="A1" s="576" t="s">
        <v>361</v>
      </c>
      <c r="B1" s="577"/>
      <c r="C1" s="577"/>
      <c r="D1" s="577"/>
      <c r="E1" s="577"/>
      <c r="F1" s="577"/>
    </row>
    <row r="2" spans="1:9" ht="30" customHeight="1">
      <c r="A2" s="579" t="s">
        <v>248</v>
      </c>
      <c r="B2" s="580" t="s">
        <v>362</v>
      </c>
      <c r="C2" s="579" t="s">
        <v>351</v>
      </c>
      <c r="D2" s="581" t="s">
        <v>363</v>
      </c>
      <c r="E2" s="582" t="s">
        <v>364</v>
      </c>
      <c r="F2" s="582" t="s">
        <v>365</v>
      </c>
      <c r="G2" s="583"/>
      <c r="H2" s="584"/>
      <c r="I2" s="585"/>
    </row>
    <row r="3" spans="1:9" ht="71.25" customHeight="1">
      <c r="A3" s="588" t="s">
        <v>459</v>
      </c>
      <c r="B3" s="588" t="s">
        <v>631</v>
      </c>
      <c r="C3" s="586">
        <v>44713.105555555558</v>
      </c>
      <c r="D3" s="587" t="s">
        <v>632</v>
      </c>
      <c r="E3" s="588">
        <v>12.52</v>
      </c>
      <c r="F3" s="588"/>
      <c r="H3" s="583"/>
      <c r="I3" s="585"/>
    </row>
    <row r="4" spans="1:9" ht="63" customHeight="1">
      <c r="A4" s="588" t="s">
        <v>633</v>
      </c>
      <c r="B4" s="588" t="s">
        <v>634</v>
      </c>
      <c r="C4" s="586">
        <v>44713.615277777775</v>
      </c>
      <c r="D4" s="587" t="s">
        <v>635</v>
      </c>
      <c r="E4" s="588">
        <v>1.5</v>
      </c>
      <c r="F4" s="588"/>
      <c r="G4" s="589"/>
      <c r="H4" s="589"/>
      <c r="I4" s="590"/>
    </row>
    <row r="5" spans="1:9" ht="95.25" customHeight="1">
      <c r="A5" s="588" t="s">
        <v>636</v>
      </c>
      <c r="B5" s="588" t="s">
        <v>637</v>
      </c>
      <c r="C5" s="586">
        <v>44717.256249999999</v>
      </c>
      <c r="D5" s="587" t="s">
        <v>638</v>
      </c>
      <c r="E5" s="588">
        <v>325.82</v>
      </c>
      <c r="F5" s="588"/>
      <c r="G5" s="589"/>
      <c r="H5" s="589"/>
      <c r="I5" s="591"/>
    </row>
    <row r="6" spans="1:9" ht="124.5" customHeight="1">
      <c r="A6" s="588" t="s">
        <v>87</v>
      </c>
      <c r="B6" s="588" t="s">
        <v>639</v>
      </c>
      <c r="C6" s="586">
        <v>44717.267361111109</v>
      </c>
      <c r="D6" s="587" t="s">
        <v>640</v>
      </c>
      <c r="E6" s="588">
        <v>83.58</v>
      </c>
      <c r="F6" s="588"/>
      <c r="G6" s="589"/>
      <c r="H6" s="589"/>
      <c r="I6" s="592"/>
    </row>
    <row r="7" spans="1:9" ht="63.75" customHeight="1">
      <c r="A7" s="588" t="s">
        <v>459</v>
      </c>
      <c r="B7" s="588" t="s">
        <v>575</v>
      </c>
      <c r="C7" s="586">
        <v>44718.238194444442</v>
      </c>
      <c r="D7" s="587" t="s">
        <v>641</v>
      </c>
      <c r="E7" s="588">
        <v>10.71</v>
      </c>
      <c r="F7" s="588"/>
      <c r="G7" s="589"/>
      <c r="H7" s="589"/>
      <c r="I7" s="593"/>
    </row>
    <row r="8" spans="1:9" ht="70.5" customHeight="1">
      <c r="A8" s="588" t="s">
        <v>101</v>
      </c>
      <c r="B8" s="588" t="s">
        <v>642</v>
      </c>
      <c r="C8" s="586">
        <v>44719.502083333333</v>
      </c>
      <c r="D8" s="587" t="s">
        <v>643</v>
      </c>
      <c r="E8" s="588">
        <v>0.34</v>
      </c>
      <c r="F8" s="588"/>
      <c r="G8" s="589"/>
      <c r="H8" s="589"/>
      <c r="I8" s="592"/>
    </row>
    <row r="9" spans="1:9" ht="59.45" customHeight="1">
      <c r="A9" s="588" t="s">
        <v>459</v>
      </c>
      <c r="B9" s="588" t="s">
        <v>644</v>
      </c>
      <c r="C9" s="586">
        <v>44719.548611111109</v>
      </c>
      <c r="D9" s="587" t="s">
        <v>645</v>
      </c>
      <c r="E9" s="594">
        <v>15</v>
      </c>
      <c r="F9" s="594"/>
      <c r="G9" s="589"/>
      <c r="H9" s="589"/>
      <c r="I9" s="592"/>
    </row>
    <row r="10" spans="1:9" ht="60" customHeight="1">
      <c r="A10" s="588" t="s">
        <v>646</v>
      </c>
      <c r="B10" s="588" t="s">
        <v>647</v>
      </c>
      <c r="C10" s="586">
        <v>44722.252083333333</v>
      </c>
      <c r="D10" s="587" t="s">
        <v>648</v>
      </c>
      <c r="E10" s="594">
        <v>21</v>
      </c>
      <c r="F10" s="594"/>
      <c r="G10" s="589"/>
      <c r="H10" s="589"/>
      <c r="I10" s="592"/>
    </row>
    <row r="11" spans="1:9" ht="54.75" customHeight="1">
      <c r="A11" s="588" t="s">
        <v>459</v>
      </c>
      <c r="B11" s="588" t="s">
        <v>644</v>
      </c>
      <c r="C11" s="586">
        <v>44722.65</v>
      </c>
      <c r="D11" s="587" t="s">
        <v>649</v>
      </c>
      <c r="E11" s="594">
        <v>13</v>
      </c>
      <c r="F11" s="594"/>
      <c r="G11" s="589"/>
      <c r="H11" s="589"/>
      <c r="I11" s="592"/>
    </row>
    <row r="12" spans="1:9" ht="97.5" customHeight="1">
      <c r="A12" s="801" t="s">
        <v>459</v>
      </c>
      <c r="B12" s="801" t="s">
        <v>650</v>
      </c>
      <c r="C12" s="802">
        <v>44722.707638888889</v>
      </c>
      <c r="D12" s="803" t="s">
        <v>651</v>
      </c>
      <c r="E12" s="804">
        <v>3.34</v>
      </c>
      <c r="F12" s="804"/>
    </row>
    <row r="13" spans="1:9">
      <c r="E13" s="595"/>
      <c r="F13" s="595"/>
    </row>
    <row r="14" spans="1:9">
      <c r="E14" s="595"/>
      <c r="F14" s="595"/>
    </row>
    <row r="15" spans="1:9">
      <c r="E15" s="595"/>
      <c r="F15" s="595"/>
    </row>
    <row r="16" spans="1:9">
      <c r="E16" s="595"/>
      <c r="F16" s="595"/>
    </row>
    <row r="17" spans="5:6">
      <c r="E17" s="595"/>
      <c r="F17" s="595"/>
    </row>
    <row r="18" spans="5:6">
      <c r="E18" s="595"/>
      <c r="F18" s="595"/>
    </row>
    <row r="19" spans="5:6">
      <c r="E19" s="595"/>
      <c r="F19" s="595"/>
    </row>
    <row r="20" spans="5:6">
      <c r="E20" s="595"/>
      <c r="F20" s="595"/>
    </row>
    <row r="21" spans="5:6">
      <c r="E21" s="595"/>
      <c r="F21" s="595"/>
    </row>
    <row r="22" spans="5:6">
      <c r="E22" s="595"/>
      <c r="F22" s="595"/>
    </row>
    <row r="23" spans="5:6">
      <c r="E23" s="595"/>
      <c r="F23" s="595"/>
    </row>
    <row r="24" spans="5:6">
      <c r="E24" s="595"/>
      <c r="F24" s="595"/>
    </row>
    <row r="25" spans="5:6">
      <c r="E25" s="595"/>
      <c r="F25" s="595"/>
    </row>
    <row r="26" spans="5:6">
      <c r="E26" s="595"/>
      <c r="F26" s="595"/>
    </row>
    <row r="27" spans="5:6">
      <c r="E27" s="595"/>
      <c r="F27" s="595"/>
    </row>
    <row r="28" spans="5:6">
      <c r="E28" s="595"/>
      <c r="F28" s="595"/>
    </row>
    <row r="29" spans="5:6">
      <c r="E29" s="595"/>
      <c r="F29" s="595"/>
    </row>
    <row r="30" spans="5:6">
      <c r="E30" s="595"/>
      <c r="F30" s="595"/>
    </row>
    <row r="31" spans="5:6">
      <c r="E31" s="595"/>
      <c r="F31" s="595"/>
    </row>
    <row r="32" spans="5:6">
      <c r="E32" s="595"/>
      <c r="F32" s="595"/>
    </row>
    <row r="33" spans="5:6">
      <c r="E33" s="595"/>
      <c r="F33" s="595"/>
    </row>
    <row r="34" spans="5:6">
      <c r="E34" s="595"/>
      <c r="F34" s="595"/>
    </row>
    <row r="35" spans="5:6">
      <c r="E35" s="595"/>
      <c r="F35" s="595"/>
    </row>
    <row r="36" spans="5:6">
      <c r="E36" s="595"/>
      <c r="F36" s="595"/>
    </row>
    <row r="37" spans="5:6">
      <c r="E37" s="595"/>
      <c r="F37" s="595"/>
    </row>
    <row r="38" spans="5:6">
      <c r="E38" s="595"/>
      <c r="F38" s="595"/>
    </row>
    <row r="39" spans="5:6">
      <c r="E39" s="595"/>
      <c r="F39" s="595"/>
    </row>
    <row r="40" spans="5:6">
      <c r="E40" s="595"/>
      <c r="F40" s="595"/>
    </row>
    <row r="41" spans="5:6">
      <c r="E41" s="595"/>
      <c r="F41" s="595"/>
    </row>
    <row r="42" spans="5:6">
      <c r="E42" s="595"/>
      <c r="F42" s="595"/>
    </row>
    <row r="43" spans="5:6">
      <c r="E43" s="595"/>
      <c r="F43" s="595"/>
    </row>
    <row r="44" spans="5:6">
      <c r="E44" s="595"/>
      <c r="F44" s="595"/>
    </row>
    <row r="45" spans="5:6">
      <c r="E45" s="595"/>
      <c r="F45" s="595"/>
    </row>
    <row r="46" spans="5:6">
      <c r="E46" s="595"/>
      <c r="F46" s="595"/>
    </row>
    <row r="47" spans="5:6">
      <c r="E47" s="595"/>
      <c r="F47" s="595"/>
    </row>
    <row r="48" spans="5:6">
      <c r="E48" s="595"/>
      <c r="F48" s="595"/>
    </row>
    <row r="49" spans="5:6">
      <c r="E49" s="595"/>
      <c r="F49" s="595"/>
    </row>
    <row r="50" spans="5:6">
      <c r="E50" s="595"/>
      <c r="F50" s="595"/>
    </row>
    <row r="51" spans="5:6">
      <c r="E51" s="595"/>
      <c r="F51" s="595"/>
    </row>
    <row r="52" spans="5:6">
      <c r="E52" s="595"/>
      <c r="F52" s="595"/>
    </row>
    <row r="53" spans="5:6">
      <c r="E53" s="595"/>
      <c r="F53" s="595"/>
    </row>
    <row r="54" spans="5:6">
      <c r="E54" s="595"/>
      <c r="F54" s="595"/>
    </row>
    <row r="55" spans="5:6">
      <c r="E55" s="595"/>
      <c r="F55" s="595"/>
    </row>
    <row r="56" spans="5:6">
      <c r="E56" s="595"/>
      <c r="F56" s="595"/>
    </row>
    <row r="57" spans="5:6">
      <c r="E57" s="595"/>
      <c r="F57" s="595"/>
    </row>
    <row r="58" spans="5:6">
      <c r="E58" s="595"/>
      <c r="F58" s="595"/>
    </row>
    <row r="59" spans="5:6">
      <c r="E59" s="595"/>
      <c r="F59" s="595"/>
    </row>
    <row r="60" spans="5:6">
      <c r="E60" s="595"/>
      <c r="F60" s="595"/>
    </row>
    <row r="61" spans="5:6">
      <c r="E61" s="595"/>
      <c r="F61" s="595"/>
    </row>
    <row r="62" spans="5:6">
      <c r="E62" s="595"/>
      <c r="F62" s="595"/>
    </row>
    <row r="63" spans="5:6">
      <c r="E63" s="595"/>
      <c r="F63" s="595"/>
    </row>
    <row r="64" spans="5:6">
      <c r="E64" s="595"/>
      <c r="F64" s="595"/>
    </row>
    <row r="65" spans="5:6">
      <c r="E65" s="595"/>
      <c r="F65" s="595"/>
    </row>
    <row r="66" spans="5:6">
      <c r="E66" s="595"/>
      <c r="F66" s="595"/>
    </row>
    <row r="67" spans="5:6">
      <c r="E67" s="595"/>
      <c r="F67" s="595"/>
    </row>
    <row r="68" spans="5:6">
      <c r="E68" s="595"/>
      <c r="F68" s="595"/>
    </row>
    <row r="69" spans="5:6">
      <c r="E69" s="595"/>
      <c r="F69" s="595"/>
    </row>
    <row r="70" spans="5:6">
      <c r="E70" s="595"/>
      <c r="F70" s="595"/>
    </row>
    <row r="71" spans="5:6">
      <c r="E71" s="595"/>
      <c r="F71" s="595"/>
    </row>
    <row r="72" spans="5:6">
      <c r="E72" s="595"/>
      <c r="F72" s="595"/>
    </row>
    <row r="73" spans="5:6">
      <c r="E73" s="595"/>
      <c r="F73" s="595"/>
    </row>
    <row r="74" spans="5:6">
      <c r="E74" s="595"/>
      <c r="F74" s="595"/>
    </row>
    <row r="75" spans="5:6">
      <c r="E75" s="595"/>
      <c r="F75" s="595"/>
    </row>
    <row r="76" spans="5:6">
      <c r="E76" s="595"/>
      <c r="F76" s="595"/>
    </row>
    <row r="77" spans="5:6">
      <c r="E77" s="595"/>
      <c r="F77" s="595"/>
    </row>
    <row r="78" spans="5:6">
      <c r="E78" s="595"/>
      <c r="F78" s="595"/>
    </row>
    <row r="79" spans="5:6">
      <c r="E79" s="595"/>
      <c r="F79" s="595"/>
    </row>
    <row r="80" spans="5:6">
      <c r="E80" s="595"/>
      <c r="F80" s="595"/>
    </row>
    <row r="81" spans="5:6">
      <c r="E81" s="595"/>
      <c r="F81" s="595"/>
    </row>
  </sheetData>
  <pageMargins left="0.59055118110236227" right="0.39370078740157483" top="0.91779513888888886"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67"/>
  <sheetViews>
    <sheetView showGridLines="0" view="pageBreakPreview" zoomScale="120" zoomScaleNormal="100" zoomScaleSheetLayoutView="120" zoomScalePageLayoutView="145" workbookViewId="0">
      <selection activeCell="B18" sqref="M18"/>
    </sheetView>
  </sheetViews>
  <sheetFormatPr baseColWidth="10" defaultColWidth="9.33203125" defaultRowHeight="9"/>
  <cols>
    <col min="1" max="1" width="16.1640625" style="578" customWidth="1"/>
    <col min="2" max="2" width="19.6640625" style="578" customWidth="1"/>
    <col min="3" max="3" width="12.83203125" style="578" bestFit="1" customWidth="1"/>
    <col min="4" max="4" width="51.83203125" style="578" customWidth="1"/>
    <col min="5" max="5" width="10.83203125" style="578" customWidth="1"/>
    <col min="6" max="6" width="10.1640625" style="578" customWidth="1"/>
    <col min="7" max="8" width="9.33203125" style="578" customWidth="1"/>
    <col min="9" max="16384" width="9.33203125" style="578"/>
  </cols>
  <sheetData>
    <row r="1" spans="1:9" ht="11.25" customHeight="1">
      <c r="A1" s="576" t="s">
        <v>361</v>
      </c>
      <c r="B1" s="577"/>
      <c r="C1" s="577"/>
      <c r="D1" s="577"/>
      <c r="E1" s="577"/>
      <c r="F1" s="577"/>
    </row>
    <row r="2" spans="1:9" ht="30" customHeight="1">
      <c r="A2" s="579" t="s">
        <v>248</v>
      </c>
      <c r="B2" s="580" t="s">
        <v>362</v>
      </c>
      <c r="C2" s="579" t="s">
        <v>351</v>
      </c>
      <c r="D2" s="581" t="s">
        <v>363</v>
      </c>
      <c r="E2" s="582" t="s">
        <v>364</v>
      </c>
      <c r="F2" s="582" t="s">
        <v>365</v>
      </c>
      <c r="G2" s="583"/>
      <c r="H2" s="584"/>
      <c r="I2" s="585"/>
    </row>
    <row r="3" spans="1:9" ht="78.75" customHeight="1">
      <c r="A3" s="588" t="s">
        <v>646</v>
      </c>
      <c r="B3" s="588" t="s">
        <v>647</v>
      </c>
      <c r="C3" s="586">
        <v>44723.356249999997</v>
      </c>
      <c r="D3" s="587" t="s">
        <v>652</v>
      </c>
      <c r="E3" s="588">
        <v>39.67</v>
      </c>
      <c r="F3" s="588"/>
      <c r="G3" s="589"/>
      <c r="H3" s="589"/>
      <c r="I3" s="591"/>
    </row>
    <row r="4" spans="1:9" ht="79.5" customHeight="1">
      <c r="A4" s="588" t="s">
        <v>459</v>
      </c>
      <c r="B4" s="588" t="s">
        <v>653</v>
      </c>
      <c r="C4" s="586">
        <v>44724.25</v>
      </c>
      <c r="D4" s="587" t="s">
        <v>654</v>
      </c>
      <c r="E4" s="588">
        <v>52.71</v>
      </c>
      <c r="F4" s="588"/>
      <c r="G4" s="589"/>
      <c r="H4" s="589"/>
      <c r="I4" s="592"/>
    </row>
    <row r="5" spans="1:9" ht="70.150000000000006" customHeight="1">
      <c r="A5" s="588" t="s">
        <v>655</v>
      </c>
      <c r="B5" s="588" t="s">
        <v>656</v>
      </c>
      <c r="C5" s="586">
        <v>44729.756944444445</v>
      </c>
      <c r="D5" s="587" t="s">
        <v>657</v>
      </c>
      <c r="E5" s="588">
        <v>4.6399999999999997</v>
      </c>
      <c r="F5" s="588"/>
      <c r="G5" s="589"/>
      <c r="H5" s="589"/>
      <c r="I5" s="593"/>
    </row>
    <row r="6" spans="1:9" ht="57.75" customHeight="1">
      <c r="A6" s="588" t="s">
        <v>576</v>
      </c>
      <c r="B6" s="588" t="s">
        <v>658</v>
      </c>
      <c r="C6" s="586">
        <v>44736.150694444441</v>
      </c>
      <c r="D6" s="587" t="s">
        <v>659</v>
      </c>
      <c r="E6" s="588">
        <v>7.39</v>
      </c>
      <c r="F6" s="588"/>
      <c r="G6" s="589"/>
      <c r="H6" s="589"/>
      <c r="I6" s="592"/>
    </row>
    <row r="7" spans="1:9" ht="98.25" customHeight="1">
      <c r="A7" s="588" t="s">
        <v>459</v>
      </c>
      <c r="B7" s="588" t="s">
        <v>575</v>
      </c>
      <c r="C7" s="586">
        <v>44737.211111111108</v>
      </c>
      <c r="D7" s="587" t="s">
        <v>660</v>
      </c>
      <c r="E7" s="588">
        <v>7.71</v>
      </c>
      <c r="F7" s="588"/>
      <c r="G7" s="589"/>
      <c r="H7" s="589"/>
      <c r="I7" s="592"/>
    </row>
    <row r="8" spans="1:9" ht="54" customHeight="1">
      <c r="A8" s="588" t="s">
        <v>633</v>
      </c>
      <c r="B8" s="588" t="s">
        <v>634</v>
      </c>
      <c r="C8" s="586">
        <v>44737.558333333334</v>
      </c>
      <c r="D8" s="587" t="s">
        <v>661</v>
      </c>
      <c r="E8" s="588">
        <v>1.25</v>
      </c>
      <c r="F8" s="588"/>
      <c r="G8" s="589"/>
      <c r="H8" s="589"/>
      <c r="I8" s="592"/>
    </row>
    <row r="9" spans="1:9" ht="75.75" customHeight="1">
      <c r="A9" s="588" t="s">
        <v>459</v>
      </c>
      <c r="B9" s="588" t="s">
        <v>662</v>
      </c>
      <c r="C9" s="586">
        <v>44741.191666666666</v>
      </c>
      <c r="D9" s="587" t="s">
        <v>663</v>
      </c>
      <c r="E9" s="588">
        <v>6.56</v>
      </c>
      <c r="F9" s="588"/>
      <c r="G9" s="589"/>
      <c r="H9" s="589"/>
      <c r="I9" s="592"/>
    </row>
    <row r="10" spans="1:9">
      <c r="E10" s="595"/>
      <c r="F10" s="595"/>
    </row>
    <row r="11" spans="1:9">
      <c r="E11" s="595"/>
      <c r="F11" s="595"/>
    </row>
    <row r="12" spans="1:9">
      <c r="E12" s="595"/>
      <c r="F12" s="595"/>
    </row>
    <row r="13" spans="1:9">
      <c r="E13" s="595"/>
      <c r="F13" s="595"/>
    </row>
    <row r="14" spans="1:9">
      <c r="E14" s="595"/>
      <c r="F14" s="595"/>
    </row>
    <row r="15" spans="1:9">
      <c r="E15" s="595"/>
      <c r="F15" s="595"/>
    </row>
    <row r="16" spans="1:9">
      <c r="E16" s="595"/>
      <c r="F16" s="595"/>
    </row>
    <row r="17" spans="5:6">
      <c r="E17" s="595"/>
      <c r="F17" s="595"/>
    </row>
    <row r="18" spans="5:6">
      <c r="E18" s="595"/>
      <c r="F18" s="595"/>
    </row>
    <row r="19" spans="5:6">
      <c r="E19" s="595"/>
      <c r="F19" s="595"/>
    </row>
    <row r="20" spans="5:6">
      <c r="E20" s="595"/>
      <c r="F20" s="595"/>
    </row>
    <row r="21" spans="5:6">
      <c r="E21" s="595"/>
      <c r="F21" s="595"/>
    </row>
    <row r="22" spans="5:6">
      <c r="E22" s="595"/>
      <c r="F22" s="595"/>
    </row>
    <row r="23" spans="5:6">
      <c r="E23" s="595"/>
      <c r="F23" s="595"/>
    </row>
    <row r="24" spans="5:6">
      <c r="E24" s="595"/>
      <c r="F24" s="595"/>
    </row>
    <row r="25" spans="5:6">
      <c r="E25" s="595"/>
      <c r="F25" s="595"/>
    </row>
    <row r="26" spans="5:6">
      <c r="E26" s="595"/>
      <c r="F26" s="595"/>
    </row>
    <row r="27" spans="5:6">
      <c r="E27" s="595"/>
      <c r="F27" s="595"/>
    </row>
    <row r="28" spans="5:6">
      <c r="E28" s="595"/>
      <c r="F28" s="595"/>
    </row>
    <row r="29" spans="5:6">
      <c r="E29" s="595"/>
      <c r="F29" s="595"/>
    </row>
    <row r="30" spans="5:6">
      <c r="E30" s="595"/>
      <c r="F30" s="595"/>
    </row>
    <row r="31" spans="5:6">
      <c r="E31" s="595"/>
      <c r="F31" s="595"/>
    </row>
    <row r="32" spans="5:6">
      <c r="E32" s="595"/>
      <c r="F32" s="595"/>
    </row>
    <row r="33" spans="5:6">
      <c r="E33" s="595"/>
      <c r="F33" s="595"/>
    </row>
    <row r="34" spans="5:6">
      <c r="E34" s="595"/>
      <c r="F34" s="595"/>
    </row>
    <row r="35" spans="5:6">
      <c r="E35" s="595"/>
      <c r="F35" s="595"/>
    </row>
    <row r="36" spans="5:6">
      <c r="E36" s="595"/>
      <c r="F36" s="595"/>
    </row>
    <row r="37" spans="5:6">
      <c r="E37" s="595"/>
      <c r="F37" s="595"/>
    </row>
    <row r="38" spans="5:6">
      <c r="E38" s="595"/>
      <c r="F38" s="595"/>
    </row>
    <row r="39" spans="5:6">
      <c r="E39" s="595"/>
      <c r="F39" s="595"/>
    </row>
    <row r="40" spans="5:6">
      <c r="E40" s="595"/>
      <c r="F40" s="595"/>
    </row>
    <row r="41" spans="5:6">
      <c r="E41" s="595"/>
      <c r="F41" s="595"/>
    </row>
    <row r="42" spans="5:6">
      <c r="E42" s="595"/>
      <c r="F42" s="595"/>
    </row>
    <row r="43" spans="5:6">
      <c r="E43" s="595"/>
      <c r="F43" s="595"/>
    </row>
    <row r="44" spans="5:6">
      <c r="E44" s="595"/>
      <c r="F44" s="595"/>
    </row>
    <row r="45" spans="5:6">
      <c r="E45" s="595"/>
      <c r="F45" s="595"/>
    </row>
    <row r="46" spans="5:6">
      <c r="E46" s="595"/>
      <c r="F46" s="595"/>
    </row>
    <row r="47" spans="5:6">
      <c r="E47" s="595"/>
      <c r="F47" s="595"/>
    </row>
    <row r="48" spans="5:6">
      <c r="E48" s="595"/>
      <c r="F48" s="595"/>
    </row>
    <row r="49" spans="5:6">
      <c r="E49" s="595"/>
      <c r="F49" s="595"/>
    </row>
    <row r="50" spans="5:6">
      <c r="E50" s="595"/>
      <c r="F50" s="595"/>
    </row>
    <row r="51" spans="5:6">
      <c r="E51" s="595"/>
      <c r="F51" s="595"/>
    </row>
    <row r="52" spans="5:6">
      <c r="E52" s="595"/>
      <c r="F52" s="595"/>
    </row>
    <row r="53" spans="5:6">
      <c r="E53" s="595"/>
      <c r="F53" s="595"/>
    </row>
    <row r="54" spans="5:6">
      <c r="E54" s="595"/>
      <c r="F54" s="595"/>
    </row>
    <row r="55" spans="5:6">
      <c r="E55" s="595"/>
      <c r="F55" s="595"/>
    </row>
    <row r="56" spans="5:6">
      <c r="E56" s="595"/>
      <c r="F56" s="595"/>
    </row>
    <row r="57" spans="5:6">
      <c r="E57" s="595"/>
      <c r="F57" s="595"/>
    </row>
    <row r="58" spans="5:6">
      <c r="E58" s="595"/>
      <c r="F58" s="595"/>
    </row>
    <row r="59" spans="5:6">
      <c r="E59" s="595"/>
      <c r="F59" s="595"/>
    </row>
    <row r="60" spans="5:6">
      <c r="E60" s="595"/>
      <c r="F60" s="595"/>
    </row>
    <row r="61" spans="5:6">
      <c r="E61" s="595"/>
      <c r="F61" s="595"/>
    </row>
    <row r="62" spans="5:6">
      <c r="E62" s="595"/>
      <c r="F62" s="595"/>
    </row>
    <row r="63" spans="5:6">
      <c r="E63" s="595"/>
      <c r="F63" s="595"/>
    </row>
    <row r="64" spans="5:6">
      <c r="E64" s="595"/>
      <c r="F64" s="595"/>
    </row>
    <row r="65" spans="5:6">
      <c r="E65" s="595"/>
      <c r="F65" s="595"/>
    </row>
    <row r="66" spans="5:6">
      <c r="E66" s="595"/>
      <c r="F66" s="595"/>
    </row>
    <row r="67" spans="5:6">
      <c r="E67" s="595"/>
      <c r="F67" s="595"/>
    </row>
  </sheetData>
  <pageMargins left="0.59055118110236227" right="0.39370078740157483" top="0.87801724137931036"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topLeftCell="A15" zoomScaleNormal="100" zoomScaleSheetLayoutView="100" workbookViewId="0">
      <selection activeCell="B18" sqref="M18"/>
    </sheetView>
  </sheetViews>
  <sheetFormatPr baseColWidth="10"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9"/>
  <sheetViews>
    <sheetView showGridLines="0" view="pageBreakPreview" zoomScale="130" zoomScaleNormal="100" zoomScaleSheetLayoutView="130" zoomScalePageLayoutView="85" workbookViewId="0">
      <selection activeCell="A9" sqref="A9"/>
    </sheetView>
  </sheetViews>
  <sheetFormatPr baseColWidth="10" defaultColWidth="9.33203125" defaultRowHeight="11.25"/>
  <cols>
    <col min="1" max="1" width="7.5" style="46" customWidth="1"/>
    <col min="2" max="9" width="9.33203125" style="46"/>
    <col min="10" max="11" width="9.33203125" style="46" customWidth="1"/>
    <col min="12" max="12" width="10.33203125" style="46" customWidth="1"/>
    <col min="13" max="13" width="13.83203125" style="46" customWidth="1"/>
    <col min="14" max="14" width="9.33203125" style="276"/>
    <col min="15" max="16" width="10.1640625" style="276" bestFit="1" customWidth="1"/>
    <col min="17" max="17" width="11.5" style="276" customWidth="1"/>
    <col min="18" max="18" width="9.33203125" style="276"/>
    <col min="19" max="22" width="9.33203125" style="695"/>
    <col min="23" max="23" width="9.33203125" style="296"/>
    <col min="24" max="16384" width="9.33203125" style="46"/>
  </cols>
  <sheetData>
    <row r="1" spans="1:17" ht="27.75" customHeight="1">
      <c r="A1" s="826" t="s">
        <v>22</v>
      </c>
      <c r="B1" s="826"/>
      <c r="C1" s="826"/>
      <c r="D1" s="826"/>
      <c r="E1" s="826"/>
      <c r="F1" s="826"/>
      <c r="G1" s="826"/>
      <c r="H1" s="826"/>
      <c r="I1" s="826"/>
      <c r="J1" s="826"/>
      <c r="K1" s="826"/>
      <c r="L1" s="826"/>
      <c r="M1" s="826"/>
      <c r="N1" s="702"/>
      <c r="O1" s="702"/>
      <c r="P1" s="702"/>
      <c r="Q1" s="702"/>
    </row>
    <row r="2" spans="1:17" ht="11.25" customHeight="1">
      <c r="A2" s="41"/>
      <c r="B2" s="40"/>
      <c r="C2" s="65"/>
      <c r="D2" s="65"/>
      <c r="E2" s="65"/>
      <c r="F2" s="65"/>
      <c r="G2" s="65"/>
      <c r="H2" s="65"/>
      <c r="I2" s="65"/>
      <c r="J2" s="65"/>
      <c r="K2" s="40"/>
      <c r="L2" s="40"/>
      <c r="M2" s="40"/>
      <c r="N2" s="702"/>
      <c r="O2" s="702"/>
      <c r="P2" s="702"/>
      <c r="Q2" s="702"/>
    </row>
    <row r="3" spans="1:17" ht="21.75" customHeight="1">
      <c r="A3" s="40"/>
      <c r="B3" s="42"/>
      <c r="C3" s="832" t="str">
        <f>+UPPER(Q4)&amp;" "&amp;Q5</f>
        <v>JUNIO 2022</v>
      </c>
      <c r="D3" s="826"/>
      <c r="E3" s="826"/>
      <c r="F3" s="826"/>
      <c r="G3" s="826"/>
      <c r="H3" s="826"/>
      <c r="I3" s="826"/>
      <c r="J3" s="826"/>
      <c r="K3" s="40"/>
      <c r="L3" s="40"/>
      <c r="M3" s="40"/>
      <c r="N3" s="702"/>
      <c r="O3" s="702"/>
      <c r="P3" s="702"/>
      <c r="Q3" s="702"/>
    </row>
    <row r="4" spans="1:17" ht="11.25" customHeight="1">
      <c r="A4" s="40"/>
      <c r="B4" s="42"/>
      <c r="C4" s="40"/>
      <c r="D4" s="40"/>
      <c r="E4" s="40"/>
      <c r="F4" s="40"/>
      <c r="G4" s="40"/>
      <c r="H4" s="40"/>
      <c r="I4" s="40"/>
      <c r="J4" s="40"/>
      <c r="K4" s="40"/>
      <c r="L4" s="40"/>
      <c r="M4" s="40"/>
      <c r="N4" s="703"/>
      <c r="O4" s="703"/>
      <c r="P4" s="702" t="s">
        <v>210</v>
      </c>
      <c r="Q4" s="704" t="s">
        <v>582</v>
      </c>
    </row>
    <row r="5" spans="1:17" ht="11.25" customHeight="1">
      <c r="A5" s="47"/>
      <c r="B5" s="48"/>
      <c r="C5" s="49"/>
      <c r="D5" s="49"/>
      <c r="E5" s="49"/>
      <c r="F5" s="49"/>
      <c r="G5" s="49"/>
      <c r="H5" s="49"/>
      <c r="I5" s="49"/>
      <c r="J5" s="49"/>
      <c r="K5" s="49"/>
      <c r="L5" s="49"/>
      <c r="M5" s="40"/>
      <c r="N5" s="703"/>
      <c r="O5" s="703"/>
      <c r="P5" s="702" t="s">
        <v>211</v>
      </c>
      <c r="Q5" s="703">
        <v>2022</v>
      </c>
    </row>
    <row r="6" spans="1:17" ht="17.25" customHeight="1">
      <c r="A6" s="60" t="s">
        <v>396</v>
      </c>
      <c r="B6" s="40"/>
      <c r="C6" s="40"/>
      <c r="D6" s="40"/>
      <c r="E6" s="40"/>
      <c r="F6" s="40"/>
      <c r="G6" s="40"/>
      <c r="H6" s="40"/>
      <c r="I6" s="40"/>
      <c r="J6" s="40"/>
      <c r="K6" s="40"/>
      <c r="L6" s="40"/>
      <c r="M6" s="40"/>
      <c r="N6" s="702"/>
      <c r="O6" s="702"/>
      <c r="P6" s="702"/>
      <c r="Q6" s="705">
        <v>44713</v>
      </c>
    </row>
    <row r="7" spans="1:17" ht="11.25" customHeight="1">
      <c r="A7" s="40"/>
      <c r="B7" s="40"/>
      <c r="C7" s="40"/>
      <c r="D7" s="40"/>
      <c r="E7" s="40"/>
      <c r="F7" s="40"/>
      <c r="G7" s="40"/>
      <c r="H7" s="40"/>
      <c r="I7" s="40"/>
      <c r="J7" s="40"/>
      <c r="K7" s="40"/>
      <c r="L7" s="40"/>
      <c r="M7" s="40"/>
      <c r="N7" s="702"/>
      <c r="O7" s="702"/>
      <c r="P7" s="702"/>
      <c r="Q7" s="702">
        <v>30</v>
      </c>
    </row>
    <row r="8" spans="1:17" ht="11.25" customHeight="1">
      <c r="A8" s="43"/>
      <c r="B8" s="43"/>
      <c r="C8" s="43"/>
      <c r="D8" s="43"/>
      <c r="E8" s="43"/>
      <c r="F8" s="43"/>
      <c r="G8" s="43"/>
      <c r="H8" s="43"/>
      <c r="I8" s="43"/>
      <c r="J8" s="43"/>
      <c r="K8" s="43"/>
      <c r="L8" s="43"/>
      <c r="M8" s="43"/>
      <c r="N8" s="706"/>
      <c r="O8" s="706"/>
      <c r="P8" s="706"/>
      <c r="Q8" s="706"/>
    </row>
    <row r="9" spans="1:17" ht="14.25" customHeight="1">
      <c r="A9" s="40" t="str">
        <f>"1.1. Producción de energía eléctrica en "&amp;LOWER(Q4)&amp;" "&amp;Q5&amp;" en comparación al mismo mes del año anterior"</f>
        <v>1.1. Producción de energía eléctrica en junio 2022 en comparación al mismo mes del año anterior</v>
      </c>
      <c r="B9" s="40"/>
      <c r="C9" s="40"/>
      <c r="D9" s="40"/>
      <c r="E9" s="40"/>
      <c r="F9" s="40"/>
      <c r="G9" s="40"/>
      <c r="H9" s="40"/>
      <c r="I9" s="40"/>
      <c r="J9" s="40"/>
      <c r="K9" s="40"/>
      <c r="L9" s="40"/>
      <c r="M9" s="40"/>
      <c r="N9" s="702"/>
      <c r="O9" s="702"/>
      <c r="P9" s="702"/>
      <c r="Q9" s="702"/>
    </row>
    <row r="10" spans="1:17" ht="11.25" customHeight="1">
      <c r="A10" s="47"/>
      <c r="B10" s="44"/>
      <c r="C10" s="44"/>
      <c r="D10" s="44"/>
      <c r="E10" s="44"/>
      <c r="F10" s="44"/>
      <c r="G10" s="44"/>
      <c r="H10" s="44"/>
      <c r="I10" s="44"/>
      <c r="J10" s="44"/>
      <c r="K10" s="44"/>
      <c r="L10" s="44"/>
      <c r="M10" s="44"/>
      <c r="N10" s="703"/>
      <c r="O10" s="703"/>
      <c r="P10" s="703"/>
      <c r="Q10" s="703"/>
    </row>
    <row r="11" spans="1:17" ht="11.25" customHeight="1">
      <c r="A11" s="50"/>
      <c r="B11" s="50"/>
      <c r="C11" s="50"/>
      <c r="D11" s="50"/>
      <c r="E11" s="50"/>
      <c r="F11" s="50"/>
      <c r="G11" s="50"/>
      <c r="H11" s="50"/>
      <c r="I11" s="50"/>
      <c r="J11" s="50"/>
      <c r="K11" s="50"/>
      <c r="L11" s="50"/>
      <c r="M11" s="50"/>
      <c r="N11" s="707"/>
      <c r="O11" s="707"/>
      <c r="P11" s="707"/>
      <c r="Q11" s="707"/>
    </row>
    <row r="12" spans="1:17" ht="27" customHeight="1">
      <c r="A12" s="62" t="s">
        <v>23</v>
      </c>
      <c r="B12" s="831" t="s">
        <v>578</v>
      </c>
      <c r="C12" s="831"/>
      <c r="D12" s="831"/>
      <c r="E12" s="831"/>
      <c r="F12" s="831"/>
      <c r="G12" s="831"/>
      <c r="H12" s="831"/>
      <c r="I12" s="831"/>
      <c r="J12" s="831"/>
      <c r="K12" s="831"/>
      <c r="L12" s="831"/>
      <c r="M12" s="831"/>
      <c r="N12" s="703"/>
      <c r="O12" s="703"/>
      <c r="P12" s="703"/>
      <c r="Q12" s="703"/>
    </row>
    <row r="13" spans="1:17" ht="12.75" customHeight="1">
      <c r="A13" s="40"/>
      <c r="B13" s="64"/>
      <c r="C13" s="64"/>
      <c r="D13" s="64"/>
      <c r="E13" s="64"/>
      <c r="F13" s="64"/>
      <c r="G13" s="64"/>
      <c r="H13" s="64"/>
      <c r="I13" s="64"/>
      <c r="J13" s="64"/>
      <c r="K13" s="64"/>
      <c r="L13" s="64"/>
      <c r="M13" s="44"/>
      <c r="N13" s="703"/>
      <c r="O13" s="703"/>
      <c r="P13" s="703"/>
      <c r="Q13" s="703"/>
    </row>
    <row r="14" spans="1:17" ht="28.5" customHeight="1">
      <c r="A14" s="62" t="s">
        <v>23</v>
      </c>
      <c r="B14" s="831" t="s">
        <v>579</v>
      </c>
      <c r="C14" s="831"/>
      <c r="D14" s="831"/>
      <c r="E14" s="831"/>
      <c r="F14" s="831"/>
      <c r="G14" s="831"/>
      <c r="H14" s="831"/>
      <c r="I14" s="831"/>
      <c r="J14" s="831"/>
      <c r="K14" s="831"/>
      <c r="L14" s="831"/>
      <c r="M14" s="831"/>
      <c r="N14" s="703"/>
      <c r="O14" s="703"/>
      <c r="P14" s="703"/>
      <c r="Q14" s="703"/>
    </row>
    <row r="15" spans="1:17" ht="15" customHeight="1">
      <c r="A15" s="63"/>
      <c r="B15" s="64"/>
      <c r="C15" s="64"/>
      <c r="D15" s="64"/>
      <c r="E15" s="64"/>
      <c r="F15" s="64"/>
      <c r="G15" s="64"/>
      <c r="H15" s="64"/>
      <c r="I15" s="64"/>
      <c r="J15" s="64"/>
      <c r="K15" s="64"/>
      <c r="L15" s="64"/>
      <c r="M15" s="44"/>
      <c r="N15" s="703"/>
      <c r="O15" s="703"/>
      <c r="P15" s="703"/>
      <c r="Q15" s="703"/>
    </row>
    <row r="16" spans="1:17" ht="59.25" customHeight="1">
      <c r="A16" s="62" t="s">
        <v>23</v>
      </c>
      <c r="B16" s="831" t="s">
        <v>580</v>
      </c>
      <c r="C16" s="831"/>
      <c r="D16" s="831"/>
      <c r="E16" s="831"/>
      <c r="F16" s="831"/>
      <c r="G16" s="831"/>
      <c r="H16" s="831"/>
      <c r="I16" s="831"/>
      <c r="J16" s="831"/>
      <c r="K16" s="831"/>
      <c r="L16" s="831"/>
      <c r="M16" s="831"/>
      <c r="N16" s="703"/>
      <c r="O16" s="703"/>
      <c r="P16" s="703"/>
      <c r="Q16" s="703"/>
    </row>
    <row r="17" spans="1:18" ht="17.25" customHeight="1">
      <c r="A17" s="44"/>
      <c r="B17" s="44"/>
      <c r="C17" s="44"/>
      <c r="D17" s="44"/>
      <c r="E17" s="44"/>
      <c r="F17" s="44"/>
      <c r="G17" s="44"/>
      <c r="H17" s="44"/>
      <c r="I17" s="44"/>
      <c r="J17" s="44"/>
      <c r="K17" s="44"/>
      <c r="L17" s="44"/>
      <c r="M17" s="44"/>
      <c r="N17" s="703"/>
      <c r="O17" s="703"/>
      <c r="P17" s="703"/>
      <c r="Q17" s="703"/>
    </row>
    <row r="18" spans="1:18" ht="25.5" customHeight="1">
      <c r="A18" s="61" t="s">
        <v>23</v>
      </c>
      <c r="B18" s="830" t="s">
        <v>581</v>
      </c>
      <c r="C18" s="830"/>
      <c r="D18" s="830"/>
      <c r="E18" s="830"/>
      <c r="F18" s="830"/>
      <c r="G18" s="830"/>
      <c r="H18" s="830"/>
      <c r="I18" s="830"/>
      <c r="J18" s="830"/>
      <c r="K18" s="830"/>
      <c r="L18" s="830"/>
      <c r="M18" s="830"/>
      <c r="N18" s="703"/>
      <c r="O18" s="703"/>
      <c r="P18" s="703"/>
      <c r="Q18" s="703"/>
    </row>
    <row r="19" spans="1:18" ht="11.25" customHeight="1">
      <c r="A19" s="44"/>
      <c r="B19" s="44"/>
      <c r="C19" s="44"/>
      <c r="D19" s="44"/>
      <c r="E19" s="44"/>
      <c r="F19" s="44"/>
      <c r="G19" s="44"/>
      <c r="H19" s="44"/>
      <c r="I19" s="44"/>
      <c r="J19" s="44"/>
      <c r="K19" s="44"/>
      <c r="L19" s="44"/>
      <c r="M19" s="44"/>
      <c r="N19" s="703"/>
      <c r="O19" s="703"/>
      <c r="P19" s="703"/>
      <c r="Q19" s="703"/>
    </row>
    <row r="20" spans="1:18" ht="15.75" customHeight="1">
      <c r="A20" s="44"/>
      <c r="B20" s="44"/>
      <c r="C20" s="833" t="str">
        <f>+UPPER(Q4)&amp;" "&amp;Q5</f>
        <v>JUNIO 2022</v>
      </c>
      <c r="D20" s="833"/>
      <c r="E20" s="833"/>
      <c r="F20" s="40"/>
      <c r="G20" s="40"/>
      <c r="H20" s="40"/>
      <c r="I20" s="833" t="str">
        <f>+UPPER(Q4)&amp;" "&amp;Q5-1</f>
        <v>JUNIO 2021</v>
      </c>
      <c r="J20" s="833"/>
      <c r="K20" s="833"/>
      <c r="L20" s="833"/>
      <c r="M20" s="44"/>
      <c r="Q20" s="703"/>
    </row>
    <row r="21" spans="1:18" ht="11.25" customHeight="1">
      <c r="A21" s="44"/>
      <c r="B21" s="44"/>
      <c r="C21" s="44"/>
      <c r="D21" s="44"/>
      <c r="E21" s="44"/>
      <c r="F21" s="44"/>
      <c r="G21" s="44"/>
      <c r="H21" s="44"/>
      <c r="I21" s="44"/>
      <c r="J21" s="44"/>
      <c r="K21" s="44"/>
      <c r="L21" s="44"/>
      <c r="M21" s="44"/>
      <c r="Q21" s="703"/>
    </row>
    <row r="22" spans="1:18" ht="11.25" customHeight="1">
      <c r="A22" s="51"/>
      <c r="B22" s="52"/>
      <c r="C22" s="52"/>
      <c r="D22" s="52"/>
      <c r="E22" s="52"/>
      <c r="F22" s="52"/>
      <c r="G22" s="52"/>
      <c r="H22" s="52"/>
      <c r="I22" s="52"/>
      <c r="J22" s="52"/>
      <c r="K22" s="52"/>
      <c r="L22" s="52"/>
      <c r="M22" s="52"/>
      <c r="N22" s="708" t="s">
        <v>31</v>
      </c>
      <c r="O22" s="709"/>
      <c r="P22" s="709"/>
    </row>
    <row r="23" spans="1:18" ht="11.25" customHeight="1">
      <c r="A23" s="51"/>
      <c r="B23" s="52"/>
      <c r="C23" s="52"/>
      <c r="D23" s="52"/>
      <c r="E23" s="52"/>
      <c r="F23" s="52"/>
      <c r="G23" s="52"/>
      <c r="H23" s="52"/>
      <c r="I23" s="52"/>
      <c r="J23" s="52"/>
      <c r="K23" s="52"/>
      <c r="L23" s="52"/>
      <c r="M23" s="52"/>
      <c r="N23" s="708" t="s">
        <v>24</v>
      </c>
      <c r="O23" s="710">
        <v>2201.56439611</v>
      </c>
      <c r="P23" s="710">
        <v>2161.5951565824998</v>
      </c>
      <c r="Q23" s="711"/>
    </row>
    <row r="24" spans="1:18" ht="11.25" customHeight="1">
      <c r="A24" s="44"/>
      <c r="B24" s="44"/>
      <c r="C24" s="44"/>
      <c r="D24" s="44"/>
      <c r="E24" s="43"/>
      <c r="F24" s="44"/>
      <c r="G24" s="44"/>
      <c r="H24" s="44"/>
      <c r="I24" s="44"/>
      <c r="J24" s="44"/>
      <c r="K24" s="44"/>
      <c r="L24" s="44"/>
      <c r="M24" s="43"/>
      <c r="N24" s="711" t="s">
        <v>25</v>
      </c>
      <c r="O24" s="712">
        <v>2097.4214294675003</v>
      </c>
      <c r="P24" s="712">
        <v>2050.4336159999998</v>
      </c>
      <c r="Q24" s="713"/>
      <c r="R24" s="713"/>
    </row>
    <row r="25" spans="1:18" ht="11.25" customHeight="1">
      <c r="A25" s="44"/>
      <c r="B25" s="44"/>
      <c r="C25" s="44"/>
      <c r="D25" s="44"/>
      <c r="E25" s="44"/>
      <c r="F25" s="44"/>
      <c r="G25" s="44"/>
      <c r="H25" s="44"/>
      <c r="I25" s="44"/>
      <c r="J25" s="53"/>
      <c r="K25" s="53"/>
      <c r="L25" s="44"/>
      <c r="M25" s="44"/>
      <c r="N25" s="711" t="s">
        <v>26</v>
      </c>
      <c r="O25" s="712">
        <v>0</v>
      </c>
      <c r="P25" s="712">
        <v>0</v>
      </c>
      <c r="Q25" s="708"/>
    </row>
    <row r="26" spans="1:18" ht="11.25" customHeight="1">
      <c r="A26" s="44"/>
      <c r="B26" s="44"/>
      <c r="C26" s="44"/>
      <c r="D26" s="44"/>
      <c r="E26" s="44"/>
      <c r="F26" s="44"/>
      <c r="G26" s="44"/>
      <c r="H26" s="44"/>
      <c r="I26" s="44"/>
      <c r="J26" s="53"/>
      <c r="K26" s="53"/>
      <c r="L26" s="44"/>
      <c r="M26" s="44"/>
      <c r="N26" s="708" t="s">
        <v>27</v>
      </c>
      <c r="O26" s="710">
        <v>5.8887236250000017</v>
      </c>
      <c r="P26" s="710">
        <v>4.0630857574999997</v>
      </c>
      <c r="Q26" s="708"/>
    </row>
    <row r="27" spans="1:18" ht="11.25" customHeight="1">
      <c r="A27" s="44"/>
      <c r="B27" s="44"/>
      <c r="C27" s="44"/>
      <c r="D27" s="44"/>
      <c r="E27" s="44"/>
      <c r="F27" s="44"/>
      <c r="G27" s="44"/>
      <c r="H27" s="44"/>
      <c r="I27" s="44"/>
      <c r="J27" s="53"/>
      <c r="K27" s="44"/>
      <c r="L27" s="44"/>
      <c r="M27" s="44"/>
      <c r="N27" s="708" t="s">
        <v>28</v>
      </c>
      <c r="O27" s="710">
        <v>28.783227047499999</v>
      </c>
      <c r="P27" s="710">
        <v>33.762957344999997</v>
      </c>
      <c r="Q27" s="708"/>
    </row>
    <row r="28" spans="1:18" ht="11.25" customHeight="1">
      <c r="A28" s="44"/>
      <c r="B28" s="44"/>
      <c r="C28" s="53"/>
      <c r="D28" s="53"/>
      <c r="E28" s="53"/>
      <c r="F28" s="53"/>
      <c r="G28" s="53"/>
      <c r="H28" s="53"/>
      <c r="I28" s="53"/>
      <c r="J28" s="53"/>
      <c r="K28" s="53"/>
      <c r="L28" s="44"/>
      <c r="M28" s="44"/>
      <c r="N28" s="708" t="s">
        <v>29</v>
      </c>
      <c r="O28" s="710">
        <v>155.79105628249997</v>
      </c>
      <c r="P28" s="710">
        <v>134.0867127425</v>
      </c>
      <c r="Q28" s="708"/>
    </row>
    <row r="29" spans="1:18" ht="11.25" customHeight="1">
      <c r="A29" s="44"/>
      <c r="B29" s="44"/>
      <c r="C29" s="53"/>
      <c r="D29" s="53"/>
      <c r="E29" s="53"/>
      <c r="F29" s="53"/>
      <c r="G29" s="53"/>
      <c r="H29" s="53"/>
      <c r="I29" s="53"/>
      <c r="J29" s="53"/>
      <c r="K29" s="53"/>
      <c r="L29" s="44"/>
      <c r="M29" s="44"/>
      <c r="N29" s="708" t="s">
        <v>30</v>
      </c>
      <c r="O29" s="710">
        <v>55.017436232500003</v>
      </c>
      <c r="P29" s="710">
        <v>54.256861282500005</v>
      </c>
      <c r="Q29" s="708"/>
    </row>
    <row r="30" spans="1:18" ht="11.25" customHeight="1">
      <c r="A30" s="44"/>
      <c r="B30" s="44"/>
      <c r="C30" s="53"/>
      <c r="D30" s="53"/>
      <c r="E30" s="53"/>
      <c r="F30" s="53"/>
      <c r="G30" s="53"/>
      <c r="H30" s="53"/>
      <c r="I30" s="53"/>
      <c r="J30" s="53"/>
      <c r="K30" s="53"/>
      <c r="L30" s="44"/>
      <c r="M30" s="44"/>
      <c r="N30" s="708"/>
      <c r="O30" s="708"/>
      <c r="P30" s="708"/>
      <c r="Q30" s="708"/>
    </row>
    <row r="31" spans="1:18" ht="11.25" customHeight="1">
      <c r="A31" s="44"/>
      <c r="B31" s="44"/>
      <c r="C31" s="53"/>
      <c r="D31" s="53"/>
      <c r="E31" s="53"/>
      <c r="F31" s="53"/>
      <c r="G31" s="53"/>
      <c r="H31" s="53"/>
      <c r="I31" s="53"/>
      <c r="J31" s="53"/>
      <c r="K31" s="53"/>
      <c r="L31" s="44"/>
      <c r="M31" s="44"/>
      <c r="O31" s="644"/>
      <c r="P31" s="644"/>
      <c r="Q31" s="714"/>
    </row>
    <row r="32" spans="1:18" ht="11.25" customHeight="1">
      <c r="A32" s="44"/>
      <c r="B32" s="44"/>
      <c r="C32" s="53"/>
      <c r="D32" s="53"/>
      <c r="E32" s="53"/>
      <c r="F32" s="53"/>
      <c r="G32" s="53"/>
      <c r="H32" s="53"/>
      <c r="I32" s="53"/>
      <c r="J32" s="53"/>
      <c r="K32" s="53"/>
      <c r="L32" s="44"/>
      <c r="M32" s="44"/>
      <c r="Q32" s="703"/>
    </row>
    <row r="33" spans="1:17" ht="11.25" customHeight="1">
      <c r="A33" s="44"/>
      <c r="B33" s="44"/>
      <c r="C33" s="53"/>
      <c r="D33" s="53"/>
      <c r="E33" s="53"/>
      <c r="F33" s="53"/>
      <c r="G33" s="53"/>
      <c r="H33" s="53"/>
      <c r="I33" s="53"/>
      <c r="J33" s="53"/>
      <c r="K33" s="53"/>
      <c r="L33" s="44"/>
      <c r="M33" s="44"/>
      <c r="Q33" s="703"/>
    </row>
    <row r="34" spans="1:17" ht="11.25" customHeight="1">
      <c r="A34" s="44"/>
      <c r="B34" s="44"/>
      <c r="C34" s="53"/>
      <c r="D34" s="53"/>
      <c r="E34" s="53"/>
      <c r="F34" s="53"/>
      <c r="G34" s="53"/>
      <c r="H34" s="53"/>
      <c r="I34" s="53"/>
      <c r="J34" s="53"/>
      <c r="K34" s="53"/>
      <c r="L34" s="44"/>
      <c r="M34" s="44"/>
      <c r="Q34" s="703"/>
    </row>
    <row r="35" spans="1:17" ht="11.25" customHeight="1">
      <c r="A35" s="54"/>
      <c r="B35" s="54"/>
      <c r="C35" s="55"/>
      <c r="D35" s="55"/>
      <c r="E35" s="55"/>
      <c r="F35" s="55"/>
      <c r="G35" s="55"/>
      <c r="H35" s="55"/>
      <c r="I35" s="55"/>
      <c r="J35" s="54"/>
      <c r="K35" s="54"/>
      <c r="L35" s="54"/>
      <c r="M35" s="54"/>
      <c r="Q35" s="703"/>
    </row>
    <row r="36" spans="1:17" ht="11.25" customHeight="1">
      <c r="A36" s="54"/>
      <c r="B36" s="54"/>
      <c r="C36" s="55"/>
      <c r="D36" s="55"/>
      <c r="E36" s="55"/>
      <c r="F36" s="55"/>
      <c r="G36" s="55"/>
      <c r="H36" s="55"/>
      <c r="I36" s="55"/>
      <c r="J36" s="54"/>
      <c r="K36" s="54"/>
      <c r="L36" s="54"/>
      <c r="M36" s="54"/>
      <c r="Q36" s="703"/>
    </row>
    <row r="37" spans="1:17" ht="11.25" customHeight="1">
      <c r="A37" s="54"/>
      <c r="B37" s="54"/>
      <c r="C37" s="55"/>
      <c r="D37" s="55"/>
      <c r="E37" s="55"/>
      <c r="F37" s="55"/>
      <c r="G37" s="55"/>
      <c r="H37" s="55"/>
      <c r="I37" s="55"/>
      <c r="J37" s="54"/>
      <c r="K37" s="54"/>
      <c r="L37" s="54"/>
      <c r="M37" s="54"/>
      <c r="N37" s="703"/>
      <c r="O37" s="703"/>
      <c r="P37" s="703"/>
      <c r="Q37" s="703"/>
    </row>
    <row r="38" spans="1:17" ht="11.25" customHeight="1">
      <c r="A38" s="54"/>
      <c r="B38" s="54"/>
      <c r="C38" s="55"/>
      <c r="D38" s="55"/>
      <c r="E38" s="55"/>
      <c r="F38" s="55"/>
      <c r="G38" s="55"/>
      <c r="H38" s="55"/>
      <c r="I38" s="55"/>
      <c r="J38" s="54"/>
      <c r="K38" s="54"/>
      <c r="L38" s="54"/>
      <c r="M38" s="54"/>
      <c r="N38" s="703"/>
      <c r="O38" s="703"/>
      <c r="P38" s="703"/>
      <c r="Q38" s="703"/>
    </row>
    <row r="39" spans="1:17" ht="11.25" customHeight="1">
      <c r="A39" s="54"/>
      <c r="B39" s="54"/>
      <c r="C39" s="55"/>
      <c r="D39" s="55"/>
      <c r="E39" s="55"/>
      <c r="F39" s="55"/>
      <c r="G39" s="55"/>
      <c r="H39" s="55"/>
      <c r="I39" s="55"/>
      <c r="J39" s="54"/>
      <c r="K39" s="54"/>
      <c r="L39" s="54"/>
      <c r="M39" s="54"/>
      <c r="N39" s="703"/>
      <c r="O39" s="703"/>
      <c r="P39" s="703"/>
      <c r="Q39" s="703"/>
    </row>
    <row r="40" spans="1:17" ht="11.25" customHeight="1">
      <c r="A40" s="54"/>
      <c r="B40" s="54"/>
      <c r="C40" s="55"/>
      <c r="D40" s="55"/>
      <c r="E40" s="55"/>
      <c r="F40" s="55"/>
      <c r="G40" s="55"/>
      <c r="H40" s="55"/>
      <c r="I40" s="55"/>
      <c r="J40" s="54"/>
      <c r="K40" s="54"/>
      <c r="L40" s="54"/>
      <c r="M40" s="54"/>
      <c r="N40" s="703"/>
      <c r="O40" s="703"/>
      <c r="P40" s="703"/>
      <c r="Q40" s="703"/>
    </row>
    <row r="41" spans="1:17" ht="11.25" customHeight="1">
      <c r="A41" s="54"/>
      <c r="B41" s="54"/>
      <c r="C41" s="54"/>
      <c r="D41" s="55"/>
      <c r="E41" s="55"/>
      <c r="F41" s="55"/>
      <c r="G41" s="55"/>
      <c r="H41" s="54"/>
      <c r="I41" s="54"/>
      <c r="J41" s="54"/>
      <c r="K41" s="54"/>
      <c r="L41" s="54"/>
      <c r="M41" s="54"/>
      <c r="N41" s="703"/>
      <c r="O41" s="703"/>
      <c r="P41" s="703"/>
      <c r="Q41" s="703"/>
    </row>
    <row r="42" spans="1:17" ht="11.25" customHeight="1">
      <c r="A42" s="54"/>
      <c r="B42" s="54"/>
      <c r="C42" s="55"/>
      <c r="D42" s="55"/>
      <c r="E42" s="55"/>
      <c r="F42" s="55"/>
      <c r="G42" s="55"/>
      <c r="H42" s="55"/>
      <c r="I42" s="55"/>
      <c r="J42" s="54"/>
      <c r="K42" s="54"/>
      <c r="L42" s="54"/>
      <c r="M42" s="54"/>
      <c r="N42" s="703"/>
      <c r="O42" s="703"/>
      <c r="P42" s="703"/>
      <c r="Q42" s="703"/>
    </row>
    <row r="43" spans="1:17" ht="11.25" customHeight="1">
      <c r="A43" s="54"/>
      <c r="B43" s="54"/>
      <c r="C43" s="55"/>
      <c r="D43" s="55"/>
      <c r="E43" s="55"/>
      <c r="F43" s="55"/>
      <c r="G43" s="55"/>
      <c r="H43" s="55"/>
      <c r="I43" s="55"/>
      <c r="J43" s="54"/>
      <c r="K43" s="54"/>
      <c r="L43" s="54"/>
      <c r="M43" s="54"/>
      <c r="N43" s="703"/>
      <c r="O43" s="703"/>
      <c r="P43" s="703"/>
      <c r="Q43" s="703"/>
    </row>
    <row r="44" spans="1:17" ht="11.25" customHeight="1">
      <c r="A44" s="54"/>
      <c r="B44" s="54"/>
      <c r="C44" s="55"/>
      <c r="D44" s="55"/>
      <c r="E44" s="55"/>
      <c r="F44" s="55"/>
      <c r="G44" s="55"/>
      <c r="H44" s="55"/>
      <c r="I44" s="55"/>
      <c r="J44" s="54"/>
      <c r="K44" s="54"/>
      <c r="L44" s="54"/>
      <c r="M44" s="54"/>
      <c r="N44" s="703"/>
      <c r="O44" s="703"/>
      <c r="P44" s="703"/>
      <c r="Q44" s="703"/>
    </row>
    <row r="45" spans="1:17" ht="11.25" customHeight="1">
      <c r="A45" s="54"/>
      <c r="B45" s="54"/>
      <c r="C45" s="55"/>
      <c r="D45" s="55"/>
      <c r="E45" s="55"/>
      <c r="F45" s="55"/>
      <c r="G45" s="55"/>
      <c r="H45" s="55"/>
      <c r="I45" s="55"/>
      <c r="J45" s="54"/>
      <c r="K45" s="54"/>
      <c r="L45" s="54"/>
      <c r="M45" s="54"/>
      <c r="N45" s="703"/>
      <c r="O45" s="703"/>
      <c r="P45" s="703"/>
      <c r="Q45" s="703"/>
    </row>
    <row r="46" spans="1:17" ht="11.25" customHeight="1">
      <c r="A46" s="54"/>
      <c r="B46" s="54"/>
      <c r="C46" s="54"/>
      <c r="D46" s="54"/>
      <c r="E46" s="54"/>
      <c r="F46" s="54"/>
      <c r="G46" s="54"/>
      <c r="H46" s="54"/>
      <c r="I46" s="54"/>
      <c r="J46" s="54"/>
      <c r="K46" s="54"/>
      <c r="L46" s="54"/>
      <c r="M46" s="54"/>
      <c r="N46" s="703"/>
      <c r="O46" s="703"/>
      <c r="P46" s="703"/>
      <c r="Q46" s="703"/>
    </row>
    <row r="47" spans="1:17" ht="16.5" customHeight="1">
      <c r="A47" s="54"/>
      <c r="B47" s="829" t="str">
        <f>"Total = "&amp;TEXT(ROUND(SUM(O23:O29),2),"0 000,00")&amp;" GWh"</f>
        <v>Total = 4 544,47 GWh</v>
      </c>
      <c r="C47" s="829"/>
      <c r="D47" s="829"/>
      <c r="E47" s="829"/>
      <c r="F47" s="54"/>
      <c r="G47" s="54"/>
      <c r="H47" s="828" t="str">
        <f>"Total = "&amp;TEXT(ROUND(SUM(P23:P29),2),"0 000,00")&amp;" GWh"</f>
        <v>Total = 4 438,20 GWh</v>
      </c>
      <c r="I47" s="828"/>
      <c r="J47" s="828"/>
      <c r="K47" s="828"/>
      <c r="L47" s="54"/>
      <c r="M47" s="54"/>
      <c r="N47" s="703"/>
      <c r="O47" s="703"/>
      <c r="P47" s="703"/>
      <c r="Q47" s="703"/>
    </row>
    <row r="48" spans="1:17" ht="11.25" customHeight="1">
      <c r="H48" s="54"/>
      <c r="I48" s="54"/>
      <c r="J48" s="54"/>
      <c r="K48" s="54"/>
      <c r="L48" s="54"/>
      <c r="M48" s="54"/>
      <c r="N48" s="703"/>
      <c r="O48" s="703"/>
      <c r="P48" s="703"/>
      <c r="Q48" s="703"/>
    </row>
    <row r="49" spans="1:17" ht="11.25" customHeight="1">
      <c r="B49" s="827" t="str">
        <f>"Gráfico 1: Comparación de producción mensual de electricidad en "&amp;Q4&amp;" por tipo de recurso energético."</f>
        <v>Gráfico 1: Comparación de producción mensual de electricidad en junio por tipo de recurso energético.</v>
      </c>
      <c r="C49" s="827"/>
      <c r="D49" s="827"/>
      <c r="E49" s="827"/>
      <c r="F49" s="827"/>
      <c r="G49" s="827"/>
      <c r="H49" s="827"/>
      <c r="I49" s="827"/>
      <c r="J49" s="827"/>
      <c r="K49" s="827"/>
      <c r="L49" s="827"/>
      <c r="M49" s="227"/>
      <c r="N49" s="715"/>
      <c r="O49" s="703"/>
      <c r="P49" s="703"/>
      <c r="Q49" s="703"/>
    </row>
    <row r="50" spans="1:17" ht="11.25" customHeight="1">
      <c r="B50" s="575"/>
      <c r="C50" s="575"/>
      <c r="D50" s="575"/>
      <c r="E50" s="575"/>
      <c r="F50" s="575"/>
      <c r="G50" s="575"/>
      <c r="H50" s="575"/>
      <c r="I50" s="575"/>
      <c r="J50" s="575"/>
      <c r="K50" s="575"/>
      <c r="L50" s="575"/>
      <c r="M50" s="227"/>
      <c r="N50" s="715"/>
      <c r="O50" s="703"/>
      <c r="P50" s="703"/>
      <c r="Q50" s="703"/>
    </row>
    <row r="51" spans="1:17" ht="21.75" customHeight="1">
      <c r="B51" s="824"/>
      <c r="C51" s="825"/>
      <c r="D51" s="825"/>
      <c r="E51" s="825"/>
      <c r="F51" s="825"/>
      <c r="G51" s="825"/>
      <c r="H51" s="825"/>
      <c r="I51" s="825"/>
      <c r="J51" s="825"/>
      <c r="K51" s="825"/>
      <c r="L51" s="825"/>
      <c r="M51" s="825"/>
      <c r="N51" s="715"/>
      <c r="O51" s="703"/>
      <c r="P51" s="703"/>
      <c r="Q51" s="703"/>
    </row>
    <row r="52" spans="1:17" ht="11.25" customHeight="1">
      <c r="A52" s="54"/>
      <c r="B52" s="54"/>
      <c r="C52" s="45"/>
      <c r="D52" s="45"/>
      <c r="E52" s="54"/>
      <c r="F52" s="54"/>
      <c r="G52" s="54"/>
      <c r="H52" s="54"/>
      <c r="I52" s="54"/>
      <c r="J52" s="54"/>
      <c r="K52" s="54"/>
      <c r="L52" s="54"/>
      <c r="M52" s="54"/>
      <c r="N52" s="703"/>
      <c r="O52" s="703"/>
      <c r="P52" s="703"/>
      <c r="Q52" s="703"/>
    </row>
    <row r="53" spans="1:17" ht="11.25" customHeight="1">
      <c r="A53" s="54"/>
      <c r="B53" s="54"/>
      <c r="C53" s="54"/>
      <c r="D53" s="54"/>
      <c r="E53" s="54"/>
      <c r="F53" s="54"/>
      <c r="G53" s="54"/>
      <c r="H53" s="54"/>
      <c r="I53" s="54"/>
      <c r="J53" s="54"/>
      <c r="K53" s="54"/>
      <c r="L53" s="54"/>
      <c r="M53" s="54"/>
      <c r="N53" s="703"/>
      <c r="O53" s="703"/>
      <c r="P53" s="703"/>
      <c r="Q53" s="703"/>
    </row>
    <row r="54" spans="1:17" ht="11.25" customHeight="1">
      <c r="A54" s="54"/>
      <c r="B54" s="54"/>
      <c r="C54" s="54"/>
      <c r="D54" s="54"/>
      <c r="E54" s="54"/>
      <c r="F54" s="54"/>
      <c r="G54" s="54"/>
      <c r="H54" s="54"/>
      <c r="I54" s="54"/>
      <c r="J54" s="54"/>
      <c r="K54" s="54"/>
      <c r="L54" s="54"/>
      <c r="M54" s="54"/>
      <c r="N54" s="703"/>
      <c r="O54" s="703"/>
      <c r="P54" s="703"/>
      <c r="Q54" s="703"/>
    </row>
    <row r="55" spans="1:17" ht="11.25" customHeight="1">
      <c r="A55" s="54"/>
      <c r="B55" s="54"/>
      <c r="C55" s="54"/>
      <c r="D55" s="54"/>
      <c r="E55" s="54"/>
      <c r="F55" s="54"/>
      <c r="G55" s="54"/>
      <c r="H55" s="54"/>
      <c r="I55" s="54"/>
      <c r="J55" s="54"/>
      <c r="K55" s="54"/>
      <c r="L55" s="54"/>
      <c r="M55" s="54"/>
      <c r="N55" s="703"/>
      <c r="O55" s="703"/>
      <c r="P55" s="703"/>
      <c r="Q55" s="703"/>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B18:M18"/>
    <mergeCell ref="B12:M12"/>
    <mergeCell ref="B14:M14"/>
    <mergeCell ref="B16:M16"/>
    <mergeCell ref="C3:J3"/>
    <mergeCell ref="C20:E20"/>
    <mergeCell ref="I20:L20"/>
  </mergeCells>
  <pageMargins left="0.41605392156862747" right="0.24963235294117647"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8"/>
  <sheetViews>
    <sheetView showGridLines="0" view="pageBreakPreview" zoomScale="130" zoomScaleNormal="100" zoomScaleSheetLayoutView="130" zoomScalePageLayoutView="85" workbookViewId="0">
      <selection activeCell="B18" sqref="M18"/>
    </sheetView>
  </sheetViews>
  <sheetFormatPr baseColWidth="10" defaultColWidth="9.33203125" defaultRowHeight="11.25"/>
  <cols>
    <col min="1" max="1" width="12" style="46" customWidth="1"/>
    <col min="2" max="3" width="11" style="46" customWidth="1"/>
    <col min="4" max="4" width="12" style="46" customWidth="1"/>
    <col min="5" max="5" width="11.33203125" style="46" customWidth="1"/>
    <col min="6" max="6" width="13.6640625" style="46" customWidth="1"/>
    <col min="7" max="7" width="9.33203125" style="46"/>
    <col min="8" max="8" width="13.33203125" style="46" customWidth="1"/>
    <col min="9" max="9" width="13.1640625" style="46" customWidth="1"/>
    <col min="10" max="10" width="11.6640625" style="46" customWidth="1"/>
    <col min="11" max="11" width="9.33203125" style="695"/>
    <col min="12" max="12" width="18.6640625" style="276" bestFit="1" customWidth="1"/>
    <col min="13" max="14" width="9.33203125" style="276"/>
    <col min="15" max="16" width="9.33203125" style="695"/>
    <col min="17" max="17" width="9.33203125" style="689"/>
    <col min="18" max="16384" width="9.33203125" style="46"/>
  </cols>
  <sheetData>
    <row r="2" spans="1:17" ht="16.5" customHeight="1">
      <c r="A2" s="838" t="s">
        <v>557</v>
      </c>
      <c r="B2" s="838"/>
      <c r="C2" s="838"/>
      <c r="D2" s="838"/>
      <c r="E2" s="838"/>
      <c r="F2" s="838"/>
      <c r="G2" s="838"/>
      <c r="H2" s="838"/>
      <c r="I2" s="838"/>
      <c r="J2" s="838"/>
      <c r="K2" s="716"/>
    </row>
    <row r="3" spans="1:17" ht="12" customHeight="1">
      <c r="A3" s="137"/>
      <c r="B3" s="208"/>
      <c r="C3" s="218"/>
      <c r="D3" s="219"/>
      <c r="E3" s="219"/>
      <c r="F3" s="220"/>
      <c r="G3" s="221"/>
      <c r="H3" s="221"/>
      <c r="I3" s="172"/>
      <c r="J3" s="220"/>
    </row>
    <row r="4" spans="1:17" ht="11.25" customHeight="1">
      <c r="A4" s="187" t="s">
        <v>438</v>
      </c>
      <c r="B4" s="208"/>
      <c r="C4" s="218"/>
      <c r="D4" s="219"/>
      <c r="E4" s="219"/>
      <c r="F4" s="220"/>
      <c r="G4" s="221"/>
      <c r="H4" s="221"/>
      <c r="I4" s="172"/>
      <c r="J4" s="220"/>
      <c r="K4" s="694"/>
    </row>
    <row r="5" spans="1:17" ht="11.25" customHeight="1">
      <c r="A5" s="187"/>
      <c r="B5" s="208"/>
      <c r="C5" s="218"/>
      <c r="D5" s="219"/>
      <c r="E5" s="219"/>
      <c r="F5" s="220"/>
      <c r="G5" s="221"/>
      <c r="H5" s="221"/>
      <c r="I5" s="172"/>
      <c r="J5" s="220"/>
      <c r="K5" s="694"/>
    </row>
    <row r="6" spans="1:17" ht="22.5" customHeight="1">
      <c r="A6" s="805" t="s">
        <v>668</v>
      </c>
      <c r="B6" s="806" t="s">
        <v>212</v>
      </c>
      <c r="C6" s="806" t="s">
        <v>669</v>
      </c>
      <c r="D6" s="806" t="s">
        <v>670</v>
      </c>
      <c r="E6" s="806" t="s">
        <v>671</v>
      </c>
      <c r="F6" s="807" t="s">
        <v>672</v>
      </c>
      <c r="G6" s="808" t="s">
        <v>673</v>
      </c>
      <c r="H6" s="807" t="s">
        <v>674</v>
      </c>
      <c r="I6" s="808" t="s">
        <v>675</v>
      </c>
      <c r="J6" s="809" t="s">
        <v>676</v>
      </c>
      <c r="K6" s="694"/>
    </row>
    <row r="7" spans="1:17" ht="21.75" customHeight="1">
      <c r="A7" s="810" t="s">
        <v>405</v>
      </c>
      <c r="B7" s="811" t="s">
        <v>37</v>
      </c>
      <c r="C7" s="811" t="s">
        <v>682</v>
      </c>
      <c r="D7" s="811" t="s">
        <v>683</v>
      </c>
      <c r="E7" s="811" t="s">
        <v>684</v>
      </c>
      <c r="F7" s="812" t="s">
        <v>685</v>
      </c>
      <c r="G7" s="813">
        <v>13.8</v>
      </c>
      <c r="H7" s="814">
        <v>114.5</v>
      </c>
      <c r="I7" s="814">
        <v>114.5</v>
      </c>
      <c r="J7" s="815" t="s">
        <v>686</v>
      </c>
      <c r="K7" s="694"/>
    </row>
    <row r="8" spans="1:17" s="222" customFormat="1" ht="13.15" customHeight="1">
      <c r="A8" s="816" t="s">
        <v>42</v>
      </c>
      <c r="B8" s="817"/>
      <c r="C8" s="817"/>
      <c r="D8" s="817"/>
      <c r="E8" s="818"/>
      <c r="F8" s="819"/>
      <c r="G8" s="820"/>
      <c r="H8" s="821">
        <f>+H7</f>
        <v>114.5</v>
      </c>
      <c r="I8" s="821">
        <f>+I7</f>
        <v>114.5</v>
      </c>
      <c r="J8" s="822"/>
      <c r="K8" s="717"/>
      <c r="L8" s="688"/>
      <c r="M8" s="688"/>
      <c r="N8" s="688"/>
      <c r="O8" s="718"/>
      <c r="P8" s="718"/>
      <c r="Q8" s="690"/>
    </row>
    <row r="9" spans="1:17" s="222" customFormat="1" ht="13.15" customHeight="1">
      <c r="H9" s="669"/>
      <c r="I9" s="669"/>
      <c r="J9" s="670"/>
      <c r="K9" s="717"/>
      <c r="L9" s="688"/>
      <c r="M9" s="688"/>
      <c r="N9" s="688"/>
      <c r="O9" s="718"/>
      <c r="P9" s="718"/>
      <c r="Q9" s="690"/>
    </row>
    <row r="10" spans="1:17" s="222" customFormat="1" ht="10.15" customHeight="1">
      <c r="A10" s="187" t="s">
        <v>538</v>
      </c>
      <c r="B10" s="570"/>
      <c r="C10" s="570"/>
      <c r="D10" s="570"/>
      <c r="E10" s="570"/>
      <c r="F10" s="571"/>
      <c r="G10" s="572"/>
      <c r="H10" s="573"/>
      <c r="I10" s="573"/>
      <c r="J10" s="574"/>
      <c r="K10" s="717"/>
      <c r="L10" s="688"/>
      <c r="M10" s="688"/>
      <c r="N10" s="688"/>
      <c r="O10" s="718"/>
      <c r="P10" s="718"/>
      <c r="Q10" s="690"/>
    </row>
    <row r="11" spans="1:17" s="222" customFormat="1" ht="10.15" customHeight="1">
      <c r="A11" s="569"/>
      <c r="B11" s="570"/>
      <c r="C11" s="570"/>
      <c r="D11" s="570"/>
      <c r="E11" s="570"/>
      <c r="F11" s="571"/>
      <c r="G11" s="572"/>
      <c r="H11" s="573"/>
      <c r="I11" s="573"/>
      <c r="J11" s="574"/>
      <c r="K11" s="717"/>
      <c r="L11" s="688"/>
      <c r="M11" s="688"/>
      <c r="N11" s="688"/>
      <c r="O11" s="718"/>
      <c r="P11" s="718"/>
      <c r="Q11" s="690"/>
    </row>
    <row r="12" spans="1:17" s="222" customFormat="1" ht="22.5" customHeight="1">
      <c r="A12" s="805" t="s">
        <v>668</v>
      </c>
      <c r="B12" s="806" t="s">
        <v>212</v>
      </c>
      <c r="C12" s="806" t="s">
        <v>669</v>
      </c>
      <c r="D12" s="806" t="s">
        <v>670</v>
      </c>
      <c r="E12" s="806" t="s">
        <v>671</v>
      </c>
      <c r="F12" s="807" t="s">
        <v>672</v>
      </c>
      <c r="G12" s="808" t="s">
        <v>673</v>
      </c>
      <c r="H12" s="807" t="s">
        <v>674</v>
      </c>
      <c r="I12" s="808" t="s">
        <v>675</v>
      </c>
      <c r="J12" s="809" t="s">
        <v>676</v>
      </c>
      <c r="K12" s="717"/>
      <c r="L12" s="688"/>
      <c r="M12" s="688"/>
      <c r="N12" s="688"/>
      <c r="O12" s="718"/>
      <c r="P12" s="718"/>
      <c r="Q12" s="690"/>
    </row>
    <row r="13" spans="1:17" s="222" customFormat="1" ht="18.75" customHeight="1">
      <c r="A13" s="810" t="s">
        <v>677</v>
      </c>
      <c r="B13" s="811" t="s">
        <v>36</v>
      </c>
      <c r="C13" s="811" t="s">
        <v>44</v>
      </c>
      <c r="D13" s="811" t="s">
        <v>678</v>
      </c>
      <c r="E13" s="811" t="s">
        <v>679</v>
      </c>
      <c r="F13" s="812" t="s">
        <v>680</v>
      </c>
      <c r="G13" s="813">
        <v>0.4</v>
      </c>
      <c r="H13" s="814">
        <v>1</v>
      </c>
      <c r="I13" s="814">
        <v>0.92847000000000002</v>
      </c>
      <c r="J13" s="815" t="s">
        <v>681</v>
      </c>
      <c r="K13" s="717"/>
      <c r="L13" s="688"/>
      <c r="M13" s="688"/>
      <c r="N13" s="688"/>
      <c r="O13" s="718"/>
      <c r="P13" s="718"/>
      <c r="Q13" s="690"/>
    </row>
    <row r="14" spans="1:17" s="222" customFormat="1" ht="13.15" customHeight="1">
      <c r="A14" s="816" t="s">
        <v>42</v>
      </c>
      <c r="B14" s="817"/>
      <c r="C14" s="817"/>
      <c r="D14" s="817"/>
      <c r="E14" s="818"/>
      <c r="F14" s="819"/>
      <c r="G14" s="820"/>
      <c r="H14" s="821">
        <f>+H13</f>
        <v>1</v>
      </c>
      <c r="I14" s="821">
        <f>+I13</f>
        <v>0.92847000000000002</v>
      </c>
      <c r="J14" s="822"/>
      <c r="K14" s="717"/>
      <c r="L14" s="688"/>
      <c r="M14" s="688"/>
      <c r="N14" s="688"/>
      <c r="O14" s="718"/>
      <c r="P14" s="718"/>
      <c r="Q14" s="690"/>
    </row>
    <row r="15" spans="1:17" s="222" customFormat="1" ht="13.9" customHeight="1">
      <c r="A15" s="569"/>
      <c r="B15" s="570"/>
      <c r="C15" s="570"/>
      <c r="D15" s="570"/>
      <c r="E15" s="570"/>
      <c r="F15" s="571"/>
      <c r="G15" s="572"/>
      <c r="H15" s="573"/>
      <c r="I15" s="573"/>
      <c r="J15" s="574"/>
      <c r="K15" s="717"/>
      <c r="L15" s="688"/>
      <c r="M15" s="688"/>
      <c r="N15" s="688"/>
      <c r="O15" s="718"/>
      <c r="P15" s="718"/>
      <c r="Q15" s="690"/>
    </row>
    <row r="16" spans="1:17" ht="11.25" customHeight="1">
      <c r="A16" s="187" t="s">
        <v>469</v>
      </c>
      <c r="B16" s="132"/>
      <c r="C16" s="223"/>
      <c r="D16" s="132"/>
      <c r="E16" s="132"/>
      <c r="F16" s="132"/>
      <c r="G16" s="132"/>
      <c r="H16" s="132"/>
      <c r="I16" s="132"/>
      <c r="J16" s="132"/>
      <c r="K16" s="719"/>
    </row>
    <row r="17" spans="2:15" ht="11.25" customHeight="1">
      <c r="B17" s="132"/>
      <c r="C17" s="223"/>
      <c r="D17" s="132"/>
      <c r="E17" s="132"/>
      <c r="F17" s="132"/>
      <c r="G17" s="132"/>
      <c r="H17" s="132"/>
      <c r="I17" s="132"/>
      <c r="J17" s="132"/>
      <c r="K17" s="719"/>
    </row>
    <row r="18" spans="2:15" ht="21" customHeight="1">
      <c r="B18" s="836" t="s">
        <v>216</v>
      </c>
      <c r="C18" s="837"/>
      <c r="D18" s="359" t="str">
        <f>UPPER('1. Resumen'!Q4)&amp;" "&amp;'1. Resumen'!Q5</f>
        <v>JUNIO 2022</v>
      </c>
      <c r="E18" s="359" t="str">
        <f>UPPER('1. Resumen'!Q4)&amp;" "&amp;'1. Resumen'!Q5-1</f>
        <v>JUNIO 2021</v>
      </c>
      <c r="F18" s="360" t="s">
        <v>217</v>
      </c>
      <c r="G18" s="224"/>
      <c r="H18" s="224"/>
      <c r="I18" s="132"/>
      <c r="J18" s="132"/>
    </row>
    <row r="19" spans="2:15" ht="9.75" customHeight="1">
      <c r="B19" s="839" t="s">
        <v>213</v>
      </c>
      <c r="C19" s="840"/>
      <c r="D19" s="349">
        <f>5261.9382475-H13</f>
        <v>5260.9382475000002</v>
      </c>
      <c r="E19" s="350">
        <v>5245.6192474999998</v>
      </c>
      <c r="F19" s="671">
        <f>+D19/E19-1</f>
        <v>2.9203415797478538E-3</v>
      </c>
      <c r="G19" s="224"/>
      <c r="H19" s="224"/>
      <c r="I19" s="132"/>
      <c r="J19" s="132"/>
      <c r="K19" s="719"/>
    </row>
    <row r="20" spans="2:15" ht="9.75" customHeight="1">
      <c r="B20" s="841" t="s">
        <v>214</v>
      </c>
      <c r="C20" s="842"/>
      <c r="D20" s="351">
        <f>7490.5945+H7</f>
        <v>7605.0945000000002</v>
      </c>
      <c r="E20" s="352">
        <v>7398.3644999999997</v>
      </c>
      <c r="F20" s="672">
        <f>+D20/E20-1</f>
        <v>2.7942662192434575E-2</v>
      </c>
      <c r="G20" s="225"/>
      <c r="H20" s="225"/>
      <c r="M20" s="691"/>
      <c r="N20" s="691"/>
      <c r="O20" s="720"/>
    </row>
    <row r="21" spans="2:15" ht="9.75" customHeight="1">
      <c r="B21" s="843" t="s">
        <v>215</v>
      </c>
      <c r="C21" s="844"/>
      <c r="D21" s="353">
        <v>412.2</v>
      </c>
      <c r="E21" s="354">
        <v>412.2</v>
      </c>
      <c r="F21" s="673">
        <f>+D21/E21-1</f>
        <v>0</v>
      </c>
      <c r="G21" s="225"/>
      <c r="H21" s="225"/>
    </row>
    <row r="22" spans="2:15" ht="9.75" customHeight="1">
      <c r="B22" s="845" t="s">
        <v>80</v>
      </c>
      <c r="C22" s="846"/>
      <c r="D22" s="355">
        <v>282.27499999999992</v>
      </c>
      <c r="E22" s="356">
        <v>285.02</v>
      </c>
      <c r="F22" s="674">
        <f>+D22/E22-1</f>
        <v>-9.6309030945198604E-3</v>
      </c>
      <c r="G22" s="225"/>
      <c r="H22" s="225"/>
    </row>
    <row r="23" spans="2:15" ht="10.5" customHeight="1">
      <c r="B23" s="834" t="s">
        <v>197</v>
      </c>
      <c r="C23" s="835"/>
      <c r="D23" s="357">
        <f>+SUM(D19:D22)</f>
        <v>13560.507747500002</v>
      </c>
      <c r="E23" s="357">
        <f>+SUM(E19:E22)</f>
        <v>13341.2037475</v>
      </c>
      <c r="F23" s="675">
        <f>+D23/E23-1</f>
        <v>1.6438096902694932E-2</v>
      </c>
      <c r="G23" s="321"/>
      <c r="H23" s="225"/>
    </row>
    <row r="24" spans="2:15" ht="11.25" customHeight="1">
      <c r="B24" s="267" t="str">
        <f>"Cuadro N° 2: Comparación de la potencia instalada en el SEIN al término de "&amp;'1. Resumen'!Q4&amp;" "&amp;'1. Resumen'!Q5-1&amp;" y "&amp;'1. Resumen'!Q4&amp;" "&amp;'1. Resumen'!Q5</f>
        <v>Cuadro N° 2: Comparación de la potencia instalada en el SEIN al término de junio 2021 y junio 2022</v>
      </c>
      <c r="C24" s="224"/>
      <c r="D24" s="224"/>
      <c r="E24" s="224"/>
      <c r="F24" s="224"/>
      <c r="G24" s="224"/>
      <c r="H24" s="224"/>
      <c r="I24" s="132"/>
      <c r="J24" s="132"/>
      <c r="K24" s="719"/>
    </row>
    <row r="25" spans="2:15" ht="9" customHeight="1">
      <c r="B25" s="267"/>
      <c r="C25" s="224"/>
      <c r="D25" s="224"/>
      <c r="E25" s="224"/>
      <c r="F25" s="224"/>
      <c r="G25" s="224"/>
      <c r="H25" s="224"/>
      <c r="I25" s="132"/>
      <c r="J25" s="132"/>
      <c r="K25" s="719"/>
    </row>
    <row r="26" spans="2:15" ht="9" customHeight="1">
      <c r="B26" s="267"/>
      <c r="C26" s="224"/>
      <c r="D26" s="224"/>
      <c r="E26" s="224"/>
      <c r="F26" s="224"/>
      <c r="G26" s="224"/>
      <c r="H26" s="224"/>
      <c r="I26" s="132"/>
      <c r="J26" s="132"/>
      <c r="K26" s="719"/>
    </row>
    <row r="27" spans="2:15" ht="9" customHeight="1">
      <c r="B27" s="267"/>
      <c r="C27" s="224"/>
      <c r="D27" s="224"/>
      <c r="E27" s="224"/>
      <c r="F27" s="224"/>
      <c r="G27" s="224"/>
      <c r="H27" s="224"/>
      <c r="I27" s="132"/>
      <c r="J27" s="132"/>
      <c r="K27" s="719"/>
    </row>
    <row r="28" spans="2:15" ht="9" customHeight="1">
      <c r="B28" s="267"/>
      <c r="C28" s="224"/>
      <c r="D28" s="224"/>
      <c r="E28" s="224"/>
      <c r="F28" s="224"/>
      <c r="G28" s="224"/>
      <c r="H28" s="224"/>
      <c r="I28" s="132"/>
      <c r="J28" s="132"/>
      <c r="K28" s="719"/>
    </row>
    <row r="29" spans="2:15" ht="9" customHeight="1">
      <c r="B29" s="267"/>
      <c r="C29" s="224"/>
      <c r="D29" s="224"/>
      <c r="E29" s="224"/>
      <c r="F29" s="224"/>
      <c r="G29" s="224"/>
      <c r="H29" s="224"/>
      <c r="I29" s="132"/>
      <c r="J29" s="132"/>
      <c r="K29" s="719"/>
    </row>
    <row r="30" spans="2:15" ht="9" customHeight="1">
      <c r="B30" s="267"/>
      <c r="C30" s="224"/>
      <c r="D30" s="224"/>
      <c r="E30" s="224"/>
      <c r="F30" s="224"/>
      <c r="G30" s="224"/>
      <c r="H30" s="224"/>
      <c r="I30" s="132"/>
      <c r="J30" s="132"/>
      <c r="K30" s="719"/>
    </row>
    <row r="31" spans="2:15" ht="9" customHeight="1">
      <c r="B31" s="267"/>
      <c r="C31" s="224"/>
      <c r="D31" s="224"/>
      <c r="E31" s="224"/>
      <c r="F31" s="224"/>
      <c r="G31" s="224"/>
      <c r="H31" s="224"/>
      <c r="I31" s="132"/>
      <c r="J31" s="132"/>
      <c r="K31" s="719"/>
    </row>
    <row r="32" spans="2:15" ht="9" customHeight="1">
      <c r="B32" s="267"/>
      <c r="C32" s="224"/>
      <c r="D32" s="224"/>
      <c r="E32" s="224"/>
      <c r="F32" s="224"/>
      <c r="G32" s="224"/>
      <c r="H32" s="224"/>
      <c r="I32" s="132"/>
      <c r="J32" s="132"/>
      <c r="K32" s="719"/>
    </row>
    <row r="33" spans="2:11" ht="9" customHeight="1">
      <c r="B33" s="267"/>
      <c r="C33" s="224"/>
      <c r="D33" s="224"/>
      <c r="E33" s="224"/>
      <c r="F33" s="224"/>
      <c r="G33" s="224"/>
      <c r="H33" s="224"/>
      <c r="I33" s="132"/>
      <c r="J33" s="132"/>
      <c r="K33" s="719"/>
    </row>
    <row r="34" spans="2:11" ht="9" customHeight="1">
      <c r="B34" s="267"/>
      <c r="C34" s="224"/>
      <c r="D34" s="224"/>
      <c r="E34" s="224"/>
      <c r="F34" s="224"/>
      <c r="G34" s="224"/>
      <c r="H34" s="224"/>
      <c r="I34" s="132"/>
      <c r="J34" s="132"/>
      <c r="K34" s="719"/>
    </row>
    <row r="35" spans="2:11" ht="9" customHeight="1">
      <c r="B35" s="267"/>
      <c r="C35" s="224"/>
      <c r="D35" s="224"/>
      <c r="E35" s="224"/>
      <c r="F35" s="224"/>
      <c r="G35" s="224"/>
      <c r="H35" s="224"/>
      <c r="I35" s="132"/>
      <c r="J35" s="132"/>
      <c r="K35" s="719"/>
    </row>
    <row r="36" spans="2:11" ht="9" customHeight="1">
      <c r="B36" s="267"/>
      <c r="C36" s="224"/>
      <c r="D36" s="224"/>
      <c r="E36" s="224"/>
      <c r="F36" s="224"/>
      <c r="G36" s="224"/>
      <c r="H36" s="224"/>
      <c r="I36" s="132"/>
      <c r="J36" s="132"/>
      <c r="K36" s="719"/>
    </row>
    <row r="37" spans="2:11" ht="9" customHeight="1">
      <c r="B37" s="267"/>
      <c r="C37" s="224"/>
      <c r="D37" s="224"/>
      <c r="E37" s="224"/>
      <c r="F37" s="224"/>
      <c r="G37" s="224"/>
      <c r="H37" s="224"/>
      <c r="I37" s="132"/>
      <c r="J37" s="132"/>
      <c r="K37" s="719"/>
    </row>
    <row r="38" spans="2:11" ht="9" customHeight="1">
      <c r="B38" s="267"/>
      <c r="C38" s="224"/>
      <c r="D38" s="224"/>
      <c r="E38" s="224"/>
      <c r="F38" s="224"/>
      <c r="G38" s="224"/>
      <c r="H38" s="224"/>
      <c r="I38" s="132"/>
      <c r="J38" s="132"/>
      <c r="K38" s="719"/>
    </row>
    <row r="39" spans="2:11" ht="9" customHeight="1">
      <c r="B39" s="267"/>
      <c r="C39" s="224"/>
      <c r="D39" s="224"/>
      <c r="E39" s="224"/>
      <c r="F39" s="224"/>
      <c r="G39" s="224"/>
      <c r="H39" s="224"/>
      <c r="I39" s="132"/>
      <c r="J39" s="132"/>
      <c r="K39" s="719"/>
    </row>
    <row r="40" spans="2:11" ht="9" customHeight="1">
      <c r="B40" s="267"/>
      <c r="C40" s="224"/>
      <c r="D40" s="224"/>
      <c r="E40" s="224"/>
      <c r="F40" s="224"/>
      <c r="G40" s="224"/>
      <c r="H40" s="224"/>
      <c r="I40" s="132"/>
      <c r="J40" s="132"/>
      <c r="K40" s="719"/>
    </row>
    <row r="41" spans="2:11" ht="9" customHeight="1">
      <c r="B41" s="267"/>
      <c r="C41" s="224"/>
      <c r="D41" s="224"/>
      <c r="E41" s="224"/>
      <c r="F41" s="224"/>
      <c r="G41" s="224"/>
      <c r="H41" s="224"/>
      <c r="I41" s="132"/>
      <c r="J41" s="132"/>
      <c r="K41" s="719"/>
    </row>
    <row r="42" spans="2:11" ht="9" customHeight="1">
      <c r="B42" s="267"/>
      <c r="C42" s="224"/>
      <c r="D42" s="224"/>
      <c r="E42" s="224"/>
      <c r="F42" s="224"/>
      <c r="G42" s="224"/>
      <c r="H42" s="224"/>
      <c r="I42" s="132"/>
      <c r="J42" s="132"/>
      <c r="K42" s="719"/>
    </row>
    <row r="43" spans="2:11" ht="9" customHeight="1">
      <c r="B43" s="267"/>
      <c r="C43" s="224"/>
      <c r="D43" s="224"/>
      <c r="E43" s="224"/>
      <c r="F43" s="224"/>
      <c r="G43" s="224"/>
      <c r="H43" s="224"/>
      <c r="I43" s="132"/>
      <c r="J43" s="132"/>
      <c r="K43" s="719"/>
    </row>
    <row r="44" spans="2:11" ht="9" customHeight="1">
      <c r="B44" s="267"/>
      <c r="C44" s="224"/>
      <c r="D44" s="224"/>
      <c r="E44" s="224"/>
      <c r="F44" s="224"/>
      <c r="G44" s="224"/>
      <c r="H44" s="224"/>
      <c r="I44" s="132"/>
      <c r="J44" s="132"/>
      <c r="K44" s="719"/>
    </row>
    <row r="45" spans="2:11" ht="9" customHeight="1">
      <c r="B45" s="267"/>
      <c r="C45" s="224"/>
      <c r="D45" s="224"/>
      <c r="E45" s="224"/>
      <c r="F45" s="224"/>
      <c r="G45" s="224"/>
      <c r="H45" s="224"/>
      <c r="I45" s="132"/>
      <c r="J45" s="132"/>
      <c r="K45" s="719"/>
    </row>
    <row r="46" spans="2:11" ht="25.5" customHeight="1">
      <c r="B46" s="267"/>
      <c r="C46" s="224"/>
      <c r="D46" s="224"/>
      <c r="E46" s="224"/>
      <c r="F46" s="224"/>
      <c r="G46" s="224"/>
      <c r="H46" s="224"/>
      <c r="I46" s="132"/>
      <c r="J46" s="132"/>
      <c r="K46" s="719"/>
    </row>
    <row r="47" spans="2:11" ht="11.25" customHeight="1">
      <c r="B47" s="267"/>
      <c r="C47" s="224"/>
      <c r="D47" s="224"/>
      <c r="E47" s="224"/>
      <c r="F47" s="224"/>
      <c r="G47" s="224"/>
      <c r="H47" s="224"/>
      <c r="I47" s="132"/>
      <c r="J47" s="132"/>
      <c r="K47" s="719"/>
    </row>
    <row r="48" spans="2:11" ht="11.25" customHeight="1">
      <c r="B48" s="267"/>
      <c r="C48" s="224"/>
      <c r="D48" s="224"/>
      <c r="E48" s="224"/>
      <c r="F48" s="224"/>
      <c r="G48" s="224"/>
      <c r="H48" s="224"/>
      <c r="I48" s="132"/>
      <c r="J48" s="132"/>
      <c r="K48" s="719"/>
    </row>
    <row r="49" spans="1:11" ht="11.25" customHeight="1">
      <c r="B49" s="267"/>
      <c r="C49" s="224"/>
      <c r="D49" s="224"/>
      <c r="E49" s="224"/>
      <c r="F49" s="224"/>
      <c r="G49" s="224"/>
      <c r="H49" s="224"/>
      <c r="I49" s="132"/>
      <c r="J49" s="132"/>
      <c r="K49" s="719"/>
    </row>
    <row r="50" spans="1:11" ht="11.25" customHeight="1">
      <c r="B50" s="267"/>
      <c r="C50" s="224"/>
      <c r="D50" s="224"/>
      <c r="E50" s="224"/>
      <c r="F50" s="224"/>
      <c r="G50" s="224"/>
      <c r="H50" s="224"/>
      <c r="I50" s="132"/>
      <c r="J50" s="132"/>
      <c r="K50" s="719"/>
    </row>
    <row r="51" spans="1:11" ht="11.25" customHeight="1">
      <c r="B51" s="267"/>
      <c r="C51" s="224"/>
      <c r="D51" s="224"/>
      <c r="E51" s="224"/>
      <c r="F51" s="224"/>
      <c r="G51" s="224"/>
      <c r="H51" s="224"/>
      <c r="I51" s="132"/>
      <c r="J51" s="132"/>
      <c r="K51" s="719"/>
    </row>
    <row r="52" spans="1:11" ht="25.15" customHeight="1">
      <c r="A52" s="132"/>
      <c r="C52" s="225"/>
      <c r="D52" s="224"/>
      <c r="E52" s="224"/>
      <c r="F52" s="224"/>
      <c r="G52" s="224"/>
      <c r="H52" s="224"/>
      <c r="I52" s="132"/>
      <c r="J52" s="132"/>
      <c r="K52" s="719"/>
    </row>
    <row r="53" spans="1:11" ht="25.15" customHeight="1">
      <c r="A53" s="132"/>
      <c r="B53" s="132"/>
      <c r="C53" s="132"/>
      <c r="D53" s="132"/>
      <c r="E53" s="132"/>
      <c r="F53" s="132"/>
      <c r="G53" s="132"/>
      <c r="H53" s="132"/>
      <c r="I53" s="132"/>
      <c r="J53" s="132"/>
    </row>
    <row r="54" spans="1:11" ht="25.15" customHeight="1">
      <c r="A54" s="132"/>
      <c r="B54" s="132"/>
      <c r="C54" s="132"/>
      <c r="D54" s="132"/>
      <c r="E54" s="132"/>
      <c r="F54" s="132"/>
      <c r="G54" s="132"/>
      <c r="H54" s="132"/>
      <c r="I54" s="132"/>
      <c r="J54" s="132"/>
    </row>
    <row r="55" spans="1:11" ht="25.15" customHeight="1">
      <c r="A55" s="132"/>
      <c r="B55" s="132"/>
      <c r="C55" s="132"/>
      <c r="D55" s="132"/>
      <c r="E55" s="132"/>
      <c r="F55" s="132"/>
      <c r="G55" s="132"/>
      <c r="H55" s="132"/>
      <c r="I55" s="132"/>
      <c r="J55" s="132"/>
    </row>
    <row r="56" spans="1:11" ht="25.15" customHeight="1">
      <c r="A56" s="132"/>
      <c r="B56" s="132"/>
      <c r="C56" s="132"/>
      <c r="D56" s="132"/>
      <c r="E56" s="132"/>
      <c r="F56" s="132"/>
      <c r="G56" s="132"/>
      <c r="H56" s="132"/>
      <c r="I56" s="132"/>
      <c r="J56" s="132"/>
    </row>
    <row r="57" spans="1:11" ht="19.5" customHeight="1">
      <c r="A57" s="132"/>
      <c r="B57" s="132"/>
      <c r="C57" s="132"/>
      <c r="D57" s="132"/>
      <c r="E57" s="132"/>
      <c r="F57" s="132"/>
      <c r="G57" s="132"/>
      <c r="H57" s="132"/>
      <c r="I57" s="132"/>
      <c r="J57" s="132"/>
    </row>
    <row r="58" spans="1:11" ht="24" customHeight="1">
      <c r="A58" s="320" t="str">
        <f>"Gráfico N° 3: Comparación de la potencia instalada en el SEIN al término de "&amp;'1. Resumen'!Q4&amp;" "&amp;'1. Resumen'!Q5-1&amp;" y "&amp;'1. Resumen'!Q4&amp;" "&amp;'1. Resumen'!Q5</f>
        <v>Gráfico N° 3: Comparación de la potencia instalada en el SEIN al término de junio 2021 y junio 2022</v>
      </c>
      <c r="C58" s="132"/>
      <c r="D58" s="132"/>
      <c r="E58" s="132"/>
      <c r="F58" s="132"/>
      <c r="G58" s="132"/>
      <c r="H58" s="132"/>
      <c r="I58" s="132"/>
      <c r="J58" s="132"/>
    </row>
  </sheetData>
  <mergeCells count="7">
    <mergeCell ref="B23:C23"/>
    <mergeCell ref="B18:C18"/>
    <mergeCell ref="A2:J2"/>
    <mergeCell ref="B19:C19"/>
    <mergeCell ref="B20:C20"/>
    <mergeCell ref="B21:C21"/>
    <mergeCell ref="B22:C2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B18" sqref="M18"/>
    </sheetView>
  </sheetViews>
  <sheetFormatPr baseColWidth="10"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51" t="s">
        <v>219</v>
      </c>
      <c r="B2" s="851"/>
      <c r="C2" s="851"/>
      <c r="D2" s="851"/>
      <c r="E2" s="851"/>
      <c r="F2" s="851"/>
      <c r="G2" s="851"/>
      <c r="H2" s="851"/>
      <c r="I2" s="851"/>
      <c r="J2" s="851"/>
      <c r="K2" s="851"/>
    </row>
    <row r="3" spans="1:11" ht="11.25" customHeight="1">
      <c r="A3" s="83"/>
      <c r="B3" s="84"/>
      <c r="C3" s="85"/>
      <c r="D3" s="86"/>
      <c r="E3" s="86"/>
      <c r="F3" s="86"/>
      <c r="G3" s="86"/>
      <c r="H3" s="83"/>
      <c r="I3" s="83"/>
      <c r="J3" s="83"/>
      <c r="K3" s="87"/>
    </row>
    <row r="4" spans="1:11" ht="11.25" customHeight="1">
      <c r="A4" s="852" t="str">
        <f>+"3.1. PRODUCCIÓN POR TIPO DE GENERACIÓN (GWh)"</f>
        <v>3.1. PRODUCCIÓN POR TIPO DE GENERACIÓN (GWh)</v>
      </c>
      <c r="B4" s="852"/>
      <c r="C4" s="852"/>
      <c r="D4" s="852"/>
      <c r="E4" s="852"/>
      <c r="F4" s="852"/>
      <c r="G4" s="852"/>
      <c r="H4" s="852"/>
      <c r="I4" s="852"/>
      <c r="J4" s="852"/>
      <c r="K4" s="852"/>
    </row>
    <row r="5" spans="1:11" ht="11.25" customHeight="1">
      <c r="A5" s="54"/>
      <c r="B5" s="88"/>
      <c r="C5" s="89"/>
      <c r="D5" s="90"/>
      <c r="E5" s="90"/>
      <c r="F5" s="90"/>
      <c r="G5" s="90"/>
      <c r="H5" s="91"/>
      <c r="I5" s="83"/>
      <c r="J5" s="83"/>
      <c r="K5" s="92"/>
    </row>
    <row r="6" spans="1:11" ht="18" customHeight="1">
      <c r="A6" s="849" t="s">
        <v>32</v>
      </c>
      <c r="B6" s="853" t="s">
        <v>33</v>
      </c>
      <c r="C6" s="854"/>
      <c r="D6" s="854"/>
      <c r="E6" s="854" t="s">
        <v>34</v>
      </c>
      <c r="F6" s="854"/>
      <c r="G6" s="855" t="str">
        <f>"Generación Acumulada a "&amp;'1. Resumen'!Q4</f>
        <v>Generación Acumulada a junio</v>
      </c>
      <c r="H6" s="855"/>
      <c r="I6" s="855"/>
      <c r="J6" s="855"/>
      <c r="K6" s="856"/>
    </row>
    <row r="7" spans="1:11" ht="32.25" customHeight="1">
      <c r="A7" s="850"/>
      <c r="B7" s="361">
        <f>+C7-30</f>
        <v>44655</v>
      </c>
      <c r="C7" s="361">
        <f>+D7-28</f>
        <v>44685</v>
      </c>
      <c r="D7" s="361">
        <f>+'1. Resumen'!Q6</f>
        <v>44713</v>
      </c>
      <c r="E7" s="361">
        <f>+D7-365</f>
        <v>44348</v>
      </c>
      <c r="F7" s="362" t="s">
        <v>35</v>
      </c>
      <c r="G7" s="363">
        <v>2022</v>
      </c>
      <c r="H7" s="363">
        <v>2021</v>
      </c>
      <c r="I7" s="362" t="s">
        <v>548</v>
      </c>
      <c r="J7" s="363">
        <v>2020</v>
      </c>
      <c r="K7" s="364" t="s">
        <v>467</v>
      </c>
    </row>
    <row r="8" spans="1:11" ht="15" customHeight="1">
      <c r="A8" s="116" t="s">
        <v>36</v>
      </c>
      <c r="B8" s="304">
        <v>3092.8270764449999</v>
      </c>
      <c r="C8" s="300">
        <v>2616.8815129024993</v>
      </c>
      <c r="D8" s="305">
        <v>2201.56439611</v>
      </c>
      <c r="E8" s="304">
        <v>2161.5951565824998</v>
      </c>
      <c r="F8" s="233">
        <f>IF(E8=0,"",D8/E8-1)</f>
        <v>1.8490622263741541E-2</v>
      </c>
      <c r="G8" s="312">
        <v>16886.715883727498</v>
      </c>
      <c r="H8" s="300">
        <v>17295.1478346925</v>
      </c>
      <c r="I8" s="237">
        <f>IF(H8=0,"",G8/H8-1)</f>
        <v>-2.36154067527381E-2</v>
      </c>
      <c r="J8" s="304">
        <v>16968.109444374997</v>
      </c>
      <c r="K8" s="233">
        <f t="shared" ref="K8:K15" si="0">IF(J8=0,"",H8/J8-1)</f>
        <v>1.9273708210664431E-2</v>
      </c>
    </row>
    <row r="9" spans="1:11" ht="15" customHeight="1">
      <c r="A9" s="117" t="s">
        <v>37</v>
      </c>
      <c r="B9" s="306">
        <v>1090.8772904275002</v>
      </c>
      <c r="C9" s="243">
        <v>1744.0971742025004</v>
      </c>
      <c r="D9" s="307">
        <v>2132.0933801400006</v>
      </c>
      <c r="E9" s="306">
        <v>2088.2596591024999</v>
      </c>
      <c r="F9" s="234">
        <f t="shared" ref="F9:F15" si="1">IF(E9=0,"",D9/E9-1)</f>
        <v>2.0990551077512798E-2</v>
      </c>
      <c r="G9" s="313">
        <v>9104.4214192524978</v>
      </c>
      <c r="H9" s="243">
        <v>8091.8510132299998</v>
      </c>
      <c r="I9" s="238">
        <f t="shared" ref="I9:I15" si="2">IF(H9=0,"",G9/H9-1)</f>
        <v>0.12513458346761053</v>
      </c>
      <c r="J9" s="306">
        <v>5023.9724376499998</v>
      </c>
      <c r="K9" s="234">
        <f t="shared" si="0"/>
        <v>0.61064797103365942</v>
      </c>
    </row>
    <row r="10" spans="1:11" ht="15" customHeight="1">
      <c r="A10" s="118" t="s">
        <v>38</v>
      </c>
      <c r="B10" s="308">
        <v>182.87946939500003</v>
      </c>
      <c r="C10" s="244">
        <v>171.76328389</v>
      </c>
      <c r="D10" s="309">
        <v>155.79105628249997</v>
      </c>
      <c r="E10" s="308">
        <v>134.0867127425</v>
      </c>
      <c r="F10" s="235">
        <f>IF(E10=0,"",D10/E10-1)</f>
        <v>0.1618679666021865</v>
      </c>
      <c r="G10" s="314">
        <v>923.25157559249988</v>
      </c>
      <c r="H10" s="244">
        <v>863.7040409650001</v>
      </c>
      <c r="I10" s="239">
        <f t="shared" si="2"/>
        <v>6.8944374233757655E-2</v>
      </c>
      <c r="J10" s="308">
        <v>800.99519206749994</v>
      </c>
      <c r="K10" s="235">
        <f t="shared" si="0"/>
        <v>7.8288670791691439E-2</v>
      </c>
    </row>
    <row r="11" spans="1:11" ht="15" customHeight="1">
      <c r="A11" s="117" t="s">
        <v>30</v>
      </c>
      <c r="B11" s="306">
        <v>64.073749997500002</v>
      </c>
      <c r="C11" s="243">
        <v>62.212973372500002</v>
      </c>
      <c r="D11" s="307">
        <v>55.017436232500003</v>
      </c>
      <c r="E11" s="306">
        <v>54.256861282500005</v>
      </c>
      <c r="F11" s="234">
        <f>IF(E11=0,"",D11/E11-1)</f>
        <v>1.4018041811152626E-2</v>
      </c>
      <c r="G11" s="313">
        <v>379.83185701999997</v>
      </c>
      <c r="H11" s="243">
        <v>374.22773975749999</v>
      </c>
      <c r="I11" s="238">
        <f t="shared" si="2"/>
        <v>1.4975151938580122E-2</v>
      </c>
      <c r="J11" s="306">
        <v>350.62904399749999</v>
      </c>
      <c r="K11" s="234">
        <f t="shared" si="0"/>
        <v>6.7303881877418759E-2</v>
      </c>
    </row>
    <row r="12" spans="1:11" ht="15" customHeight="1">
      <c r="A12" s="145" t="s">
        <v>42</v>
      </c>
      <c r="B12" s="310">
        <f>+SUM(B8:B11)</f>
        <v>4430.6575862650006</v>
      </c>
      <c r="C12" s="301">
        <f t="shared" ref="C12:D12" si="3">+SUM(C8:C11)</f>
        <v>4594.9549443674996</v>
      </c>
      <c r="D12" s="311">
        <f t="shared" si="3"/>
        <v>4544.4662687649998</v>
      </c>
      <c r="E12" s="310">
        <f>+SUM(E8:E11)</f>
        <v>4438.198389709999</v>
      </c>
      <c r="F12" s="236">
        <f>IF(E12=0,"",D12/E12-1)</f>
        <v>2.3943922673980378E-2</v>
      </c>
      <c r="G12" s="310">
        <f>+SUM(G8:G11)</f>
        <v>27294.220735592495</v>
      </c>
      <c r="H12" s="301">
        <f t="shared" ref="H12:J12" si="4">+SUM(H8:H11)</f>
        <v>26624.930628645001</v>
      </c>
      <c r="I12" s="240">
        <f>IF(H12=0,"",G12/H12-1)</f>
        <v>2.5137722095224024E-2</v>
      </c>
      <c r="J12" s="310">
        <f t="shared" si="4"/>
        <v>23143.706118089998</v>
      </c>
      <c r="K12" s="236">
        <f t="shared" si="0"/>
        <v>0.15041776337774815</v>
      </c>
    </row>
    <row r="13" spans="1:11" ht="15" customHeight="1">
      <c r="A13" s="112"/>
      <c r="B13" s="112"/>
      <c r="C13" s="112"/>
      <c r="D13" s="112"/>
      <c r="E13" s="112"/>
      <c r="F13" s="114"/>
      <c r="G13" s="112"/>
      <c r="H13" s="112"/>
      <c r="I13" s="601"/>
      <c r="J13" s="113"/>
      <c r="K13" s="114" t="str">
        <f t="shared" si="0"/>
        <v/>
      </c>
    </row>
    <row r="14" spans="1:11" ht="15" customHeight="1">
      <c r="A14" s="119" t="s">
        <v>39</v>
      </c>
      <c r="B14" s="231">
        <v>4.6061886000000012</v>
      </c>
      <c r="C14" s="232">
        <v>9.7372668999999981</v>
      </c>
      <c r="D14" s="303">
        <v>10.513236070000001</v>
      </c>
      <c r="E14" s="231">
        <v>7.6836916000000022</v>
      </c>
      <c r="F14" s="120">
        <f>IF(E14=0,"",D14/E14-1)</f>
        <v>0.36825325862896396</v>
      </c>
      <c r="G14" s="231">
        <v>24.856691570000002</v>
      </c>
      <c r="H14" s="232">
        <v>28.662234530000003</v>
      </c>
      <c r="I14" s="123">
        <f t="shared" si="2"/>
        <v>-0.13277202641046149</v>
      </c>
      <c r="J14" s="231">
        <v>22.616474610000001</v>
      </c>
      <c r="K14" s="120">
        <f t="shared" si="0"/>
        <v>0.26731663640127334</v>
      </c>
    </row>
    <row r="15" spans="1:11" ht="15" customHeight="1">
      <c r="A15" s="118" t="s">
        <v>40</v>
      </c>
      <c r="B15" s="228">
        <v>0</v>
      </c>
      <c r="C15" s="229">
        <v>0</v>
      </c>
      <c r="D15" s="230">
        <v>0</v>
      </c>
      <c r="E15" s="228">
        <v>0</v>
      </c>
      <c r="F15" s="121" t="str">
        <f t="shared" si="1"/>
        <v/>
      </c>
      <c r="G15" s="228">
        <v>0</v>
      </c>
      <c r="H15" s="229">
        <v>0</v>
      </c>
      <c r="I15" s="115" t="str">
        <f t="shared" si="2"/>
        <v/>
      </c>
      <c r="J15" s="228">
        <v>0</v>
      </c>
      <c r="K15" s="121" t="str">
        <f t="shared" si="0"/>
        <v/>
      </c>
    </row>
    <row r="16" spans="1:11" ht="23.25" customHeight="1">
      <c r="A16" s="125" t="s">
        <v>41</v>
      </c>
      <c r="B16" s="241">
        <f>+B15-B14</f>
        <v>-4.6061886000000012</v>
      </c>
      <c r="C16" s="242">
        <f t="shared" ref="C16:E16" si="5">+C15-C14</f>
        <v>-9.7372668999999981</v>
      </c>
      <c r="D16" s="242">
        <f t="shared" si="5"/>
        <v>-10.513236070000001</v>
      </c>
      <c r="E16" s="241">
        <f t="shared" si="5"/>
        <v>-7.6836916000000022</v>
      </c>
      <c r="F16" s="122"/>
      <c r="G16" s="241">
        <f t="shared" ref="G16:H16" si="6">+G15-G14</f>
        <v>-24.856691570000002</v>
      </c>
      <c r="H16" s="242">
        <f t="shared" si="6"/>
        <v>-28.662234530000003</v>
      </c>
      <c r="I16" s="124"/>
      <c r="J16" s="241">
        <f>+J15-J14</f>
        <v>-22.616474610000001</v>
      </c>
      <c r="K16" s="122"/>
    </row>
    <row r="17" spans="1:11" ht="11.25" customHeight="1">
      <c r="A17" s="227"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47"/>
      <c r="C42" s="847"/>
      <c r="D42" s="847"/>
      <c r="E42" s="93"/>
      <c r="F42" s="93"/>
      <c r="G42" s="848"/>
      <c r="H42" s="848"/>
      <c r="I42" s="848"/>
      <c r="J42" s="848"/>
      <c r="K42" s="848"/>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27" t="str">
        <f>"Gráfico N° 4: Comparación de la producción de energía eléctrica por tipo de generación acumulada a "&amp;'1. Resumen'!Q4</f>
        <v>Gráfico N° 4: Comparación de la producción de energía eléctrica por tipo de generación acumulada a junio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40416666666666667" right="0.35144927536231885"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6"/>
  <sheetViews>
    <sheetView showGridLines="0" view="pageBreakPreview" zoomScaleNormal="100" zoomScaleSheetLayoutView="100" zoomScalePageLayoutView="145" workbookViewId="0">
      <selection activeCell="B18" sqref="M18"/>
    </sheetView>
  </sheetViews>
  <sheetFormatPr baseColWidth="10" defaultColWidth="9.33203125" defaultRowHeight="11.25"/>
  <cols>
    <col min="1" max="1" width="15.1640625" customWidth="1"/>
    <col min="2" max="3" width="10.5" customWidth="1"/>
    <col min="4" max="4" width="13.1640625" customWidth="1"/>
    <col min="5" max="5" width="9.83203125" customWidth="1"/>
    <col min="6" max="6" width="10.5" customWidth="1"/>
    <col min="7" max="7" width="10.83203125" customWidth="1"/>
    <col min="8" max="8" width="10.5" bestFit="1" customWidth="1"/>
    <col min="9" max="9" width="10.5" customWidth="1"/>
    <col min="10" max="10" width="12.1640625" customWidth="1"/>
    <col min="11" max="11" width="11" customWidth="1"/>
  </cols>
  <sheetData>
    <row r="1" spans="1:12" ht="11.25" customHeight="1"/>
    <row r="2" spans="1:12" ht="11.25" customHeight="1">
      <c r="A2" s="857" t="str">
        <f>+"3.2. PRODUCCIÓN POR TIPO DE RECURSO ENERGÉTICO (GWh)"</f>
        <v>3.2. PRODUCCIÓN POR TIPO DE RECURSO ENERGÉTICO (GWh)</v>
      </c>
      <c r="B2" s="857"/>
      <c r="C2" s="857"/>
      <c r="D2" s="857"/>
      <c r="E2" s="857"/>
      <c r="F2" s="857"/>
      <c r="G2" s="857"/>
      <c r="H2" s="857"/>
      <c r="I2" s="857"/>
      <c r="J2" s="857"/>
      <c r="K2" s="857"/>
    </row>
    <row r="3" spans="1:12" ht="18.75" customHeight="1">
      <c r="A3" s="126"/>
      <c r="B3" s="127"/>
      <c r="C3" s="128"/>
      <c r="D3" s="129"/>
      <c r="E3" s="129"/>
      <c r="F3" s="129"/>
      <c r="G3" s="130"/>
      <c r="H3" s="130"/>
      <c r="I3" s="130"/>
      <c r="J3" s="126"/>
      <c r="K3" s="126"/>
      <c r="L3" s="36"/>
    </row>
    <row r="4" spans="1:12" ht="14.25" customHeight="1">
      <c r="A4" s="861" t="s">
        <v>43</v>
      </c>
      <c r="B4" s="858" t="s">
        <v>33</v>
      </c>
      <c r="C4" s="859"/>
      <c r="D4" s="859"/>
      <c r="E4" s="859" t="s">
        <v>34</v>
      </c>
      <c r="F4" s="859"/>
      <c r="G4" s="860" t="str">
        <f>+'3. Tipo Generación'!G6:K6</f>
        <v>Generación Acumulada a junio</v>
      </c>
      <c r="H4" s="860"/>
      <c r="I4" s="860"/>
      <c r="J4" s="860"/>
      <c r="K4" s="860"/>
      <c r="L4" s="131"/>
    </row>
    <row r="5" spans="1:12" ht="26.25" customHeight="1">
      <c r="A5" s="861"/>
      <c r="B5" s="365">
        <f>+'3. Tipo Generación'!B7</f>
        <v>44655</v>
      </c>
      <c r="C5" s="365">
        <f>+'3. Tipo Generación'!C7</f>
        <v>44685</v>
      </c>
      <c r="D5" s="365">
        <f>+'3. Tipo Generación'!D7</f>
        <v>44713</v>
      </c>
      <c r="E5" s="365">
        <f>+'3. Tipo Generación'!E7</f>
        <v>44348</v>
      </c>
      <c r="F5" s="366" t="s">
        <v>35</v>
      </c>
      <c r="G5" s="367">
        <v>2022</v>
      </c>
      <c r="H5" s="367">
        <v>2021</v>
      </c>
      <c r="I5" s="366" t="s">
        <v>548</v>
      </c>
      <c r="J5" s="367">
        <v>2020</v>
      </c>
      <c r="K5" s="366" t="s">
        <v>467</v>
      </c>
      <c r="L5" s="19"/>
    </row>
    <row r="6" spans="1:12" ht="11.25" customHeight="1">
      <c r="A6" s="139" t="s">
        <v>44</v>
      </c>
      <c r="B6" s="278">
        <v>3092.8270764449999</v>
      </c>
      <c r="C6" s="279">
        <v>2616.8815129024993</v>
      </c>
      <c r="D6" s="280">
        <v>2201.56439611</v>
      </c>
      <c r="E6" s="278">
        <v>2161.5951565824998</v>
      </c>
      <c r="F6" s="248">
        <f>IF(E6=0,"",D6/E6-1)</f>
        <v>1.8490622263741541E-2</v>
      </c>
      <c r="G6" s="278">
        <v>16886.715883727498</v>
      </c>
      <c r="H6" s="279">
        <v>17295.1478346925</v>
      </c>
      <c r="I6" s="248">
        <f t="shared" ref="I6:I16" si="0">IF(H6=0,"",G6/H6-1)</f>
        <v>-2.36154067527381E-2</v>
      </c>
      <c r="J6" s="278">
        <v>16968.109444374997</v>
      </c>
      <c r="K6" s="248">
        <f>IF(J6=0,"",H6/J6-1)</f>
        <v>1.9273708210664431E-2</v>
      </c>
      <c r="L6" s="24"/>
    </row>
    <row r="7" spans="1:12" ht="11.25" customHeight="1">
      <c r="A7" s="140" t="s">
        <v>50</v>
      </c>
      <c r="B7" s="281">
        <v>1012.7061433900002</v>
      </c>
      <c r="C7" s="243">
        <v>1645.2046991625002</v>
      </c>
      <c r="D7" s="282">
        <v>2002.6151814675002</v>
      </c>
      <c r="E7" s="281">
        <v>1963.3068820199996</v>
      </c>
      <c r="F7" s="249">
        <f t="shared" ref="F7:F18" si="1">IF(E7=0,"",D7/E7-1)</f>
        <v>2.0021474893959113E-2</v>
      </c>
      <c r="G7" s="281">
        <v>8576.0388914474988</v>
      </c>
      <c r="H7" s="243">
        <v>7505.1897904274992</v>
      </c>
      <c r="I7" s="249">
        <f t="shared" si="0"/>
        <v>0.14268114876799176</v>
      </c>
      <c r="J7" s="281">
        <v>4643.9973746100004</v>
      </c>
      <c r="K7" s="249">
        <f t="shared" ref="K7:K19" si="2">IF(J7=0,"",H7/J7-1)</f>
        <v>0.6161055196672629</v>
      </c>
      <c r="L7" s="22"/>
    </row>
    <row r="8" spans="1:12" ht="11.25" customHeight="1">
      <c r="A8" s="141" t="s">
        <v>51</v>
      </c>
      <c r="B8" s="283">
        <v>47.571715250000004</v>
      </c>
      <c r="C8" s="244">
        <v>62.75949</v>
      </c>
      <c r="D8" s="284">
        <v>58.9598455</v>
      </c>
      <c r="E8" s="283">
        <v>64.7966159275</v>
      </c>
      <c r="F8" s="323">
        <f t="shared" si="1"/>
        <v>-9.0078321899259017E-2</v>
      </c>
      <c r="G8" s="283">
        <v>286.79904675000006</v>
      </c>
      <c r="H8" s="244">
        <v>333.90736995499998</v>
      </c>
      <c r="I8" s="323">
        <f t="shared" si="0"/>
        <v>-0.14108201089226813</v>
      </c>
      <c r="J8" s="283">
        <v>227.43830298750001</v>
      </c>
      <c r="K8" s="323">
        <f t="shared" si="2"/>
        <v>0.46812285164364553</v>
      </c>
      <c r="L8" s="22"/>
    </row>
    <row r="9" spans="1:12" ht="11.25" customHeight="1">
      <c r="A9" s="140" t="s">
        <v>52</v>
      </c>
      <c r="B9" s="281">
        <v>12.14907</v>
      </c>
      <c r="C9" s="243">
        <v>9.7057670099999989</v>
      </c>
      <c r="D9" s="282">
        <v>35.846402499999996</v>
      </c>
      <c r="E9" s="281">
        <v>22.330118052500001</v>
      </c>
      <c r="F9" s="249"/>
      <c r="G9" s="281">
        <v>75.51004474749999</v>
      </c>
      <c r="H9" s="243">
        <v>71.650333852499998</v>
      </c>
      <c r="I9" s="249">
        <f t="shared" si="0"/>
        <v>5.3868707757114276E-2</v>
      </c>
      <c r="J9" s="281">
        <v>15.849400752499999</v>
      </c>
      <c r="K9" s="249">
        <f t="shared" si="2"/>
        <v>3.5206967109591361</v>
      </c>
      <c r="L9" s="22"/>
    </row>
    <row r="10" spans="1:12" ht="11.25" customHeight="1">
      <c r="A10" s="141" t="s">
        <v>53</v>
      </c>
      <c r="B10" s="283">
        <v>0</v>
      </c>
      <c r="C10" s="244">
        <v>0</v>
      </c>
      <c r="D10" s="284">
        <v>0</v>
      </c>
      <c r="E10" s="283">
        <v>0</v>
      </c>
      <c r="F10" s="323" t="str">
        <f t="shared" si="1"/>
        <v/>
      </c>
      <c r="G10" s="283">
        <v>0</v>
      </c>
      <c r="H10" s="244">
        <v>0</v>
      </c>
      <c r="I10" s="323" t="str">
        <f t="shared" si="0"/>
        <v/>
      </c>
      <c r="J10" s="283">
        <v>0</v>
      </c>
      <c r="K10" s="323" t="str">
        <f t="shared" si="2"/>
        <v/>
      </c>
      <c r="L10" s="22"/>
    </row>
    <row r="11" spans="1:12" ht="11.25" customHeight="1">
      <c r="A11" s="140" t="s">
        <v>26</v>
      </c>
      <c r="B11" s="281">
        <v>0</v>
      </c>
      <c r="C11" s="243">
        <v>0</v>
      </c>
      <c r="D11" s="282">
        <v>0</v>
      </c>
      <c r="E11" s="281">
        <v>0</v>
      </c>
      <c r="F11" s="249" t="str">
        <f t="shared" si="1"/>
        <v/>
      </c>
      <c r="G11" s="281">
        <v>6.0839352225000001</v>
      </c>
      <c r="H11" s="243">
        <v>12.778767482499999</v>
      </c>
      <c r="I11" s="249">
        <f t="shared" si="0"/>
        <v>-0.52390281528858695</v>
      </c>
      <c r="J11" s="281">
        <v>0</v>
      </c>
      <c r="K11" s="249" t="str">
        <f t="shared" si="2"/>
        <v/>
      </c>
      <c r="L11" s="24"/>
    </row>
    <row r="12" spans="1:12" ht="11.25" customHeight="1">
      <c r="A12" s="141" t="s">
        <v>45</v>
      </c>
      <c r="B12" s="283">
        <v>0.58823145249999997</v>
      </c>
      <c r="C12" s="244">
        <v>0.93733993999999998</v>
      </c>
      <c r="D12" s="284">
        <v>0</v>
      </c>
      <c r="E12" s="283">
        <v>0.77859313499999994</v>
      </c>
      <c r="F12" s="323">
        <f t="shared" si="1"/>
        <v>-1</v>
      </c>
      <c r="G12" s="283">
        <v>6.1898244674999994</v>
      </c>
      <c r="H12" s="244">
        <v>4.2980835649999998</v>
      </c>
      <c r="I12" s="323">
        <f t="shared" si="0"/>
        <v>0.440135905663807</v>
      </c>
      <c r="J12" s="283">
        <v>1.2236413724999999</v>
      </c>
      <c r="K12" s="323">
        <f t="shared" si="2"/>
        <v>2.512535340496588</v>
      </c>
      <c r="L12" s="22"/>
    </row>
    <row r="13" spans="1:12" ht="11.25" customHeight="1">
      <c r="A13" s="140" t="s">
        <v>46</v>
      </c>
      <c r="B13" s="281">
        <v>0</v>
      </c>
      <c r="C13" s="243">
        <v>0</v>
      </c>
      <c r="D13" s="282">
        <v>0</v>
      </c>
      <c r="E13" s="281">
        <v>0</v>
      </c>
      <c r="F13" s="249" t="str">
        <f>IF(E13=0,"",D13/E13-1)</f>
        <v/>
      </c>
      <c r="G13" s="281">
        <v>0</v>
      </c>
      <c r="H13" s="243">
        <v>0</v>
      </c>
      <c r="I13" s="249" t="str">
        <f t="shared" si="0"/>
        <v/>
      </c>
      <c r="J13" s="281">
        <v>0</v>
      </c>
      <c r="K13" s="249" t="str">
        <f t="shared" si="2"/>
        <v/>
      </c>
      <c r="L13" s="22"/>
    </row>
    <row r="14" spans="1:12" ht="11.25" customHeight="1">
      <c r="A14" s="141" t="s">
        <v>47</v>
      </c>
      <c r="B14" s="283">
        <v>1.7266925475000001</v>
      </c>
      <c r="C14" s="244">
        <v>0.97724449749999998</v>
      </c>
      <c r="D14" s="284">
        <v>5.8887236250000017</v>
      </c>
      <c r="E14" s="283">
        <v>3.2844926224999997</v>
      </c>
      <c r="F14" s="323">
        <f>IF(E14=0,"",D14/E14-1)</f>
        <v>0.79288684792897635</v>
      </c>
      <c r="G14" s="283">
        <v>14.183467992500002</v>
      </c>
      <c r="H14" s="244">
        <v>10.244491575</v>
      </c>
      <c r="I14" s="323">
        <f t="shared" si="0"/>
        <v>0.38449701370367939</v>
      </c>
      <c r="J14" s="283">
        <v>8.0604177100000012</v>
      </c>
      <c r="K14" s="323">
        <f t="shared" si="2"/>
        <v>0.27096286366032496</v>
      </c>
      <c r="L14" s="22"/>
    </row>
    <row r="15" spans="1:12" ht="11.25" customHeight="1">
      <c r="A15" s="140" t="s">
        <v>48</v>
      </c>
      <c r="B15" s="281">
        <v>11.687304187500001</v>
      </c>
      <c r="C15" s="243">
        <v>19.601933642500001</v>
      </c>
      <c r="D15" s="282">
        <v>22.232450172500002</v>
      </c>
      <c r="E15" s="281">
        <v>28.032808269999997</v>
      </c>
      <c r="F15" s="249">
        <f t="shared" si="1"/>
        <v>-0.20691320119031353</v>
      </c>
      <c r="G15" s="281">
        <v>103.02948834999998</v>
      </c>
      <c r="H15" s="243">
        <v>112.68767763999999</v>
      </c>
      <c r="I15" s="249">
        <f>IF(H15=0,"",G15/H15-1)</f>
        <v>-8.570759014889584E-2</v>
      </c>
      <c r="J15" s="281">
        <v>106.3829947025</v>
      </c>
      <c r="K15" s="249">
        <f t="shared" si="2"/>
        <v>5.9264010710837978E-2</v>
      </c>
      <c r="L15" s="22"/>
    </row>
    <row r="16" spans="1:12" ht="11.25" customHeight="1">
      <c r="A16" s="141" t="s">
        <v>49</v>
      </c>
      <c r="B16" s="283">
        <v>4.4481335999999994</v>
      </c>
      <c r="C16" s="244">
        <v>4.9106999500000006</v>
      </c>
      <c r="D16" s="284">
        <v>6.5507768749999995</v>
      </c>
      <c r="E16" s="283">
        <v>5.730149074999999</v>
      </c>
      <c r="F16" s="323">
        <f t="shared" si="1"/>
        <v>0.1432122950483623</v>
      </c>
      <c r="G16" s="283">
        <v>36.586720274999998</v>
      </c>
      <c r="H16" s="244">
        <v>41.094498732500007</v>
      </c>
      <c r="I16" s="323">
        <f t="shared" si="0"/>
        <v>-0.10969299046188352</v>
      </c>
      <c r="J16" s="283">
        <v>21.020305515</v>
      </c>
      <c r="K16" s="323">
        <f t="shared" si="2"/>
        <v>0.95499055440346226</v>
      </c>
      <c r="L16" s="22"/>
    </row>
    <row r="17" spans="1:12" ht="11.25" customHeight="1">
      <c r="A17" s="140" t="s">
        <v>30</v>
      </c>
      <c r="B17" s="281">
        <v>64.073749997500002</v>
      </c>
      <c r="C17" s="243">
        <v>62.212973372500002</v>
      </c>
      <c r="D17" s="282">
        <v>55.017436232500003</v>
      </c>
      <c r="E17" s="281">
        <v>54.256861282500005</v>
      </c>
      <c r="F17" s="249">
        <f t="shared" si="1"/>
        <v>1.4018041811152626E-2</v>
      </c>
      <c r="G17" s="281">
        <v>379.83185701999997</v>
      </c>
      <c r="H17" s="243">
        <v>374.22773975749999</v>
      </c>
      <c r="I17" s="249">
        <f>IF(H17=0,"",G17/H17-1)</f>
        <v>1.4975151938580122E-2</v>
      </c>
      <c r="J17" s="281">
        <v>350.62904399749999</v>
      </c>
      <c r="K17" s="249">
        <f t="shared" si="2"/>
        <v>6.7303881877418759E-2</v>
      </c>
      <c r="L17" s="22"/>
    </row>
    <row r="18" spans="1:12" ht="11.25" customHeight="1">
      <c r="A18" s="141" t="s">
        <v>29</v>
      </c>
      <c r="B18" s="283">
        <v>182.87946939500003</v>
      </c>
      <c r="C18" s="244">
        <v>171.76328389</v>
      </c>
      <c r="D18" s="284">
        <v>155.79105628249997</v>
      </c>
      <c r="E18" s="283">
        <v>134.0867127425</v>
      </c>
      <c r="F18" s="323">
        <f t="shared" si="1"/>
        <v>0.1618679666021865</v>
      </c>
      <c r="G18" s="283">
        <v>923.25157559249988</v>
      </c>
      <c r="H18" s="244">
        <v>863.7040409650001</v>
      </c>
      <c r="I18" s="323">
        <f>IF(H18=0,"",G18/H18-1)</f>
        <v>6.8944374233757655E-2</v>
      </c>
      <c r="J18" s="283">
        <v>800.99519206749994</v>
      </c>
      <c r="K18" s="323">
        <f t="shared" si="2"/>
        <v>7.8288670791691439E-2</v>
      </c>
      <c r="L18" s="22"/>
    </row>
    <row r="19" spans="1:12" ht="11.25" customHeight="1">
      <c r="A19" s="146" t="s">
        <v>42</v>
      </c>
      <c r="B19" s="285">
        <f>SUM(B6:B18)</f>
        <v>4430.6575862649997</v>
      </c>
      <c r="C19" s="286">
        <f>SUM(C6:C18)</f>
        <v>4594.9549443674996</v>
      </c>
      <c r="D19" s="558">
        <f>SUM(D6:D18)</f>
        <v>4544.4662687649998</v>
      </c>
      <c r="E19" s="285">
        <f>SUM(E6:E18)</f>
        <v>4438.198389709999</v>
      </c>
      <c r="F19" s="324">
        <f>IF(E19=0,"",D19/E19-1)</f>
        <v>2.3943922673980378E-2</v>
      </c>
      <c r="G19" s="285">
        <f>SUM(G6:G18)</f>
        <v>27294.220735592498</v>
      </c>
      <c r="H19" s="286">
        <f>SUM(H6:H18)</f>
        <v>26624.930628644997</v>
      </c>
      <c r="I19" s="324">
        <f>IF(H19=0,"",G19/H19-1)</f>
        <v>2.5137722095224246E-2</v>
      </c>
      <c r="J19" s="285">
        <f>SUM(J6:J18)</f>
        <v>23143.706118089998</v>
      </c>
      <c r="K19" s="324">
        <f t="shared" si="2"/>
        <v>0.15041776337774793</v>
      </c>
      <c r="L19" s="30"/>
    </row>
    <row r="20" spans="1:12" ht="11.25" customHeight="1">
      <c r="A20" s="22"/>
      <c r="B20" s="22"/>
      <c r="C20" s="22"/>
      <c r="D20" s="22"/>
      <c r="E20" s="22"/>
      <c r="F20" s="22"/>
      <c r="G20" s="22"/>
      <c r="H20" s="22"/>
      <c r="I20" s="22"/>
      <c r="J20" s="22"/>
      <c r="K20" s="22"/>
      <c r="L20" s="22"/>
    </row>
    <row r="21" spans="1:12" ht="11.25" customHeight="1">
      <c r="A21" s="142" t="s">
        <v>39</v>
      </c>
      <c r="B21" s="231">
        <v>4.6061886000000012</v>
      </c>
      <c r="C21" s="232">
        <v>9.7372668999999981</v>
      </c>
      <c r="D21" s="303">
        <v>10.513236070000001</v>
      </c>
      <c r="E21" s="543">
        <v>7.6836916000000022</v>
      </c>
      <c r="F21" s="120">
        <f>IF(E21=0,"",D21/E21-1)</f>
        <v>0.36825325862896396</v>
      </c>
      <c r="G21" s="231">
        <v>24.856691570000002</v>
      </c>
      <c r="H21" s="302">
        <v>28.662234530000003</v>
      </c>
      <c r="I21" s="123">
        <f>IF(H21=0,"",G21/H21-1)</f>
        <v>-0.13277202641046149</v>
      </c>
      <c r="J21" s="231">
        <v>22.616474610000001</v>
      </c>
      <c r="K21" s="120">
        <f>IF(J21=0,"",H21/J21-1)</f>
        <v>0.26731663640127334</v>
      </c>
      <c r="L21" s="22"/>
    </row>
    <row r="22" spans="1:12" ht="11.25" customHeight="1">
      <c r="A22" s="143" t="s">
        <v>40</v>
      </c>
      <c r="B22" s="228">
        <v>0</v>
      </c>
      <c r="C22" s="229">
        <v>0</v>
      </c>
      <c r="D22" s="230">
        <v>0</v>
      </c>
      <c r="E22" s="544">
        <v>0</v>
      </c>
      <c r="F22" s="542" t="str">
        <f>IF(E22=0,"",D22/E22-1)</f>
        <v/>
      </c>
      <c r="G22" s="228">
        <v>0</v>
      </c>
      <c r="H22" s="229">
        <v>0</v>
      </c>
      <c r="I22" s="115" t="str">
        <f>IF(H22=0,"",G22/H22-1)</f>
        <v/>
      </c>
      <c r="J22" s="228">
        <v>0</v>
      </c>
      <c r="K22" s="121" t="str">
        <f>IF(J22=0,"",H22/J22-1)</f>
        <v/>
      </c>
      <c r="L22" s="22"/>
    </row>
    <row r="23" spans="1:12" ht="23.25" customHeight="1">
      <c r="A23" s="144" t="s">
        <v>41</v>
      </c>
      <c r="B23" s="241">
        <f>+B22-B21</f>
        <v>-4.6061886000000012</v>
      </c>
      <c r="C23" s="242">
        <f>+C22-C21</f>
        <v>-9.7372668999999981</v>
      </c>
      <c r="D23" s="325">
        <f>+D22-D21</f>
        <v>-10.513236070000001</v>
      </c>
      <c r="E23" s="545">
        <f>+E22-E21</f>
        <v>-7.6836916000000022</v>
      </c>
      <c r="F23" s="242"/>
      <c r="G23" s="241">
        <f>+G22-G21</f>
        <v>-24.856691570000002</v>
      </c>
      <c r="H23" s="242">
        <f>+H22-H21</f>
        <v>-28.662234530000003</v>
      </c>
      <c r="I23" s="124"/>
      <c r="J23" s="241">
        <f>+J22-J21</f>
        <v>-22.616474610000001</v>
      </c>
      <c r="K23" s="122"/>
      <c r="L23" s="30"/>
    </row>
    <row r="24" spans="1:12" ht="11.25" customHeight="1">
      <c r="A24" s="226"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s="557" customFormat="1">
      <c r="A56" s="136"/>
      <c r="B56" s="138"/>
      <c r="C56" s="138"/>
      <c r="D56" s="138"/>
      <c r="E56" s="138"/>
      <c r="F56" s="138"/>
      <c r="G56" s="138"/>
      <c r="H56" s="138"/>
      <c r="I56" s="138"/>
      <c r="J56" s="138"/>
      <c r="K56" s="138"/>
    </row>
    <row r="57" spans="1:11" s="557" customFormat="1">
      <c r="A57" s="136"/>
      <c r="B57" s="138"/>
      <c r="C57" s="138"/>
      <c r="D57" s="138"/>
      <c r="E57" s="138"/>
      <c r="F57" s="138"/>
      <c r="G57" s="138"/>
      <c r="H57" s="138"/>
      <c r="I57" s="138"/>
      <c r="J57" s="138"/>
      <c r="K57" s="138"/>
    </row>
    <row r="58" spans="1:11" s="557" customFormat="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A63" s="136"/>
      <c r="B63" s="138"/>
      <c r="C63" s="138"/>
      <c r="D63" s="138"/>
      <c r="E63" s="138"/>
      <c r="F63" s="138"/>
      <c r="G63" s="138"/>
      <c r="H63" s="138"/>
      <c r="I63" s="138"/>
      <c r="J63" s="138"/>
      <c r="K63" s="138"/>
    </row>
    <row r="64" spans="1:11">
      <c r="A64" s="136"/>
      <c r="B64" s="138"/>
      <c r="C64" s="138"/>
      <c r="D64" s="138"/>
      <c r="E64" s="138"/>
      <c r="F64" s="138"/>
      <c r="G64" s="138"/>
      <c r="H64" s="138"/>
      <c r="I64" s="138"/>
      <c r="J64" s="138"/>
      <c r="K64" s="138"/>
    </row>
    <row r="65" spans="1:11">
      <c r="B65" s="138"/>
      <c r="C65" s="138"/>
      <c r="D65" s="138"/>
      <c r="E65" s="138"/>
      <c r="F65" s="138"/>
      <c r="G65" s="138"/>
      <c r="H65" s="138"/>
      <c r="I65" s="138"/>
      <c r="J65" s="138"/>
      <c r="K65" s="138"/>
    </row>
    <row r="66" spans="1:11">
      <c r="A66" s="226" t="str">
        <f>"Gráfico N° 5: Comparación de la producción de energía eléctrica (GWh) por tipo de recurso energético acumulado a "&amp;'1. Resumen'!Q4&amp;"."</f>
        <v>Gráfico N° 5: Comparación de la producción de energía eléctrica (GWh) por tipo de recurso energético acumulado a junio.</v>
      </c>
    </row>
  </sheetData>
  <mergeCells count="5">
    <mergeCell ref="A2:K2"/>
    <mergeCell ref="B4:D4"/>
    <mergeCell ref="E4:F4"/>
    <mergeCell ref="G4:K4"/>
    <mergeCell ref="A4:A5"/>
  </mergeCells>
  <pageMargins left="0.39406249999999998" right="0.27281250000000001"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ignoredErrors>
    <ignoredError sqref="K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4"/>
  <sheetViews>
    <sheetView showGridLines="0" view="pageBreakPreview" zoomScaleNormal="100" zoomScaleSheetLayoutView="100" zoomScalePageLayoutView="115" workbookViewId="0">
      <selection activeCell="B18" sqref="M18"/>
    </sheetView>
  </sheetViews>
  <sheetFormatPr baseColWidth="10"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437"/>
  </cols>
  <sheetData>
    <row r="1" spans="1:12" ht="11.25" customHeight="1"/>
    <row r="2" spans="1:12" ht="11.25" customHeight="1">
      <c r="A2" s="863" t="s">
        <v>228</v>
      </c>
      <c r="B2" s="863"/>
      <c r="C2" s="863"/>
      <c r="D2" s="863"/>
      <c r="E2" s="863"/>
      <c r="F2" s="863"/>
      <c r="G2" s="863"/>
      <c r="H2" s="863"/>
      <c r="I2" s="863"/>
      <c r="J2" s="863"/>
      <c r="K2" s="863"/>
      <c r="L2" s="438"/>
    </row>
    <row r="3" spans="1:12" ht="11.25" customHeight="1">
      <c r="A3" s="74"/>
      <c r="B3" s="73"/>
      <c r="C3" s="73"/>
      <c r="D3" s="73"/>
      <c r="E3" s="73"/>
      <c r="F3" s="73"/>
      <c r="G3" s="73"/>
      <c r="H3" s="73"/>
      <c r="I3" s="73"/>
      <c r="J3" s="73"/>
      <c r="K3" s="73"/>
      <c r="L3" s="438"/>
    </row>
    <row r="4" spans="1:12" ht="15.75" customHeight="1">
      <c r="A4" s="861" t="s">
        <v>224</v>
      </c>
      <c r="B4" s="858" t="s">
        <v>33</v>
      </c>
      <c r="C4" s="859"/>
      <c r="D4" s="859"/>
      <c r="E4" s="859" t="s">
        <v>34</v>
      </c>
      <c r="F4" s="859"/>
      <c r="G4" s="860" t="str">
        <f>+'4. Tipo Recurso'!G4:K4</f>
        <v>Generación Acumulada a junio</v>
      </c>
      <c r="H4" s="860"/>
      <c r="I4" s="860"/>
      <c r="J4" s="860"/>
      <c r="K4" s="860"/>
      <c r="L4" s="439"/>
    </row>
    <row r="5" spans="1:12" ht="29.25" customHeight="1">
      <c r="A5" s="861"/>
      <c r="B5" s="365">
        <f>+'4. Tipo Recurso'!B5</f>
        <v>44655</v>
      </c>
      <c r="C5" s="365">
        <f>+'4. Tipo Recurso'!C5</f>
        <v>44685</v>
      </c>
      <c r="D5" s="365">
        <f>+'4. Tipo Recurso'!D5</f>
        <v>44713</v>
      </c>
      <c r="E5" s="365">
        <f>+'4. Tipo Recurso'!E5</f>
        <v>44348</v>
      </c>
      <c r="F5" s="365" t="s">
        <v>35</v>
      </c>
      <c r="G5" s="367">
        <v>2022</v>
      </c>
      <c r="H5" s="367">
        <v>2021</v>
      </c>
      <c r="I5" s="366" t="s">
        <v>548</v>
      </c>
      <c r="J5" s="367">
        <v>2020</v>
      </c>
      <c r="K5" s="366" t="s">
        <v>467</v>
      </c>
      <c r="L5" s="440"/>
    </row>
    <row r="6" spans="1:12" ht="11.25" customHeight="1">
      <c r="A6" s="139" t="s">
        <v>44</v>
      </c>
      <c r="B6" s="278">
        <v>226.57146382249996</v>
      </c>
      <c r="C6" s="279">
        <v>182.05815145249997</v>
      </c>
      <c r="D6" s="280">
        <v>147.39524293750003</v>
      </c>
      <c r="E6" s="278">
        <v>164.32338348750002</v>
      </c>
      <c r="F6" s="248">
        <f t="shared" ref="F6:F11" si="0">IF(E6=0,"",D6/E6-1)</f>
        <v>-0.1030172346182715</v>
      </c>
      <c r="G6" s="278">
        <v>1260.82759442</v>
      </c>
      <c r="H6" s="279">
        <v>1355.7110774300002</v>
      </c>
      <c r="I6" s="252">
        <f t="shared" ref="I6:I11" si="1">IF(H6=0,"",G6/H6-1)</f>
        <v>-6.998798238771442E-2</v>
      </c>
      <c r="J6" s="278">
        <v>1270.3747325024999</v>
      </c>
      <c r="K6" s="248">
        <f t="shared" ref="K6:K11" si="2">IF(J6=0,"",H6/J6-1)</f>
        <v>6.7174151645315705E-2</v>
      </c>
      <c r="L6" s="441"/>
    </row>
    <row r="7" spans="1:12" ht="11.25" customHeight="1">
      <c r="A7" s="140" t="s">
        <v>38</v>
      </c>
      <c r="B7" s="281">
        <v>182.87946939500003</v>
      </c>
      <c r="C7" s="243">
        <v>171.76328389</v>
      </c>
      <c r="D7" s="282">
        <v>155.79105628249997</v>
      </c>
      <c r="E7" s="281">
        <v>134.0867127425</v>
      </c>
      <c r="F7" s="249">
        <f t="shared" si="0"/>
        <v>0.1618679666021865</v>
      </c>
      <c r="G7" s="281">
        <v>923.25157559249988</v>
      </c>
      <c r="H7" s="243">
        <v>863.7040409650001</v>
      </c>
      <c r="I7" s="238">
        <f t="shared" si="1"/>
        <v>6.8944374233757655E-2</v>
      </c>
      <c r="J7" s="281">
        <v>800.99519206749994</v>
      </c>
      <c r="K7" s="249">
        <f t="shared" si="2"/>
        <v>7.8288670791691439E-2</v>
      </c>
      <c r="L7" s="441"/>
    </row>
    <row r="8" spans="1:12" ht="11.25" customHeight="1">
      <c r="A8" s="246" t="s">
        <v>30</v>
      </c>
      <c r="B8" s="330">
        <v>64.073749997500002</v>
      </c>
      <c r="C8" s="287">
        <v>62.212973372500002</v>
      </c>
      <c r="D8" s="331">
        <v>55.017436232500003</v>
      </c>
      <c r="E8" s="330">
        <v>54.256861282500005</v>
      </c>
      <c r="F8" s="250">
        <f t="shared" si="0"/>
        <v>1.4018041811152626E-2</v>
      </c>
      <c r="G8" s="330">
        <v>379.83185701999997</v>
      </c>
      <c r="H8" s="287">
        <v>374.22773975749999</v>
      </c>
      <c r="I8" s="245">
        <f t="shared" si="1"/>
        <v>1.4975151938580122E-2</v>
      </c>
      <c r="J8" s="330">
        <v>350.62904399749999</v>
      </c>
      <c r="K8" s="250">
        <f t="shared" si="2"/>
        <v>6.7303881877418759E-2</v>
      </c>
      <c r="L8" s="441"/>
    </row>
    <row r="9" spans="1:12" ht="11.25" customHeight="1">
      <c r="A9" s="140" t="s">
        <v>48</v>
      </c>
      <c r="B9" s="281">
        <v>11.687304187500001</v>
      </c>
      <c r="C9" s="243">
        <v>19.601933642500001</v>
      </c>
      <c r="D9" s="282">
        <v>22.232450172500002</v>
      </c>
      <c r="E9" s="281">
        <v>28.032808269999997</v>
      </c>
      <c r="F9" s="249">
        <f t="shared" si="0"/>
        <v>-0.20691320119031353</v>
      </c>
      <c r="G9" s="281">
        <v>103.02948834999998</v>
      </c>
      <c r="H9" s="243">
        <v>112.68767763999999</v>
      </c>
      <c r="I9" s="238">
        <f t="shared" si="1"/>
        <v>-8.570759014889584E-2</v>
      </c>
      <c r="J9" s="281">
        <v>106.3829947025</v>
      </c>
      <c r="K9" s="249">
        <f t="shared" si="2"/>
        <v>5.9264010710837978E-2</v>
      </c>
      <c r="L9" s="442"/>
    </row>
    <row r="10" spans="1:12" ht="11.25" customHeight="1">
      <c r="A10" s="247" t="s">
        <v>49</v>
      </c>
      <c r="B10" s="332">
        <v>4.4481335999999994</v>
      </c>
      <c r="C10" s="333">
        <v>4.9106999500000006</v>
      </c>
      <c r="D10" s="334">
        <v>6.5507768749999995</v>
      </c>
      <c r="E10" s="332">
        <v>5.730149074999999</v>
      </c>
      <c r="F10" s="251">
        <f t="shared" si="0"/>
        <v>0.1432122950483623</v>
      </c>
      <c r="G10" s="332">
        <v>36.586720274999998</v>
      </c>
      <c r="H10" s="333">
        <v>41.094498732500007</v>
      </c>
      <c r="I10" s="253">
        <f t="shared" si="1"/>
        <v>-0.10969299046188352</v>
      </c>
      <c r="J10" s="332">
        <v>21.020305515</v>
      </c>
      <c r="K10" s="251">
        <f t="shared" si="2"/>
        <v>0.95499055440346226</v>
      </c>
      <c r="L10" s="441"/>
    </row>
    <row r="11" spans="1:12" ht="11.25" customHeight="1">
      <c r="A11" s="254" t="s">
        <v>221</v>
      </c>
      <c r="B11" s="315">
        <f>+B6+B7+B8+B9+B10</f>
        <v>489.66012100249998</v>
      </c>
      <c r="C11" s="316">
        <f t="shared" ref="C11:D11" si="3">+C6+C7+C8+C9+C10</f>
        <v>440.54704230749996</v>
      </c>
      <c r="D11" s="317">
        <f t="shared" si="3"/>
        <v>386.98696250000006</v>
      </c>
      <c r="E11" s="318">
        <f>+E6+E7+E8+E9+E10</f>
        <v>386.42991485749997</v>
      </c>
      <c r="F11" s="255">
        <f t="shared" si="0"/>
        <v>1.4415230837019344E-3</v>
      </c>
      <c r="G11" s="328">
        <f>+G6+G7+G8+G9+G10</f>
        <v>2703.5272356575001</v>
      </c>
      <c r="H11" s="329">
        <f>+H6+H7+H8+H9+H10</f>
        <v>2747.4250345250002</v>
      </c>
      <c r="I11" s="256">
        <f t="shared" si="1"/>
        <v>-1.597779677911737E-2</v>
      </c>
      <c r="J11" s="328">
        <f>+J6+J7+J8+J9+J10</f>
        <v>2549.4022687850002</v>
      </c>
      <c r="K11" s="255">
        <f t="shared" si="2"/>
        <v>7.7674193737331976E-2</v>
      </c>
      <c r="L11" s="439"/>
    </row>
    <row r="12" spans="1:12" ht="24.75" customHeight="1">
      <c r="A12" s="257" t="s">
        <v>222</v>
      </c>
      <c r="B12" s="258">
        <f>B11/'4. Tipo Recurso'!B19</f>
        <v>0.11051635371698371</v>
      </c>
      <c r="C12" s="556">
        <f>C11/'4. Tipo Recurso'!C19</f>
        <v>9.5876248546794343E-2</v>
      </c>
      <c r="D12" s="445">
        <f>D11/'4. Tipo Recurso'!D19</f>
        <v>8.515564636486285E-2</v>
      </c>
      <c r="E12" s="258">
        <f>E11/'4. Tipo Recurso'!E19</f>
        <v>8.7069094467124547E-2</v>
      </c>
      <c r="F12" s="259"/>
      <c r="G12" s="258">
        <f>G11/'4. Tipo Recurso'!G19</f>
        <v>9.9051270298111782E-2</v>
      </c>
      <c r="H12" s="256">
        <f>H11/'4. Tipo Recurso'!H19</f>
        <v>0.10318994151928887</v>
      </c>
      <c r="I12" s="256"/>
      <c r="J12" s="258">
        <f>J11/'4. Tipo Recurso'!J19</f>
        <v>0.11015531634288644</v>
      </c>
      <c r="K12" s="259"/>
      <c r="L12" s="439"/>
    </row>
    <row r="13" spans="1:12" ht="11.25" customHeight="1">
      <c r="A13" s="260" t="s">
        <v>223</v>
      </c>
      <c r="B13" s="134"/>
      <c r="C13" s="134"/>
      <c r="D13" s="134"/>
      <c r="E13" s="134"/>
      <c r="F13" s="134"/>
      <c r="G13" s="134"/>
      <c r="H13" s="134"/>
      <c r="I13" s="134"/>
      <c r="J13" s="134"/>
      <c r="K13" s="135"/>
      <c r="L13" s="439"/>
    </row>
    <row r="14" spans="1:12" ht="35.25" customHeight="1">
      <c r="A14" s="864" t="s">
        <v>539</v>
      </c>
      <c r="B14" s="864"/>
      <c r="C14" s="864"/>
      <c r="D14" s="864"/>
      <c r="E14" s="864"/>
      <c r="F14" s="864"/>
      <c r="G14" s="864"/>
      <c r="H14" s="864"/>
      <c r="I14" s="864"/>
      <c r="J14" s="864"/>
      <c r="K14" s="864"/>
      <c r="L14" s="439"/>
    </row>
    <row r="15" spans="1:12" ht="11.25" customHeight="1">
      <c r="A15" s="31"/>
      <c r="L15" s="439"/>
    </row>
    <row r="16" spans="1:12" ht="11.25" customHeight="1">
      <c r="A16" s="136"/>
      <c r="B16" s="147"/>
      <c r="C16" s="147"/>
      <c r="D16" s="147"/>
      <c r="E16" s="147"/>
      <c r="F16" s="147"/>
      <c r="G16" s="147"/>
      <c r="H16" s="147"/>
      <c r="I16" s="147"/>
      <c r="J16" s="147"/>
      <c r="K16" s="147"/>
      <c r="L16" s="439"/>
    </row>
    <row r="17" spans="1:12" ht="11.25" customHeight="1">
      <c r="A17" s="147"/>
      <c r="B17" s="147"/>
      <c r="C17" s="147"/>
      <c r="D17" s="147"/>
      <c r="E17" s="147"/>
      <c r="F17" s="147"/>
      <c r="G17" s="147"/>
      <c r="H17" s="147"/>
      <c r="I17" s="147"/>
      <c r="J17" s="147"/>
      <c r="K17" s="147"/>
      <c r="L17" s="439"/>
    </row>
    <row r="18" spans="1:12" ht="11.25" customHeight="1">
      <c r="A18" s="147"/>
      <c r="B18" s="147"/>
      <c r="C18" s="147"/>
      <c r="D18" s="147"/>
      <c r="E18" s="147"/>
      <c r="F18" s="147"/>
      <c r="G18" s="147"/>
      <c r="H18" s="147"/>
      <c r="I18" s="147"/>
      <c r="J18" s="147"/>
      <c r="K18" s="147"/>
      <c r="L18" s="443"/>
    </row>
    <row r="19" spans="1:12" ht="11.25" customHeight="1">
      <c r="A19" s="136"/>
      <c r="B19" s="138"/>
      <c r="C19" s="138"/>
      <c r="D19" s="138"/>
      <c r="E19" s="138"/>
      <c r="F19" s="138"/>
      <c r="G19" s="138"/>
      <c r="H19" s="138"/>
      <c r="I19" s="138"/>
      <c r="J19" s="138"/>
      <c r="K19" s="138"/>
      <c r="L19" s="439"/>
    </row>
    <row r="20" spans="1:12" ht="11.25" customHeight="1">
      <c r="A20" s="136"/>
      <c r="B20" s="138"/>
      <c r="C20" s="138"/>
      <c r="D20" s="138"/>
      <c r="E20" s="138"/>
      <c r="F20" s="138"/>
      <c r="G20" s="138"/>
      <c r="H20" s="138"/>
      <c r="I20" s="138"/>
      <c r="J20" s="138"/>
      <c r="K20" s="138"/>
      <c r="L20" s="439"/>
    </row>
    <row r="21" spans="1:12" ht="11.25" customHeight="1">
      <c r="A21" s="136"/>
      <c r="B21" s="138"/>
      <c r="C21" s="138"/>
      <c r="D21" s="138"/>
      <c r="E21" s="138"/>
      <c r="F21" s="138"/>
      <c r="G21" s="138"/>
      <c r="H21" s="138"/>
      <c r="I21" s="138"/>
      <c r="J21" s="138"/>
      <c r="K21" s="138"/>
      <c r="L21" s="439"/>
    </row>
    <row r="22" spans="1:12" ht="11.25" customHeight="1">
      <c r="A22" s="136"/>
      <c r="B22" s="138"/>
      <c r="C22" s="138"/>
      <c r="D22" s="138"/>
      <c r="E22" s="138"/>
      <c r="F22" s="138"/>
      <c r="G22" s="138"/>
      <c r="H22" s="138"/>
      <c r="I22" s="138"/>
      <c r="J22" s="138"/>
      <c r="K22" s="138"/>
      <c r="L22" s="443"/>
    </row>
    <row r="23" spans="1:12" ht="11.25" customHeight="1">
      <c r="A23" s="136"/>
      <c r="B23" s="138"/>
      <c r="C23" s="138"/>
      <c r="D23" s="138"/>
      <c r="E23" s="138"/>
      <c r="F23" s="138"/>
      <c r="G23" s="138"/>
      <c r="H23" s="138"/>
      <c r="I23" s="138"/>
      <c r="J23" s="138"/>
      <c r="K23" s="138"/>
      <c r="L23" s="439"/>
    </row>
    <row r="24" spans="1:12" ht="11.25" customHeight="1">
      <c r="A24" s="136"/>
      <c r="B24" s="138"/>
      <c r="C24" s="138"/>
      <c r="D24" s="138"/>
      <c r="E24" s="138"/>
      <c r="F24" s="138"/>
      <c r="G24" s="138"/>
      <c r="H24" s="138"/>
      <c r="I24" s="138"/>
      <c r="J24" s="138"/>
      <c r="K24" s="138"/>
      <c r="L24" s="439"/>
    </row>
    <row r="25" spans="1:12" ht="11.25" customHeight="1">
      <c r="A25" s="136"/>
      <c r="B25" s="138"/>
      <c r="C25" s="138"/>
      <c r="D25" s="138"/>
      <c r="E25" s="138"/>
      <c r="F25" s="138"/>
      <c r="G25" s="138"/>
      <c r="H25" s="138"/>
      <c r="I25" s="138"/>
      <c r="J25" s="138"/>
      <c r="K25" s="138"/>
      <c r="L25" s="439"/>
    </row>
    <row r="26" spans="1:12" ht="11.25" customHeight="1">
      <c r="A26" s="136"/>
      <c r="B26" s="138"/>
      <c r="C26" s="138"/>
      <c r="D26" s="138"/>
      <c r="E26" s="138"/>
      <c r="F26" s="138"/>
      <c r="G26" s="138"/>
      <c r="H26" s="138"/>
      <c r="I26" s="138"/>
      <c r="J26" s="138"/>
      <c r="K26" s="138"/>
      <c r="L26" s="439"/>
    </row>
    <row r="27" spans="1:12" ht="11.25" customHeight="1">
      <c r="A27" s="136"/>
      <c r="B27" s="138"/>
      <c r="C27" s="138"/>
      <c r="D27" s="138"/>
      <c r="E27" s="138"/>
      <c r="F27" s="138"/>
      <c r="G27" s="138"/>
      <c r="H27" s="138"/>
      <c r="I27" s="138"/>
      <c r="J27" s="138"/>
      <c r="K27" s="138"/>
      <c r="L27" s="439"/>
    </row>
    <row r="28" spans="1:12" ht="11.25" customHeight="1">
      <c r="A28" s="136"/>
      <c r="B28" s="138"/>
      <c r="C28" s="138"/>
      <c r="D28" s="138"/>
      <c r="E28" s="138"/>
      <c r="F28" s="138"/>
      <c r="G28" s="138"/>
      <c r="H28" s="138"/>
      <c r="I28" s="138"/>
      <c r="J28" s="138"/>
      <c r="K28" s="138"/>
      <c r="L28" s="439"/>
    </row>
    <row r="29" spans="1:12" ht="11.25" customHeight="1">
      <c r="A29" s="136"/>
      <c r="B29" s="138"/>
      <c r="C29" s="138"/>
      <c r="D29" s="138"/>
      <c r="E29" s="138"/>
      <c r="F29" s="138"/>
      <c r="G29" s="138"/>
      <c r="H29" s="138"/>
      <c r="I29" s="138"/>
      <c r="J29" s="138"/>
      <c r="K29" s="138"/>
      <c r="L29" s="439"/>
    </row>
    <row r="30" spans="1:12" ht="11.25" customHeight="1">
      <c r="A30" s="136"/>
      <c r="B30" s="138"/>
      <c r="C30" s="138"/>
      <c r="D30" s="138"/>
      <c r="E30" s="138"/>
      <c r="F30" s="138"/>
      <c r="G30" s="138"/>
      <c r="H30" s="138"/>
      <c r="I30" s="138"/>
      <c r="J30" s="138"/>
      <c r="K30" s="138"/>
      <c r="L30" s="439"/>
    </row>
    <row r="31" spans="1:12" ht="11.25" customHeight="1">
      <c r="A31" s="136"/>
      <c r="B31" s="138"/>
      <c r="C31" s="138"/>
      <c r="D31" s="138"/>
      <c r="E31" s="138"/>
      <c r="F31" s="138"/>
      <c r="G31" s="138"/>
      <c r="H31" s="138"/>
      <c r="I31" s="138"/>
      <c r="J31" s="138"/>
      <c r="K31" s="138"/>
      <c r="L31" s="439"/>
    </row>
    <row r="32" spans="1:12" ht="11.25" customHeight="1">
      <c r="A32" s="136"/>
      <c r="B32" s="138"/>
      <c r="C32" s="138"/>
      <c r="D32" s="138"/>
      <c r="E32" s="138"/>
      <c r="F32" s="138"/>
      <c r="G32" s="138"/>
      <c r="H32" s="138"/>
      <c r="I32" s="138"/>
      <c r="J32" s="138"/>
      <c r="K32" s="138"/>
      <c r="L32" s="439"/>
    </row>
    <row r="33" spans="1:21" ht="11.25" customHeight="1">
      <c r="A33" s="136"/>
      <c r="B33" s="138"/>
      <c r="C33" s="138"/>
      <c r="D33" s="138"/>
      <c r="E33" s="138"/>
      <c r="F33" s="138"/>
      <c r="G33" s="138"/>
      <c r="H33" s="138"/>
      <c r="I33" s="138"/>
      <c r="J33" s="138"/>
      <c r="K33" s="138"/>
      <c r="L33" s="439"/>
    </row>
    <row r="34" spans="1:21" ht="11.25" customHeight="1">
      <c r="A34" s="862" t="str">
        <f>"Gráfico N° 6: Comparación de la producción de energía eléctrica acumulada (GWh) con recursos energéticos renovables en "&amp;'1. Resumen'!Q4&amp;"."</f>
        <v>Gráfico N° 6: Comparación de la producción de energía eléctrica acumulada (GWh) con recursos energéticos renovables en junio.</v>
      </c>
      <c r="B34" s="862"/>
      <c r="C34" s="862"/>
      <c r="D34" s="862"/>
      <c r="E34" s="862"/>
      <c r="F34" s="862"/>
      <c r="G34" s="862"/>
      <c r="H34" s="862"/>
      <c r="I34" s="862"/>
      <c r="J34" s="862"/>
      <c r="K34" s="862"/>
      <c r="L34" s="602"/>
      <c r="M34" s="277"/>
      <c r="N34" s="277"/>
      <c r="O34" s="277"/>
    </row>
    <row r="35" spans="1:21" ht="11.25" customHeight="1">
      <c r="L35" s="603"/>
      <c r="M35" s="277"/>
      <c r="N35" s="277"/>
      <c r="O35" s="277"/>
    </row>
    <row r="36" spans="1:21" ht="11.25" customHeight="1">
      <c r="A36" s="136"/>
      <c r="B36" s="138"/>
      <c r="C36" s="138"/>
      <c r="D36" s="138"/>
      <c r="E36" s="138"/>
      <c r="F36" s="138"/>
      <c r="G36" s="138"/>
      <c r="H36" s="138"/>
      <c r="I36" s="138"/>
      <c r="J36" s="138"/>
      <c r="K36" s="138"/>
      <c r="L36" s="602"/>
      <c r="M36" s="277"/>
      <c r="N36" s="277"/>
      <c r="O36" s="277"/>
    </row>
    <row r="37" spans="1:21" ht="11.25" customHeight="1">
      <c r="A37" s="136"/>
      <c r="B37" s="138"/>
      <c r="C37" s="138"/>
      <c r="D37" s="138"/>
      <c r="E37" s="138"/>
      <c r="F37" s="138"/>
      <c r="G37" s="138"/>
      <c r="H37" s="138"/>
      <c r="I37" s="138"/>
      <c r="J37" s="138"/>
      <c r="K37" s="138"/>
      <c r="L37" s="602"/>
      <c r="M37" s="277"/>
      <c r="N37" s="277"/>
      <c r="O37" s="277"/>
    </row>
    <row r="38" spans="1:21" ht="11.25" customHeight="1">
      <c r="A38" s="136"/>
      <c r="B38" s="138"/>
      <c r="C38" s="138"/>
      <c r="D38" s="138"/>
      <c r="E38" s="138"/>
      <c r="F38" s="138"/>
      <c r="G38" s="138"/>
      <c r="H38" s="138"/>
      <c r="I38" s="138"/>
      <c r="J38" s="138"/>
      <c r="K38" s="138"/>
      <c r="L38" s="602"/>
      <c r="M38" s="277"/>
      <c r="N38" s="277"/>
      <c r="O38" s="277"/>
    </row>
    <row r="39" spans="1:21" ht="11.25" customHeight="1">
      <c r="A39" s="136"/>
      <c r="B39" s="138"/>
      <c r="C39" s="261" t="s">
        <v>226</v>
      </c>
      <c r="D39" s="158"/>
      <c r="E39" s="158"/>
      <c r="F39" s="327">
        <f>+'4. Tipo Recurso'!D19</f>
        <v>4544.4662687649998</v>
      </c>
      <c r="G39" s="261" t="s">
        <v>225</v>
      </c>
      <c r="H39" s="138"/>
      <c r="I39" s="138"/>
      <c r="J39" s="138"/>
      <c r="K39" s="138"/>
      <c r="L39" s="602"/>
      <c r="M39" s="604">
        <f>+F39-F40</f>
        <v>4157.476268765</v>
      </c>
      <c r="N39" s="277"/>
      <c r="O39" s="277"/>
      <c r="P39" s="444"/>
    </row>
    <row r="40" spans="1:21" ht="11.25" customHeight="1">
      <c r="A40" s="136"/>
      <c r="B40" s="138"/>
      <c r="C40" s="261" t="s">
        <v>227</v>
      </c>
      <c r="D40" s="158"/>
      <c r="E40" s="158"/>
      <c r="F40" s="327">
        <f>ROUND(D11,2)</f>
        <v>386.99</v>
      </c>
      <c r="G40" s="261" t="s">
        <v>225</v>
      </c>
      <c r="H40" s="138"/>
      <c r="I40" s="138"/>
      <c r="J40" s="138"/>
      <c r="K40" s="138"/>
      <c r="L40" s="602"/>
      <c r="M40" s="605"/>
      <c r="N40" s="277"/>
      <c r="O40" s="277"/>
      <c r="P40" s="444"/>
    </row>
    <row r="41" spans="1:21" ht="11.25" customHeight="1">
      <c r="A41" s="136"/>
      <c r="B41" s="138"/>
      <c r="C41" s="138"/>
      <c r="D41" s="138"/>
      <c r="E41" s="138"/>
      <c r="F41" s="138"/>
      <c r="G41" s="138"/>
      <c r="H41" s="138"/>
      <c r="I41" s="138"/>
      <c r="J41" s="138"/>
      <c r="K41" s="138"/>
      <c r="L41" s="602"/>
      <c r="M41" s="277"/>
      <c r="N41" s="277"/>
      <c r="O41" s="277"/>
      <c r="P41" s="444"/>
    </row>
    <row r="42" spans="1:21" ht="11.25" customHeight="1">
      <c r="A42" s="136"/>
      <c r="B42" s="138"/>
      <c r="C42" s="138"/>
      <c r="D42" s="138"/>
      <c r="E42" s="138"/>
      <c r="F42" s="138"/>
      <c r="G42" s="138"/>
      <c r="H42" s="138"/>
      <c r="I42" s="138"/>
      <c r="J42" s="138"/>
      <c r="K42" s="138"/>
      <c r="L42" s="602"/>
      <c r="M42" s="277"/>
      <c r="N42" s="277"/>
      <c r="O42" s="277"/>
      <c r="P42" s="444"/>
    </row>
    <row r="43" spans="1:21" s="557" customFormat="1" ht="11.25" customHeight="1">
      <c r="A43" s="136"/>
      <c r="B43" s="138"/>
      <c r="C43" s="138"/>
      <c r="D43" s="138"/>
      <c r="E43" s="138"/>
      <c r="F43" s="138"/>
      <c r="G43" s="138"/>
      <c r="H43" s="138"/>
      <c r="I43" s="138"/>
      <c r="J43" s="138"/>
      <c r="K43" s="138"/>
      <c r="L43" s="602"/>
      <c r="M43" s="277"/>
      <c r="N43" s="277"/>
      <c r="O43" s="277"/>
      <c r="P43" s="444"/>
      <c r="Q43" s="437"/>
      <c r="R43" s="437"/>
      <c r="S43" s="437"/>
      <c r="T43" s="437"/>
      <c r="U43" s="437"/>
    </row>
    <row r="44" spans="1:21" s="557" customFormat="1" ht="11.25" customHeight="1">
      <c r="A44" s="136"/>
      <c r="B44" s="138"/>
      <c r="C44" s="138"/>
      <c r="D44" s="138"/>
      <c r="E44" s="138"/>
      <c r="F44" s="138"/>
      <c r="G44" s="138"/>
      <c r="H44" s="138"/>
      <c r="I44" s="138"/>
      <c r="J44" s="138"/>
      <c r="K44" s="138"/>
      <c r="L44" s="602"/>
      <c r="M44" s="277"/>
      <c r="N44" s="277"/>
      <c r="O44" s="277"/>
      <c r="P44" s="444"/>
      <c r="Q44" s="437"/>
      <c r="R44" s="437"/>
      <c r="S44" s="437"/>
      <c r="T44" s="437"/>
      <c r="U44" s="437"/>
    </row>
    <row r="45" spans="1:21" s="557" customFormat="1" ht="11.25" customHeight="1">
      <c r="A45" s="136"/>
      <c r="B45" s="138"/>
      <c r="C45" s="138"/>
      <c r="D45" s="138"/>
      <c r="E45" s="138"/>
      <c r="F45" s="138"/>
      <c r="G45" s="138"/>
      <c r="H45" s="138"/>
      <c r="I45" s="138"/>
      <c r="J45" s="138"/>
      <c r="K45" s="138"/>
      <c r="L45" s="602"/>
      <c r="M45" s="277"/>
      <c r="N45" s="277"/>
      <c r="O45" s="277"/>
      <c r="P45" s="444"/>
      <c r="Q45" s="437"/>
      <c r="R45" s="437"/>
      <c r="S45" s="437"/>
      <c r="T45" s="437"/>
      <c r="U45" s="437"/>
    </row>
    <row r="46" spans="1:21" ht="11.25" customHeight="1">
      <c r="A46" s="136"/>
      <c r="B46" s="138"/>
      <c r="C46" s="138"/>
      <c r="D46" s="138"/>
      <c r="E46" s="138"/>
      <c r="F46" s="138"/>
      <c r="G46" s="138"/>
      <c r="H46" s="138"/>
      <c r="I46" s="138"/>
      <c r="J46" s="138"/>
      <c r="K46" s="138"/>
      <c r="L46" s="439"/>
      <c r="P46" s="444"/>
    </row>
    <row r="47" spans="1:21" ht="11.25" customHeight="1">
      <c r="A47" s="136"/>
      <c r="B47" s="138"/>
      <c r="C47" s="138"/>
      <c r="D47" s="138"/>
      <c r="E47" s="138"/>
      <c r="F47" s="138"/>
      <c r="G47" s="138"/>
      <c r="H47" s="138"/>
      <c r="I47" s="138"/>
      <c r="J47" s="138"/>
      <c r="K47" s="138"/>
    </row>
    <row r="48" spans="1:21"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B63" s="138"/>
      <c r="C63" s="138"/>
      <c r="D63" s="138"/>
      <c r="E63" s="138"/>
      <c r="F63" s="138"/>
      <c r="G63" s="138"/>
      <c r="H63" s="138"/>
      <c r="I63" s="138"/>
      <c r="J63" s="138"/>
      <c r="K63" s="138"/>
    </row>
    <row r="64" spans="1:11">
      <c r="A64" s="226" t="str">
        <f>"Gráfico N° 7: Participación de las RER en la Matriz de Generación del SEIN en "&amp;'1. Resumen'!Q4&amp;" "&amp;'1. Resumen'!Q5&amp;"."</f>
        <v>Gráfico N° 7: Participación de las RER en la Matriz de Generación del SEIN en junio 2022.</v>
      </c>
      <c r="B64" s="138"/>
      <c r="C64" s="138"/>
      <c r="D64" s="138"/>
      <c r="E64" s="138"/>
      <c r="F64" s="138"/>
      <c r="G64" s="138"/>
      <c r="H64" s="138"/>
      <c r="I64" s="138"/>
      <c r="J64" s="138"/>
      <c r="K64" s="138"/>
    </row>
  </sheetData>
  <mergeCells count="7">
    <mergeCell ref="A34:K34"/>
    <mergeCell ref="A2:K2"/>
    <mergeCell ref="A4:A5"/>
    <mergeCell ref="B4:D4"/>
    <mergeCell ref="E4:F4"/>
    <mergeCell ref="G4:K4"/>
    <mergeCell ref="A14:K14"/>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85" zoomScaleNormal="100" zoomScaleSheetLayoutView="85" zoomScalePageLayoutView="115" workbookViewId="0">
      <selection activeCell="B18" sqref="M18"/>
    </sheetView>
  </sheetViews>
  <sheetFormatPr baseColWidth="10" defaultColWidth="9.33203125" defaultRowHeight="11.25"/>
  <cols>
    <col min="1" max="11" width="10.33203125" customWidth="1"/>
    <col min="12" max="12" width="21.1640625" style="568" bestFit="1" customWidth="1"/>
    <col min="13" max="14" width="9.33203125" style="568"/>
    <col min="15" max="15" width="11.83203125" style="568" customWidth="1"/>
    <col min="16" max="19" width="9.33203125" style="568"/>
    <col min="20" max="20" width="15" style="568" customWidth="1"/>
    <col min="21" max="21" width="9.33203125" style="568"/>
    <col min="22" max="22" width="14.1640625" style="568" bestFit="1" customWidth="1"/>
    <col min="23" max="23" width="9.33203125" style="692"/>
    <col min="24" max="24" width="9.33203125" style="506"/>
    <col min="25" max="25" width="17.83203125" style="506" bestFit="1" customWidth="1"/>
    <col min="26" max="26" width="9.33203125" style="506"/>
  </cols>
  <sheetData>
    <row r="2" spans="1:25" ht="11.25" customHeight="1">
      <c r="A2" s="865" t="s">
        <v>232</v>
      </c>
      <c r="B2" s="865"/>
      <c r="C2" s="865"/>
      <c r="D2" s="865"/>
      <c r="E2" s="865"/>
      <c r="F2" s="865"/>
      <c r="G2" s="865"/>
      <c r="H2" s="865"/>
      <c r="I2" s="865"/>
      <c r="J2" s="865"/>
      <c r="K2" s="865"/>
    </row>
    <row r="3" spans="1:25" ht="11.25" customHeight="1"/>
    <row r="4" spans="1:25" ht="11.25" customHeight="1">
      <c r="L4" s="657" t="s">
        <v>54</v>
      </c>
      <c r="M4" s="658" t="s">
        <v>31</v>
      </c>
      <c r="N4" s="657"/>
      <c r="O4" s="659"/>
      <c r="P4" s="660"/>
      <c r="Q4" s="660"/>
    </row>
    <row r="5" spans="1:25" ht="10.5" customHeight="1">
      <c r="A5" s="149"/>
      <c r="B5" s="138"/>
      <c r="C5" s="138"/>
      <c r="D5" s="138"/>
      <c r="E5" s="138"/>
      <c r="F5" s="138"/>
      <c r="G5" s="138"/>
      <c r="H5" s="138"/>
      <c r="I5" s="138"/>
      <c r="J5" s="138"/>
      <c r="K5" s="138"/>
      <c r="L5" s="657"/>
      <c r="M5" s="658"/>
      <c r="N5" s="657"/>
      <c r="O5" s="657" t="s">
        <v>55</v>
      </c>
      <c r="P5" s="657" t="s">
        <v>56</v>
      </c>
      <c r="Q5" s="657"/>
      <c r="U5" s="568">
        <v>2022</v>
      </c>
      <c r="V5" s="661">
        <v>2021</v>
      </c>
      <c r="W5" s="747"/>
    </row>
    <row r="6" spans="1:25" ht="10.5" customHeight="1">
      <c r="A6" s="111"/>
      <c r="B6" s="138"/>
      <c r="C6" s="138"/>
      <c r="D6" s="138"/>
      <c r="E6" s="138"/>
      <c r="F6" s="138"/>
      <c r="G6" s="138"/>
      <c r="H6" s="138"/>
      <c r="I6" s="138"/>
      <c r="J6" s="138"/>
      <c r="K6" s="138"/>
      <c r="L6" s="662" t="s">
        <v>401</v>
      </c>
      <c r="M6" s="662" t="s">
        <v>58</v>
      </c>
      <c r="N6" s="663">
        <v>20.861999999999998</v>
      </c>
      <c r="O6" s="664">
        <v>14.366262819999999</v>
      </c>
      <c r="P6" s="664">
        <v>0.95643480038134199</v>
      </c>
      <c r="Q6" s="664"/>
      <c r="S6" s="568" t="s">
        <v>441</v>
      </c>
      <c r="T6" s="568" t="s">
        <v>448</v>
      </c>
      <c r="U6" s="665">
        <v>0.92719801495872145</v>
      </c>
      <c r="V6" s="666">
        <v>0.95921939735842521</v>
      </c>
      <c r="W6" s="748"/>
      <c r="X6" s="768"/>
      <c r="Y6" s="731"/>
    </row>
    <row r="7" spans="1:25" ht="10.5" customHeight="1">
      <c r="A7" s="136"/>
      <c r="B7" s="138"/>
      <c r="C7" s="138"/>
      <c r="D7" s="138"/>
      <c r="E7" s="138"/>
      <c r="F7" s="138"/>
      <c r="G7" s="138"/>
      <c r="H7" s="138"/>
      <c r="I7" s="138"/>
      <c r="J7" s="138"/>
      <c r="K7" s="138"/>
      <c r="L7" s="662" t="s">
        <v>59</v>
      </c>
      <c r="M7" s="662" t="s">
        <v>58</v>
      </c>
      <c r="N7" s="663">
        <v>18.148</v>
      </c>
      <c r="O7" s="664">
        <v>12.23145675</v>
      </c>
      <c r="P7" s="664">
        <v>0.93608851526338976</v>
      </c>
      <c r="Q7" s="664"/>
      <c r="T7" s="568" t="s">
        <v>401</v>
      </c>
      <c r="U7" s="665">
        <v>0.87292248018660046</v>
      </c>
      <c r="V7" s="666">
        <v>0.96356886092406091</v>
      </c>
      <c r="W7" s="748"/>
      <c r="X7" s="768"/>
      <c r="Y7" s="731"/>
    </row>
    <row r="8" spans="1:25" ht="10.5" customHeight="1">
      <c r="A8" s="136"/>
      <c r="B8" s="138"/>
      <c r="C8" s="138"/>
      <c r="D8" s="138"/>
      <c r="E8" s="138"/>
      <c r="F8" s="138"/>
      <c r="G8" s="138"/>
      <c r="H8" s="138"/>
      <c r="I8" s="138"/>
      <c r="J8" s="138"/>
      <c r="K8" s="138"/>
      <c r="L8" s="662" t="s">
        <v>448</v>
      </c>
      <c r="M8" s="662" t="s">
        <v>58</v>
      </c>
      <c r="N8" s="663">
        <v>20.295999999999999</v>
      </c>
      <c r="O8" s="664">
        <v>11.897997650000001</v>
      </c>
      <c r="P8" s="664">
        <v>0.8141996815190734</v>
      </c>
      <c r="Q8" s="664"/>
      <c r="T8" s="568" t="s">
        <v>449</v>
      </c>
      <c r="U8" s="665">
        <v>0.83231598718315258</v>
      </c>
      <c r="V8" s="666">
        <v>0.65979033827586553</v>
      </c>
      <c r="W8" s="748"/>
      <c r="X8" s="768"/>
      <c r="Y8" s="731"/>
    </row>
    <row r="9" spans="1:25" ht="10.5" customHeight="1">
      <c r="A9" s="136"/>
      <c r="B9" s="138"/>
      <c r="C9" s="138"/>
      <c r="D9" s="138"/>
      <c r="E9" s="138"/>
      <c r="F9" s="138"/>
      <c r="G9" s="138"/>
      <c r="H9" s="138"/>
      <c r="I9" s="138"/>
      <c r="J9" s="138"/>
      <c r="K9" s="138"/>
      <c r="L9" s="662" t="s">
        <v>63</v>
      </c>
      <c r="M9" s="667" t="s">
        <v>58</v>
      </c>
      <c r="N9" s="663">
        <v>20.202000000000002</v>
      </c>
      <c r="O9" s="664">
        <v>10.9936367</v>
      </c>
      <c r="P9" s="664">
        <v>0.75581327893827877</v>
      </c>
      <c r="Q9" s="664"/>
      <c r="T9" s="568" t="s">
        <v>447</v>
      </c>
      <c r="U9" s="665">
        <v>0.82690539097074389</v>
      </c>
      <c r="V9" s="666">
        <v>0.90331060974907929</v>
      </c>
      <c r="W9" s="748"/>
      <c r="X9" s="768"/>
      <c r="Y9" s="731"/>
    </row>
    <row r="10" spans="1:25" ht="10.5" customHeight="1">
      <c r="A10" s="136"/>
      <c r="B10" s="138"/>
      <c r="C10" s="138"/>
      <c r="D10" s="138"/>
      <c r="E10" s="138"/>
      <c r="F10" s="138"/>
      <c r="G10" s="138"/>
      <c r="H10" s="138"/>
      <c r="I10" s="138"/>
      <c r="J10" s="138"/>
      <c r="K10" s="138"/>
      <c r="L10" s="662" t="s">
        <v>61</v>
      </c>
      <c r="M10" s="667" t="s">
        <v>58</v>
      </c>
      <c r="N10" s="663">
        <v>19.1995</v>
      </c>
      <c r="O10" s="664">
        <v>10.89432549</v>
      </c>
      <c r="P10" s="664">
        <v>0.78809383707909053</v>
      </c>
      <c r="Q10" s="664"/>
      <c r="T10" s="568" t="s">
        <v>63</v>
      </c>
      <c r="U10" s="665">
        <v>0.79445577692469949</v>
      </c>
      <c r="V10" s="666">
        <v>0.88340288857963856</v>
      </c>
      <c r="W10" s="748"/>
      <c r="X10" s="768"/>
      <c r="Y10" s="731"/>
    </row>
    <row r="11" spans="1:25" ht="10.5" customHeight="1">
      <c r="A11" s="136"/>
      <c r="B11" s="138"/>
      <c r="C11" s="138"/>
      <c r="D11" s="138"/>
      <c r="E11" s="138"/>
      <c r="F11" s="138"/>
      <c r="G11" s="138"/>
      <c r="H11" s="138"/>
      <c r="I11" s="138"/>
      <c r="J11" s="138"/>
      <c r="K11" s="138"/>
      <c r="L11" s="662" t="s">
        <v>449</v>
      </c>
      <c r="M11" s="667" t="s">
        <v>58</v>
      </c>
      <c r="N11" s="663">
        <v>20.58</v>
      </c>
      <c r="O11" s="664">
        <v>8.1275286624999996</v>
      </c>
      <c r="P11" s="664">
        <v>0.54850506576638591</v>
      </c>
      <c r="Q11" s="664"/>
      <c r="T11" s="568" t="s">
        <v>57</v>
      </c>
      <c r="U11" s="665">
        <v>0.80053200336405228</v>
      </c>
      <c r="V11" s="666">
        <v>0.83536515362257646</v>
      </c>
      <c r="W11" s="748"/>
      <c r="X11" s="768"/>
      <c r="Y11" s="731"/>
    </row>
    <row r="12" spans="1:25" ht="10.5" customHeight="1">
      <c r="A12" s="136"/>
      <c r="B12" s="138"/>
      <c r="C12" s="138"/>
      <c r="D12" s="138"/>
      <c r="E12" s="138"/>
      <c r="F12" s="138"/>
      <c r="G12" s="138"/>
      <c r="H12" s="138"/>
      <c r="I12" s="138"/>
      <c r="J12" s="138"/>
      <c r="K12" s="138"/>
      <c r="L12" s="662" t="s">
        <v>447</v>
      </c>
      <c r="M12" s="662" t="s">
        <v>58</v>
      </c>
      <c r="N12" s="663">
        <v>20.27</v>
      </c>
      <c r="O12" s="664">
        <v>7.7094401350000004</v>
      </c>
      <c r="P12" s="664">
        <v>0.52824645994354003</v>
      </c>
      <c r="Q12" s="664"/>
      <c r="T12" s="568" t="s">
        <v>61</v>
      </c>
      <c r="U12" s="665">
        <v>0.82924299549649683</v>
      </c>
      <c r="V12" s="666">
        <v>0.89434485850373924</v>
      </c>
      <c r="W12" s="748"/>
      <c r="X12" s="768"/>
      <c r="Y12" s="731"/>
    </row>
    <row r="13" spans="1:25" ht="10.5" customHeight="1">
      <c r="A13" s="136"/>
      <c r="B13" s="138"/>
      <c r="C13" s="138"/>
      <c r="D13" s="138"/>
      <c r="E13" s="138"/>
      <c r="F13" s="138"/>
      <c r="G13" s="138"/>
      <c r="H13" s="138"/>
      <c r="I13" s="138"/>
      <c r="J13" s="138"/>
      <c r="K13" s="138"/>
      <c r="L13" s="662" t="s">
        <v>415</v>
      </c>
      <c r="M13" s="662" t="s">
        <v>58</v>
      </c>
      <c r="N13" s="663">
        <v>20.365970000000001</v>
      </c>
      <c r="O13" s="664">
        <v>7.1542922874999997</v>
      </c>
      <c r="P13" s="664">
        <v>0.48789805081575888</v>
      </c>
      <c r="Q13" s="664"/>
      <c r="T13" s="568" t="s">
        <v>59</v>
      </c>
      <c r="U13" s="665">
        <v>0.87414846508612842</v>
      </c>
      <c r="V13" s="666">
        <v>1</v>
      </c>
      <c r="W13" s="748"/>
      <c r="X13" s="768"/>
      <c r="Y13" s="731"/>
    </row>
    <row r="14" spans="1:25" ht="10.5" customHeight="1">
      <c r="A14" s="136"/>
      <c r="B14" s="138"/>
      <c r="C14" s="138"/>
      <c r="D14" s="138"/>
      <c r="E14" s="138"/>
      <c r="F14" s="138"/>
      <c r="G14" s="138"/>
      <c r="H14" s="138"/>
      <c r="I14" s="138"/>
      <c r="J14" s="138"/>
      <c r="K14" s="138"/>
      <c r="L14" s="662" t="s">
        <v>62</v>
      </c>
      <c r="M14" s="662" t="s">
        <v>58</v>
      </c>
      <c r="N14" s="663">
        <v>9.9830000000000005</v>
      </c>
      <c r="O14" s="664">
        <v>7.1322324999999998</v>
      </c>
      <c r="P14" s="664">
        <v>0.9922747142364241</v>
      </c>
      <c r="Q14" s="664"/>
      <c r="T14" s="568" t="s">
        <v>408</v>
      </c>
      <c r="U14" s="665">
        <v>0.7748222993683046</v>
      </c>
      <c r="V14" s="666">
        <v>0.84198601902431902</v>
      </c>
      <c r="W14" s="748"/>
      <c r="X14" s="768"/>
      <c r="Y14" s="731"/>
    </row>
    <row r="15" spans="1:25" ht="11.25" customHeight="1">
      <c r="A15" s="136"/>
      <c r="B15" s="138"/>
      <c r="C15" s="138"/>
      <c r="D15" s="138"/>
      <c r="E15" s="138"/>
      <c r="F15" s="138"/>
      <c r="G15" s="138"/>
      <c r="H15" s="138"/>
      <c r="I15" s="138"/>
      <c r="J15" s="138"/>
      <c r="K15" s="138"/>
      <c r="L15" s="662" t="s">
        <v>57</v>
      </c>
      <c r="M15" s="662" t="s">
        <v>58</v>
      </c>
      <c r="N15" s="663">
        <v>19.966000000000001</v>
      </c>
      <c r="O15" s="664">
        <v>5.8332654125000003</v>
      </c>
      <c r="P15" s="664">
        <v>0.4057776979545783</v>
      </c>
      <c r="Q15" s="664"/>
      <c r="T15" s="568" t="s">
        <v>409</v>
      </c>
      <c r="U15" s="665">
        <v>0.76720766957522657</v>
      </c>
      <c r="V15" s="666">
        <v>0.83098565343827269</v>
      </c>
      <c r="W15" s="748"/>
      <c r="X15" s="768"/>
      <c r="Y15" s="731"/>
    </row>
    <row r="16" spans="1:25" ht="11.25" customHeight="1">
      <c r="A16" s="136"/>
      <c r="B16" s="138"/>
      <c r="C16" s="138"/>
      <c r="D16" s="138"/>
      <c r="E16" s="138"/>
      <c r="F16" s="138"/>
      <c r="G16" s="138"/>
      <c r="H16" s="138"/>
      <c r="I16" s="138"/>
      <c r="J16" s="138"/>
      <c r="K16" s="138"/>
      <c r="L16" s="662" t="s">
        <v>66</v>
      </c>
      <c r="M16" s="662" t="s">
        <v>58</v>
      </c>
      <c r="N16" s="663">
        <v>9.0798699999999997</v>
      </c>
      <c r="O16" s="664">
        <v>5.3037292924999999</v>
      </c>
      <c r="P16" s="664">
        <v>0.8112771090365587</v>
      </c>
      <c r="Q16" s="664"/>
      <c r="T16" s="568" t="s">
        <v>410</v>
      </c>
      <c r="U16" s="665">
        <v>0.74933355755492859</v>
      </c>
      <c r="V16" s="666">
        <v>0.79541096823434032</v>
      </c>
      <c r="W16" s="748"/>
      <c r="X16" s="768"/>
      <c r="Y16" s="731"/>
    </row>
    <row r="17" spans="1:25" ht="11.25" customHeight="1">
      <c r="A17" s="136"/>
      <c r="B17" s="138"/>
      <c r="C17" s="138"/>
      <c r="D17" s="138"/>
      <c r="E17" s="138"/>
      <c r="F17" s="138"/>
      <c r="G17" s="138"/>
      <c r="H17" s="138"/>
      <c r="I17" s="138"/>
      <c r="J17" s="138"/>
      <c r="K17" s="138"/>
      <c r="L17" s="662" t="s">
        <v>409</v>
      </c>
      <c r="M17" s="662" t="s">
        <v>58</v>
      </c>
      <c r="N17" s="663">
        <v>20.084060000000001</v>
      </c>
      <c r="O17" s="664">
        <v>5.0257970599999995</v>
      </c>
      <c r="P17" s="664">
        <v>0.34755291980030151</v>
      </c>
      <c r="Q17" s="664"/>
      <c r="T17" s="568" t="s">
        <v>60</v>
      </c>
      <c r="U17" s="665">
        <v>0.69229659088278339</v>
      </c>
      <c r="V17" s="666">
        <v>0.71138494517911288</v>
      </c>
      <c r="W17" s="748"/>
      <c r="X17" s="768"/>
      <c r="Y17" s="731"/>
    </row>
    <row r="18" spans="1:25">
      <c r="A18" s="136"/>
      <c r="B18" s="138"/>
      <c r="C18" s="138"/>
      <c r="D18" s="138"/>
      <c r="E18" s="138"/>
      <c r="F18" s="138"/>
      <c r="G18" s="138"/>
      <c r="H18" s="138"/>
      <c r="I18" s="138"/>
      <c r="J18" s="138"/>
      <c r="K18" s="138"/>
      <c r="L18" s="662" t="s">
        <v>408</v>
      </c>
      <c r="M18" s="662" t="s">
        <v>58</v>
      </c>
      <c r="N18" s="663">
        <v>19.987169999999999</v>
      </c>
      <c r="O18" s="664">
        <v>4.9381988149999998</v>
      </c>
      <c r="P18" s="664">
        <v>0.34315060437659645</v>
      </c>
      <c r="Q18" s="664"/>
      <c r="T18" s="568" t="s">
        <v>415</v>
      </c>
      <c r="U18" s="665">
        <v>0.65690928664190962</v>
      </c>
      <c r="V18" s="666">
        <v>0.74651148434622472</v>
      </c>
      <c r="W18" s="748"/>
      <c r="X18" s="768"/>
      <c r="Y18" s="731"/>
    </row>
    <row r="19" spans="1:25">
      <c r="A19" s="136"/>
      <c r="B19" s="138"/>
      <c r="C19" s="138"/>
      <c r="D19" s="138"/>
      <c r="E19" s="138"/>
      <c r="F19" s="138"/>
      <c r="G19" s="138"/>
      <c r="H19" s="138"/>
      <c r="I19" s="138"/>
      <c r="J19" s="138"/>
      <c r="K19" s="138"/>
      <c r="L19" s="662" t="s">
        <v>69</v>
      </c>
      <c r="M19" s="662" t="s">
        <v>58</v>
      </c>
      <c r="N19" s="663">
        <v>9.5660000000000007</v>
      </c>
      <c r="O19" s="664">
        <v>4.7424393074999998</v>
      </c>
      <c r="P19" s="664">
        <v>0.68855543178096024</v>
      </c>
      <c r="Q19" s="664"/>
      <c r="T19" s="568" t="s">
        <v>458</v>
      </c>
      <c r="U19" s="665">
        <v>0.53261979623161226</v>
      </c>
      <c r="V19" s="666">
        <v>0.55710732366482496</v>
      </c>
      <c r="W19" s="748"/>
      <c r="X19" s="768"/>
      <c r="Y19" s="731"/>
    </row>
    <row r="20" spans="1:25">
      <c r="A20" s="136"/>
      <c r="B20" s="138"/>
      <c r="C20" s="138"/>
      <c r="D20" s="138"/>
      <c r="E20" s="138"/>
      <c r="F20" s="138"/>
      <c r="G20" s="138"/>
      <c r="H20" s="138"/>
      <c r="I20" s="138"/>
      <c r="J20" s="138"/>
      <c r="K20" s="138"/>
      <c r="L20" s="662" t="s">
        <v>60</v>
      </c>
      <c r="M20" s="662" t="s">
        <v>58</v>
      </c>
      <c r="N20" s="663">
        <v>19.966999999999999</v>
      </c>
      <c r="O20" s="664">
        <v>4.0274485725</v>
      </c>
      <c r="P20" s="664">
        <v>0.28014616982604629</v>
      </c>
      <c r="Q20" s="664"/>
      <c r="T20" s="568" t="s">
        <v>62</v>
      </c>
      <c r="U20" s="665">
        <v>0.97557379964217239</v>
      </c>
      <c r="V20" s="666">
        <v>0.89258490688774961</v>
      </c>
      <c r="W20" s="748"/>
      <c r="X20" s="768"/>
      <c r="Y20" s="731"/>
    </row>
    <row r="21" spans="1:25">
      <c r="A21" s="136"/>
      <c r="B21" s="138"/>
      <c r="C21" s="138"/>
      <c r="D21" s="138"/>
      <c r="E21" s="138"/>
      <c r="F21" s="138"/>
      <c r="G21" s="138"/>
      <c r="H21" s="138"/>
      <c r="I21" s="138"/>
      <c r="J21" s="138"/>
      <c r="K21" s="138"/>
      <c r="L21" s="662" t="s">
        <v>71</v>
      </c>
      <c r="M21" s="662" t="s">
        <v>58</v>
      </c>
      <c r="N21" s="663">
        <v>5.67</v>
      </c>
      <c r="O21" s="664">
        <v>3.8424575000000001</v>
      </c>
      <c r="P21" s="664">
        <v>0.9412251371742113</v>
      </c>
      <c r="Q21" s="664"/>
      <c r="T21" s="568" t="s">
        <v>64</v>
      </c>
      <c r="U21" s="665">
        <v>0.74706083719642702</v>
      </c>
      <c r="V21" s="666">
        <v>0.79969386147174026</v>
      </c>
      <c r="W21" s="748"/>
      <c r="X21" s="768"/>
      <c r="Y21" s="731"/>
    </row>
    <row r="22" spans="1:25">
      <c r="A22" s="136"/>
      <c r="B22" s="138"/>
      <c r="C22" s="138"/>
      <c r="D22" s="138"/>
      <c r="E22" s="138"/>
      <c r="F22" s="138"/>
      <c r="G22" s="138"/>
      <c r="H22" s="138"/>
      <c r="I22" s="138"/>
      <c r="J22" s="138"/>
      <c r="K22" s="138"/>
      <c r="L22" s="662" t="s">
        <v>64</v>
      </c>
      <c r="M22" s="662" t="s">
        <v>58</v>
      </c>
      <c r="N22" s="663">
        <v>9.9643300000000004</v>
      </c>
      <c r="O22" s="664">
        <v>3.7216503349999996</v>
      </c>
      <c r="P22" s="664">
        <v>0.51874624772675237</v>
      </c>
      <c r="Q22" s="664"/>
      <c r="T22" s="568" t="s">
        <v>69</v>
      </c>
      <c r="U22" s="665">
        <v>0.77728464784636664</v>
      </c>
      <c r="V22" s="666">
        <v>0.67819389027533439</v>
      </c>
      <c r="W22" s="748"/>
      <c r="X22" s="768"/>
      <c r="Y22" s="731"/>
    </row>
    <row r="23" spans="1:25">
      <c r="A23" s="136"/>
      <c r="B23" s="138"/>
      <c r="C23" s="138"/>
      <c r="D23" s="138"/>
      <c r="E23" s="138"/>
      <c r="F23" s="138"/>
      <c r="G23" s="138"/>
      <c r="H23" s="138"/>
      <c r="I23" s="138"/>
      <c r="J23" s="138"/>
      <c r="K23" s="138"/>
      <c r="L23" s="662" t="s">
        <v>410</v>
      </c>
      <c r="M23" s="662" t="s">
        <v>58</v>
      </c>
      <c r="N23" s="663">
        <v>20.050889999999999</v>
      </c>
      <c r="O23" s="664">
        <v>3.7014006374999999</v>
      </c>
      <c r="P23" s="664">
        <v>0.25638932829166183</v>
      </c>
      <c r="Q23" s="664"/>
      <c r="T23" s="568" t="s">
        <v>65</v>
      </c>
      <c r="U23" s="665">
        <v>0.72876237338858207</v>
      </c>
      <c r="V23" s="666">
        <v>0.77785482350356661</v>
      </c>
      <c r="W23" s="748"/>
      <c r="X23" s="768"/>
      <c r="Y23" s="731"/>
    </row>
    <row r="24" spans="1:25">
      <c r="A24" s="136"/>
      <c r="B24" s="138"/>
      <c r="C24" s="138"/>
      <c r="D24" s="138"/>
      <c r="E24" s="138"/>
      <c r="F24" s="138"/>
      <c r="G24" s="138"/>
      <c r="H24" s="138"/>
      <c r="I24" s="138"/>
      <c r="J24" s="138"/>
      <c r="K24" s="138"/>
      <c r="L24" s="662" t="s">
        <v>65</v>
      </c>
      <c r="M24" s="662" t="s">
        <v>58</v>
      </c>
      <c r="N24" s="663">
        <v>9.85</v>
      </c>
      <c r="O24" s="664">
        <v>3.4325044499999997</v>
      </c>
      <c r="P24" s="664">
        <v>0.48399667935702206</v>
      </c>
      <c r="Q24" s="664"/>
      <c r="T24" s="568" t="s">
        <v>66</v>
      </c>
      <c r="U24" s="665">
        <v>0.70972525210844195</v>
      </c>
      <c r="V24" s="666">
        <v>0.79870274108580497</v>
      </c>
      <c r="W24" s="748"/>
      <c r="X24" s="768"/>
      <c r="Y24" s="731"/>
    </row>
    <row r="25" spans="1:25">
      <c r="A25" s="136"/>
      <c r="B25" s="138"/>
      <c r="C25" s="138"/>
      <c r="D25" s="138"/>
      <c r="E25" s="138"/>
      <c r="F25" s="138"/>
      <c r="G25" s="138"/>
      <c r="H25" s="138"/>
      <c r="I25" s="138"/>
      <c r="J25" s="138"/>
      <c r="K25" s="138"/>
      <c r="L25" s="662" t="s">
        <v>446</v>
      </c>
      <c r="M25" s="662" t="s">
        <v>58</v>
      </c>
      <c r="N25" s="663">
        <v>8.58</v>
      </c>
      <c r="O25" s="664">
        <v>2.8826659525</v>
      </c>
      <c r="P25" s="664">
        <v>0.46663201769295515</v>
      </c>
      <c r="Q25" s="664"/>
      <c r="T25" s="568" t="s">
        <v>446</v>
      </c>
      <c r="U25" s="665">
        <v>0.71349145191824748</v>
      </c>
      <c r="V25" s="666">
        <v>0.72973511370075594</v>
      </c>
      <c r="W25" s="748"/>
      <c r="X25" s="768"/>
      <c r="Y25" s="731"/>
    </row>
    <row r="26" spans="1:25">
      <c r="A26" s="136"/>
      <c r="B26" s="138"/>
      <c r="C26" s="138"/>
      <c r="D26" s="138"/>
      <c r="E26" s="138"/>
      <c r="F26" s="138"/>
      <c r="G26" s="138"/>
      <c r="H26" s="138"/>
      <c r="I26" s="138"/>
      <c r="J26" s="138"/>
      <c r="K26" s="138"/>
      <c r="L26" s="662" t="s">
        <v>74</v>
      </c>
      <c r="M26" s="662" t="s">
        <v>58</v>
      </c>
      <c r="N26" s="663">
        <v>3.9729999999999999</v>
      </c>
      <c r="O26" s="664">
        <v>2.0987</v>
      </c>
      <c r="P26" s="664">
        <v>0.73366753362977877</v>
      </c>
      <c r="Q26" s="664"/>
      <c r="T26" s="568" t="s">
        <v>71</v>
      </c>
      <c r="U26" s="665">
        <v>0.93343837594720069</v>
      </c>
      <c r="V26" s="666">
        <v>0.8626714885377792</v>
      </c>
      <c r="W26" s="748"/>
      <c r="X26" s="768"/>
      <c r="Y26" s="731"/>
    </row>
    <row r="27" spans="1:25">
      <c r="A27" s="136"/>
      <c r="B27" s="138"/>
      <c r="C27" s="138"/>
      <c r="D27" s="138"/>
      <c r="E27" s="138"/>
      <c r="F27" s="138"/>
      <c r="G27" s="138"/>
      <c r="H27" s="138"/>
      <c r="I27" s="138"/>
      <c r="J27" s="138"/>
      <c r="K27" s="138"/>
      <c r="L27" s="662" t="s">
        <v>73</v>
      </c>
      <c r="M27" s="662" t="s">
        <v>58</v>
      </c>
      <c r="N27" s="663">
        <v>3.91621</v>
      </c>
      <c r="O27" s="664">
        <v>1.83194685</v>
      </c>
      <c r="P27" s="664">
        <v>0.64970229507610666</v>
      </c>
      <c r="Q27" s="664"/>
      <c r="T27" s="568" t="s">
        <v>67</v>
      </c>
      <c r="U27" s="665">
        <v>0.74533573445739587</v>
      </c>
      <c r="V27" s="666">
        <v>0.69179606561654106</v>
      </c>
      <c r="W27" s="748"/>
      <c r="X27" s="768"/>
      <c r="Y27" s="731"/>
    </row>
    <row r="28" spans="1:25">
      <c r="A28" s="136"/>
      <c r="B28" s="138"/>
      <c r="C28" s="138"/>
      <c r="D28" s="138"/>
      <c r="E28" s="138"/>
      <c r="F28" s="138"/>
      <c r="G28" s="138"/>
      <c r="H28" s="138"/>
      <c r="I28" s="138"/>
      <c r="J28" s="138"/>
      <c r="K28" s="138"/>
      <c r="L28" s="662" t="s">
        <v>67</v>
      </c>
      <c r="M28" s="662" t="s">
        <v>58</v>
      </c>
      <c r="N28" s="663">
        <v>6.5019999999999998</v>
      </c>
      <c r="O28" s="664">
        <v>1.4776692875000002</v>
      </c>
      <c r="P28" s="664">
        <v>0.31564417946187495</v>
      </c>
      <c r="Q28" s="664"/>
      <c r="T28" s="568" t="s">
        <v>68</v>
      </c>
      <c r="U28" s="665">
        <v>0.66272701925403832</v>
      </c>
      <c r="V28" s="666">
        <v>0.67935377102459527</v>
      </c>
      <c r="W28" s="748"/>
      <c r="X28" s="768"/>
      <c r="Y28" s="731"/>
    </row>
    <row r="29" spans="1:25">
      <c r="A29" s="136"/>
      <c r="B29" s="138"/>
      <c r="C29" s="138"/>
      <c r="D29" s="138"/>
      <c r="E29" s="138"/>
      <c r="F29" s="138"/>
      <c r="G29" s="138"/>
      <c r="H29" s="138"/>
      <c r="I29" s="138"/>
      <c r="J29" s="138"/>
      <c r="K29" s="138"/>
      <c r="L29" s="662" t="s">
        <v>72</v>
      </c>
      <c r="M29" s="662" t="s">
        <v>58</v>
      </c>
      <c r="N29" s="663">
        <v>3.3107500000000001</v>
      </c>
      <c r="O29" s="664">
        <v>1.33232325</v>
      </c>
      <c r="P29" s="664">
        <v>0.55892137984847345</v>
      </c>
      <c r="Q29" s="664"/>
      <c r="T29" s="568" t="s">
        <v>73</v>
      </c>
      <c r="U29" s="665">
        <v>0.8598187727217923</v>
      </c>
      <c r="V29" s="666">
        <v>0.89359154923426054</v>
      </c>
      <c r="W29" s="748"/>
      <c r="X29" s="768"/>
      <c r="Y29" s="731"/>
    </row>
    <row r="30" spans="1:25">
      <c r="A30" s="136"/>
      <c r="B30" s="138"/>
      <c r="C30" s="138"/>
      <c r="D30" s="138"/>
      <c r="E30" s="138"/>
      <c r="F30" s="138"/>
      <c r="G30" s="138"/>
      <c r="H30" s="138"/>
      <c r="I30" s="138"/>
      <c r="J30" s="138"/>
      <c r="K30" s="138"/>
      <c r="L30" s="568" t="s">
        <v>70</v>
      </c>
      <c r="M30" s="662" t="s">
        <v>58</v>
      </c>
      <c r="N30" s="663">
        <v>5.1890000000000001</v>
      </c>
      <c r="O30" s="664">
        <v>1.2439878475000001</v>
      </c>
      <c r="P30" s="664">
        <v>0.33296606269137707</v>
      </c>
      <c r="Q30" s="664"/>
      <c r="T30" s="568" t="s">
        <v>74</v>
      </c>
      <c r="U30" s="665">
        <v>0.82056528899723225</v>
      </c>
      <c r="V30" s="666">
        <v>0.77791514050022947</v>
      </c>
      <c r="W30" s="748"/>
      <c r="X30" s="768"/>
      <c r="Y30" s="731"/>
    </row>
    <row r="31" spans="1:25">
      <c r="A31" s="136"/>
      <c r="B31" s="138"/>
      <c r="C31" s="138"/>
      <c r="D31" s="138"/>
      <c r="E31" s="138"/>
      <c r="F31" s="138"/>
      <c r="G31" s="138"/>
      <c r="H31" s="138"/>
      <c r="I31" s="138"/>
      <c r="J31" s="138"/>
      <c r="K31" s="138"/>
      <c r="L31" s="662" t="s">
        <v>68</v>
      </c>
      <c r="M31" s="664" t="s">
        <v>58</v>
      </c>
      <c r="N31" s="664">
        <v>6.6360000000000001</v>
      </c>
      <c r="O31" s="664">
        <v>1.2109361224999999</v>
      </c>
      <c r="P31" s="664">
        <v>0.25344420218421404</v>
      </c>
      <c r="Q31" s="664"/>
      <c r="T31" s="568" t="s">
        <v>70</v>
      </c>
      <c r="U31" s="665">
        <v>0.60683226102141985</v>
      </c>
      <c r="V31" s="666">
        <v>0.65346431977600294</v>
      </c>
      <c r="W31" s="748"/>
      <c r="X31" s="768"/>
      <c r="Y31" s="731"/>
    </row>
    <row r="32" spans="1:25">
      <c r="A32" s="136"/>
      <c r="B32" s="138"/>
      <c r="C32" s="138"/>
      <c r="D32" s="138"/>
      <c r="E32" s="138"/>
      <c r="F32" s="138"/>
      <c r="G32" s="138"/>
      <c r="H32" s="138"/>
      <c r="I32" s="138"/>
      <c r="J32" s="138"/>
      <c r="K32" s="138"/>
      <c r="L32" s="662" t="s">
        <v>411</v>
      </c>
      <c r="M32" s="664" t="s">
        <v>58</v>
      </c>
      <c r="N32" s="664">
        <v>0.678643</v>
      </c>
      <c r="O32" s="664">
        <v>0.24094925</v>
      </c>
      <c r="P32" s="664">
        <v>0.49311896845780645</v>
      </c>
      <c r="Q32" s="664"/>
      <c r="T32" s="568" t="s">
        <v>72</v>
      </c>
      <c r="U32" s="665">
        <v>0.63269304753795352</v>
      </c>
      <c r="V32" s="666">
        <v>0.69266492327903739</v>
      </c>
      <c r="W32" s="748"/>
      <c r="X32" s="768"/>
      <c r="Y32" s="731"/>
    </row>
    <row r="33" spans="1:25">
      <c r="A33" s="136"/>
      <c r="B33" s="138"/>
      <c r="C33" s="138"/>
      <c r="D33" s="138"/>
      <c r="E33" s="138"/>
      <c r="F33" s="138"/>
      <c r="G33" s="138"/>
      <c r="H33" s="138"/>
      <c r="I33" s="138"/>
      <c r="J33" s="138"/>
      <c r="K33" s="138"/>
      <c r="L33" s="662" t="s">
        <v>75</v>
      </c>
      <c r="M33" s="664" t="s">
        <v>58</v>
      </c>
      <c r="N33" s="664">
        <v>1.7689999999999999</v>
      </c>
      <c r="O33" s="664">
        <v>0</v>
      </c>
      <c r="P33" s="664">
        <v>0</v>
      </c>
      <c r="Q33" s="664"/>
      <c r="T33" s="568" t="s">
        <v>411</v>
      </c>
      <c r="U33" s="665">
        <v>0.44702441945753907</v>
      </c>
      <c r="V33" s="666">
        <v>0.45284137726913981</v>
      </c>
      <c r="W33" s="748"/>
      <c r="X33" s="768"/>
      <c r="Y33" s="731"/>
    </row>
    <row r="34" spans="1:25">
      <c r="B34" s="138"/>
      <c r="C34" s="138"/>
      <c r="D34" s="138"/>
      <c r="E34" s="138"/>
      <c r="F34" s="138"/>
      <c r="G34" s="138"/>
      <c r="H34" s="138"/>
      <c r="I34" s="138"/>
      <c r="J34" s="138"/>
      <c r="K34" s="138"/>
      <c r="L34" s="662" t="s">
        <v>458</v>
      </c>
      <c r="M34" s="664" t="s">
        <v>58</v>
      </c>
      <c r="N34" s="664">
        <v>20.763359999999999</v>
      </c>
      <c r="O34" s="664">
        <v>0</v>
      </c>
      <c r="P34" s="664">
        <v>0</v>
      </c>
      <c r="Q34" s="664"/>
      <c r="T34" s="568" t="s">
        <v>75</v>
      </c>
      <c r="U34" s="665">
        <v>0.14330710598531909</v>
      </c>
      <c r="V34" s="666">
        <v>0.25001480233468931</v>
      </c>
      <c r="W34" s="748"/>
      <c r="X34" s="768"/>
      <c r="Y34" s="731"/>
    </row>
    <row r="35" spans="1:25">
      <c r="A35" s="136"/>
      <c r="B35" s="138"/>
      <c r="C35" s="138"/>
      <c r="D35" s="138"/>
      <c r="E35" s="138"/>
      <c r="F35" s="138"/>
      <c r="G35" s="138"/>
      <c r="H35" s="138"/>
      <c r="I35" s="138"/>
      <c r="J35" s="138"/>
      <c r="K35" s="138"/>
      <c r="L35" s="662" t="s">
        <v>418</v>
      </c>
      <c r="M35" s="662" t="s">
        <v>215</v>
      </c>
      <c r="N35" s="663">
        <v>132.30000000000001</v>
      </c>
      <c r="O35" s="664">
        <v>46.366825750000004</v>
      </c>
      <c r="P35" s="664">
        <v>0.48676015946502055</v>
      </c>
      <c r="Q35" s="664"/>
      <c r="S35" s="568" t="s">
        <v>435</v>
      </c>
      <c r="T35" s="568" t="s">
        <v>418</v>
      </c>
      <c r="U35" s="665">
        <v>0.51031949960258294</v>
      </c>
      <c r="V35" s="666">
        <v>0.49951754734812887</v>
      </c>
      <c r="W35" s="748"/>
      <c r="X35" s="768"/>
      <c r="Y35" s="731"/>
    </row>
    <row r="36" spans="1:25" ht="10.9" customHeight="1">
      <c r="A36" s="136"/>
      <c r="B36" s="138"/>
      <c r="C36" s="138"/>
      <c r="D36" s="138"/>
      <c r="E36" s="138"/>
      <c r="F36" s="138"/>
      <c r="G36" s="138"/>
      <c r="H36" s="138"/>
      <c r="I36" s="138"/>
      <c r="J36" s="138"/>
      <c r="K36" s="138"/>
      <c r="L36" s="662" t="s">
        <v>76</v>
      </c>
      <c r="M36" s="662" t="s">
        <v>215</v>
      </c>
      <c r="N36" s="663">
        <v>97.15</v>
      </c>
      <c r="O36" s="664">
        <v>38.330881479999995</v>
      </c>
      <c r="P36" s="664">
        <v>0.54799110024589681</v>
      </c>
      <c r="Q36" s="664"/>
      <c r="T36" s="568" t="s">
        <v>76</v>
      </c>
      <c r="U36" s="665">
        <v>0.61079760547851325</v>
      </c>
      <c r="V36" s="666">
        <v>0.6105069610214785</v>
      </c>
      <c r="W36" s="748"/>
      <c r="X36" s="768"/>
      <c r="Y36" s="731"/>
    </row>
    <row r="37" spans="1:25">
      <c r="A37" s="136"/>
      <c r="B37" s="138"/>
      <c r="C37" s="138"/>
      <c r="D37" s="138"/>
      <c r="E37" s="138"/>
      <c r="F37" s="138"/>
      <c r="G37" s="138"/>
      <c r="H37" s="138"/>
      <c r="I37" s="138"/>
      <c r="J37" s="138"/>
      <c r="K37" s="138"/>
      <c r="L37" s="662" t="s">
        <v>77</v>
      </c>
      <c r="M37" s="662" t="s">
        <v>215</v>
      </c>
      <c r="N37" s="663">
        <v>83.15</v>
      </c>
      <c r="O37" s="664">
        <v>33.161910750000004</v>
      </c>
      <c r="P37" s="664">
        <v>0.55391713018641009</v>
      </c>
      <c r="Q37" s="664"/>
      <c r="T37" s="568" t="s">
        <v>77</v>
      </c>
      <c r="U37" s="665">
        <v>0.46553651250984213</v>
      </c>
      <c r="V37" s="666">
        <v>0.40005060845185364</v>
      </c>
      <c r="W37" s="748"/>
      <c r="X37" s="768"/>
      <c r="Y37" s="731"/>
    </row>
    <row r="38" spans="1:25" ht="11.25" customHeight="1">
      <c r="A38" s="136"/>
      <c r="B38" s="138"/>
      <c r="C38" s="138"/>
      <c r="D38" s="138"/>
      <c r="E38" s="138"/>
      <c r="F38" s="138"/>
      <c r="G38" s="138"/>
      <c r="H38" s="138"/>
      <c r="I38" s="138"/>
      <c r="J38" s="138"/>
      <c r="K38" s="138"/>
      <c r="L38" s="662" t="s">
        <v>79</v>
      </c>
      <c r="M38" s="662" t="s">
        <v>215</v>
      </c>
      <c r="N38" s="663">
        <v>30.86</v>
      </c>
      <c r="O38" s="664">
        <v>16.046638925</v>
      </c>
      <c r="P38" s="664">
        <v>0.72219697041297615</v>
      </c>
      <c r="Q38" s="668"/>
      <c r="T38" s="568" t="s">
        <v>78</v>
      </c>
      <c r="U38" s="665">
        <v>0.65220539886193607</v>
      </c>
      <c r="V38" s="666">
        <v>0.64485289684766334</v>
      </c>
      <c r="W38" s="748"/>
      <c r="X38" s="768"/>
      <c r="Y38" s="731"/>
    </row>
    <row r="39" spans="1:25">
      <c r="A39" s="136"/>
      <c r="B39" s="138"/>
      <c r="C39" s="138"/>
      <c r="D39" s="138"/>
      <c r="E39" s="138"/>
      <c r="F39" s="138"/>
      <c r="G39" s="138"/>
      <c r="H39" s="138"/>
      <c r="I39" s="138"/>
      <c r="J39" s="138"/>
      <c r="K39" s="138"/>
      <c r="L39" s="662" t="s">
        <v>78</v>
      </c>
      <c r="M39" s="662" t="s">
        <v>215</v>
      </c>
      <c r="N39" s="663">
        <v>32</v>
      </c>
      <c r="O39" s="664">
        <v>12.8119535225</v>
      </c>
      <c r="P39" s="664">
        <v>0.5560743716362847</v>
      </c>
      <c r="T39" s="568" t="s">
        <v>79</v>
      </c>
      <c r="U39" s="665">
        <v>0.46311972663779516</v>
      </c>
      <c r="V39" s="666">
        <v>0.40277185111816094</v>
      </c>
      <c r="W39" s="748"/>
      <c r="X39" s="768"/>
      <c r="Y39" s="731"/>
    </row>
    <row r="40" spans="1:25">
      <c r="A40" s="136"/>
      <c r="B40" s="138"/>
      <c r="C40" s="138"/>
      <c r="D40" s="138"/>
      <c r="E40" s="138"/>
      <c r="F40" s="138"/>
      <c r="G40" s="138"/>
      <c r="H40" s="138"/>
      <c r="I40" s="138"/>
      <c r="J40" s="138"/>
      <c r="K40" s="138"/>
      <c r="L40" s="662" t="s">
        <v>471</v>
      </c>
      <c r="M40" s="662" t="s">
        <v>215</v>
      </c>
      <c r="N40" s="663">
        <v>18.37</v>
      </c>
      <c r="O40" s="664">
        <v>5.2907613174999994</v>
      </c>
      <c r="P40" s="664">
        <v>0.40001522088398961</v>
      </c>
      <c r="T40" s="568" t="s">
        <v>471</v>
      </c>
      <c r="U40" s="665">
        <v>0.36923368249688465</v>
      </c>
      <c r="V40" s="666">
        <v>0.22526203770259587</v>
      </c>
      <c r="W40" s="748"/>
      <c r="X40" s="768"/>
      <c r="Y40" s="731"/>
    </row>
    <row r="41" spans="1:25">
      <c r="A41" s="136"/>
      <c r="B41" s="138"/>
      <c r="C41" s="138"/>
      <c r="D41" s="138"/>
      <c r="E41" s="138"/>
      <c r="F41" s="138"/>
      <c r="G41" s="138"/>
      <c r="H41" s="138"/>
      <c r="I41" s="138"/>
      <c r="J41" s="138"/>
      <c r="K41" s="138"/>
      <c r="L41" s="568" t="s">
        <v>470</v>
      </c>
      <c r="M41" s="662" t="s">
        <v>215</v>
      </c>
      <c r="N41" s="663">
        <v>18.37</v>
      </c>
      <c r="O41" s="664">
        <v>3.7820845374999998</v>
      </c>
      <c r="P41" s="664">
        <v>0.28594965655809595</v>
      </c>
      <c r="T41" s="568" t="s">
        <v>470</v>
      </c>
      <c r="U41" s="665">
        <v>0.2735985101933251</v>
      </c>
      <c r="V41" s="666">
        <v>0.16128854458335964</v>
      </c>
      <c r="W41" s="748"/>
      <c r="X41" s="768"/>
      <c r="Y41" s="731"/>
    </row>
    <row r="42" spans="1:25">
      <c r="A42" s="136"/>
      <c r="B42" s="138"/>
      <c r="C42" s="138"/>
      <c r="D42" s="138"/>
      <c r="E42" s="138"/>
      <c r="F42" s="138"/>
      <c r="G42" s="138"/>
      <c r="H42" s="138"/>
      <c r="I42" s="138"/>
      <c r="J42" s="138"/>
      <c r="K42" s="138"/>
      <c r="L42" s="568" t="s">
        <v>419</v>
      </c>
      <c r="M42" s="662" t="s">
        <v>80</v>
      </c>
      <c r="N42" s="663">
        <v>144.47999999999999</v>
      </c>
      <c r="O42" s="664">
        <v>30.23433</v>
      </c>
      <c r="P42" s="664">
        <v>0.29064316860465123</v>
      </c>
      <c r="S42" s="568" t="s">
        <v>427</v>
      </c>
      <c r="T42" s="568" t="s">
        <v>419</v>
      </c>
      <c r="U42" s="665">
        <v>0.33046747096401091</v>
      </c>
      <c r="V42" s="666">
        <v>0.32729608374237001</v>
      </c>
      <c r="W42" s="748"/>
      <c r="X42" s="768"/>
      <c r="Y42" s="731"/>
    </row>
    <row r="43" spans="1:25" ht="36" customHeight="1">
      <c r="A43" s="862"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junio 2022.
Nota: Son consideradas las centrales adjudicadas por subasta RER y cuenten con operación comercial</v>
      </c>
      <c r="B43" s="862"/>
      <c r="C43" s="862"/>
      <c r="D43" s="862"/>
      <c r="E43" s="862"/>
      <c r="F43" s="862"/>
      <c r="G43" s="862"/>
      <c r="H43" s="862"/>
      <c r="I43" s="862"/>
      <c r="J43" s="862"/>
      <c r="K43" s="862"/>
      <c r="L43" s="662" t="s">
        <v>420</v>
      </c>
      <c r="M43" s="662" t="s">
        <v>80</v>
      </c>
      <c r="N43" s="663">
        <v>44.54</v>
      </c>
      <c r="O43" s="664">
        <v>7.6483643099999998</v>
      </c>
      <c r="P43" s="664">
        <v>0.23849861267025893</v>
      </c>
      <c r="T43" s="568" t="s">
        <v>420</v>
      </c>
      <c r="U43" s="665">
        <v>0.26256449288811512</v>
      </c>
      <c r="V43" s="666">
        <v>0.25583823463514077</v>
      </c>
      <c r="W43" s="748"/>
      <c r="X43" s="768"/>
      <c r="Y43" s="731"/>
    </row>
    <row r="44" spans="1:25" ht="18" customHeight="1">
      <c r="A44" s="136"/>
      <c r="B44" s="138"/>
      <c r="C44" s="138"/>
      <c r="D44" s="138"/>
      <c r="E44" s="138"/>
      <c r="F44" s="138"/>
      <c r="G44" s="138"/>
      <c r="H44" s="138"/>
      <c r="I44" s="138"/>
      <c r="J44" s="138"/>
      <c r="K44" s="138"/>
      <c r="L44" s="662" t="s">
        <v>230</v>
      </c>
      <c r="M44" s="662" t="s">
        <v>80</v>
      </c>
      <c r="N44" s="663">
        <v>20</v>
      </c>
      <c r="O44" s="664">
        <v>3.7065928475000001</v>
      </c>
      <c r="P44" s="664">
        <v>0.25740228107638891</v>
      </c>
      <c r="T44" s="568" t="s">
        <v>230</v>
      </c>
      <c r="U44" s="665">
        <v>0.31378041220649172</v>
      </c>
      <c r="V44" s="666">
        <v>0.3211948695039134</v>
      </c>
      <c r="W44" s="748"/>
      <c r="X44" s="768"/>
      <c r="Y44" s="731"/>
    </row>
    <row r="45" spans="1:25" ht="12">
      <c r="A45" s="136"/>
      <c r="B45" s="138"/>
      <c r="C45" s="866" t="str">
        <f>"Factor de planta de las centrales RER  Acumulado al "&amp;'1. Resumen'!Q7&amp;" de "&amp;'1. Resumen'!Q4</f>
        <v>Factor de planta de las centrales RER  Acumulado al 30 de junio</v>
      </c>
      <c r="D45" s="866"/>
      <c r="E45" s="866"/>
      <c r="F45" s="866"/>
      <c r="G45" s="866"/>
      <c r="H45" s="866"/>
      <c r="I45" s="866"/>
      <c r="J45" s="138"/>
      <c r="K45" s="138"/>
      <c r="L45" s="662" t="s">
        <v>231</v>
      </c>
      <c r="M45" s="662" t="s">
        <v>80</v>
      </c>
      <c r="N45" s="663">
        <v>20</v>
      </c>
      <c r="O45" s="664">
        <v>3.4355207999999999</v>
      </c>
      <c r="P45" s="664">
        <v>0.23857783333333332</v>
      </c>
      <c r="T45" s="568" t="s">
        <v>229</v>
      </c>
      <c r="U45" s="665">
        <v>0.31070768683816757</v>
      </c>
      <c r="V45" s="666">
        <v>0.31290277719267962</v>
      </c>
      <c r="W45" s="748"/>
      <c r="X45" s="768"/>
      <c r="Y45" s="731"/>
    </row>
    <row r="46" spans="1:25" ht="9.75" customHeight="1">
      <c r="A46" s="136"/>
      <c r="B46" s="138"/>
      <c r="C46" s="138"/>
      <c r="D46" s="138"/>
      <c r="E46" s="138"/>
      <c r="F46" s="138"/>
      <c r="G46" s="138"/>
      <c r="H46" s="138"/>
      <c r="I46" s="138"/>
      <c r="J46" s="138"/>
      <c r="K46" s="138"/>
      <c r="L46" s="662" t="s">
        <v>229</v>
      </c>
      <c r="M46" s="662" t="s">
        <v>80</v>
      </c>
      <c r="N46" s="663">
        <v>20</v>
      </c>
      <c r="O46" s="664">
        <v>3.3274599450000002</v>
      </c>
      <c r="P46" s="664">
        <v>0.23107360729166668</v>
      </c>
      <c r="T46" s="567" t="s">
        <v>81</v>
      </c>
      <c r="U46" s="665">
        <v>0.32448145613921503</v>
      </c>
      <c r="V46" s="666">
        <v>0.33201249503625685</v>
      </c>
      <c r="W46" s="748"/>
      <c r="X46" s="768"/>
      <c r="Y46" s="731"/>
    </row>
    <row r="47" spans="1:25" ht="9.75" customHeight="1">
      <c r="A47" s="136"/>
      <c r="B47" s="138"/>
      <c r="C47" s="138"/>
      <c r="D47" s="138"/>
      <c r="E47" s="138"/>
      <c r="F47" s="138"/>
      <c r="G47" s="138"/>
      <c r="H47" s="138"/>
      <c r="I47" s="138"/>
      <c r="J47" s="138"/>
      <c r="K47" s="138"/>
      <c r="L47" s="662" t="s">
        <v>82</v>
      </c>
      <c r="M47" s="662" t="s">
        <v>80</v>
      </c>
      <c r="N47" s="663">
        <v>20</v>
      </c>
      <c r="O47" s="664">
        <v>3.2684066824999998</v>
      </c>
      <c r="P47" s="664">
        <v>0.22697268628472222</v>
      </c>
      <c r="T47" s="568" t="s">
        <v>231</v>
      </c>
      <c r="U47" s="665">
        <v>0.25794262603591162</v>
      </c>
      <c r="V47" s="666">
        <v>0.23619736418047879</v>
      </c>
      <c r="X47" s="768"/>
      <c r="Y47" s="731"/>
    </row>
    <row r="48" spans="1:25" ht="9.75" customHeight="1">
      <c r="A48" s="136"/>
      <c r="B48" s="138"/>
      <c r="C48" s="138"/>
      <c r="D48" s="138"/>
      <c r="E48" s="138"/>
      <c r="F48" s="138"/>
      <c r="G48" s="138"/>
      <c r="H48" s="138"/>
      <c r="I48" s="138"/>
      <c r="J48" s="138"/>
      <c r="K48" s="138"/>
      <c r="L48" s="662" t="s">
        <v>81</v>
      </c>
      <c r="M48" s="662" t="s">
        <v>80</v>
      </c>
      <c r="N48" s="663">
        <v>16</v>
      </c>
      <c r="O48" s="664">
        <v>3.1572381475000002</v>
      </c>
      <c r="P48" s="664">
        <v>0.27406581141493058</v>
      </c>
      <c r="T48" s="568" t="s">
        <v>82</v>
      </c>
      <c r="U48" s="665">
        <v>0.24337007965009208</v>
      </c>
      <c r="V48" s="666">
        <v>0.23736586320211789</v>
      </c>
      <c r="X48" s="768"/>
      <c r="Y48" s="731"/>
    </row>
    <row r="49" spans="1:25" ht="9.75" customHeight="1">
      <c r="A49" s="136"/>
      <c r="B49" s="138"/>
      <c r="C49" s="138"/>
      <c r="D49" s="138"/>
      <c r="E49" s="138"/>
      <c r="F49" s="138"/>
      <c r="G49" s="138"/>
      <c r="H49" s="138"/>
      <c r="I49" s="138"/>
      <c r="J49" s="138"/>
      <c r="K49" s="138"/>
      <c r="L49" s="662" t="s">
        <v>83</v>
      </c>
      <c r="M49" s="662" t="s">
        <v>398</v>
      </c>
      <c r="N49" s="663">
        <v>12.74105</v>
      </c>
      <c r="O49" s="664">
        <v>7.1441898975000004</v>
      </c>
      <c r="P49" s="664">
        <v>0.77878086725583862</v>
      </c>
      <c r="S49" s="568" t="s">
        <v>428</v>
      </c>
      <c r="T49" s="568" t="s">
        <v>83</v>
      </c>
      <c r="U49" s="693">
        <v>0.74465308319414469</v>
      </c>
      <c r="V49" s="666">
        <v>0.8538768363710304</v>
      </c>
      <c r="X49" s="768"/>
      <c r="Y49" s="731"/>
    </row>
    <row r="50" spans="1:25" ht="9.75" customHeight="1">
      <c r="A50" s="136"/>
      <c r="B50" s="138"/>
      <c r="C50" s="138"/>
      <c r="D50" s="138"/>
      <c r="E50" s="138"/>
      <c r="F50" s="138"/>
      <c r="G50" s="138"/>
      <c r="H50" s="138"/>
      <c r="I50" s="138"/>
      <c r="J50" s="138"/>
      <c r="K50" s="138"/>
      <c r="L50" s="662" t="s">
        <v>84</v>
      </c>
      <c r="M50" s="662" t="s">
        <v>398</v>
      </c>
      <c r="N50" s="663">
        <v>4.2625000000000002</v>
      </c>
      <c r="O50" s="664">
        <v>2.432259325</v>
      </c>
      <c r="P50" s="664">
        <v>0.79252503258390339</v>
      </c>
      <c r="T50" s="568" t="s">
        <v>84</v>
      </c>
      <c r="U50" s="693">
        <v>0.73380723322153985</v>
      </c>
      <c r="V50" s="666">
        <v>0.86261552375474582</v>
      </c>
    </row>
    <row r="51" spans="1:25" ht="20.25" customHeight="1">
      <c r="A51" s="136"/>
      <c r="B51" s="138"/>
      <c r="C51" s="138"/>
      <c r="D51" s="138"/>
      <c r="E51" s="138"/>
      <c r="F51" s="138"/>
      <c r="G51" s="138"/>
      <c r="H51" s="138"/>
      <c r="I51" s="138"/>
      <c r="J51" s="138"/>
      <c r="K51" s="138"/>
      <c r="L51" s="662" t="s">
        <v>85</v>
      </c>
      <c r="M51" s="662" t="s">
        <v>398</v>
      </c>
      <c r="N51" s="663">
        <v>2.9537</v>
      </c>
      <c r="O51" s="664">
        <v>1.9573849749999999</v>
      </c>
      <c r="P51" s="664">
        <v>0.92040161257255482</v>
      </c>
      <c r="T51" s="568" t="s">
        <v>85</v>
      </c>
      <c r="U51" s="693">
        <v>0.74259899840952348</v>
      </c>
      <c r="V51" s="666">
        <v>0.88169674942144216</v>
      </c>
    </row>
    <row r="52" spans="1:25" ht="9.75" customHeight="1">
      <c r="A52" s="136"/>
      <c r="B52" s="138"/>
      <c r="C52" s="138"/>
      <c r="D52" s="138"/>
      <c r="E52" s="138"/>
      <c r="F52" s="138"/>
      <c r="G52" s="138"/>
      <c r="H52" s="138"/>
      <c r="I52" s="138"/>
      <c r="J52" s="138"/>
      <c r="K52" s="138"/>
      <c r="L52" s="662" t="s">
        <v>457</v>
      </c>
      <c r="M52" s="662" t="s">
        <v>398</v>
      </c>
      <c r="N52" s="663">
        <v>2.4</v>
      </c>
      <c r="O52" s="664">
        <v>1.2346743</v>
      </c>
      <c r="P52" s="664">
        <v>0.71451059027777786</v>
      </c>
      <c r="T52" s="568" t="s">
        <v>421</v>
      </c>
      <c r="U52" s="693">
        <v>0.64837923356929106</v>
      </c>
      <c r="V52" s="666">
        <v>0.69355076518377845</v>
      </c>
    </row>
    <row r="53" spans="1:25" ht="9.75" customHeight="1">
      <c r="B53" s="138"/>
      <c r="C53" s="138"/>
      <c r="D53" s="138"/>
      <c r="E53" s="138"/>
      <c r="F53" s="138"/>
      <c r="G53" s="138"/>
      <c r="H53" s="138"/>
      <c r="I53" s="138"/>
      <c r="J53" s="138"/>
      <c r="K53" s="138"/>
      <c r="L53" s="662" t="s">
        <v>421</v>
      </c>
      <c r="M53" s="662" t="s">
        <v>398</v>
      </c>
      <c r="N53" s="663">
        <v>2.4</v>
      </c>
      <c r="O53" s="664">
        <v>0.926458275</v>
      </c>
      <c r="P53" s="664">
        <v>0.53614483506944444</v>
      </c>
      <c r="T53" s="568" t="s">
        <v>457</v>
      </c>
      <c r="U53" s="693">
        <v>0.6437413266382751</v>
      </c>
      <c r="V53" s="666">
        <v>0.63098806903199822</v>
      </c>
    </row>
    <row r="54" spans="1:25" ht="30.75" customHeight="1">
      <c r="M54" s="662"/>
      <c r="N54" s="663"/>
      <c r="O54" s="664"/>
      <c r="P54" s="664"/>
    </row>
    <row r="55" spans="1:25" ht="9.75" customHeight="1">
      <c r="U55" s="693"/>
    </row>
    <row r="56" spans="1:25" ht="9.75" customHeight="1">
      <c r="U56" s="693"/>
    </row>
    <row r="57" spans="1:25" ht="9.75" customHeight="1">
      <c r="U57" s="693"/>
    </row>
    <row r="58" spans="1:25" ht="9.75" customHeight="1"/>
    <row r="59" spans="1:25" ht="9.75" customHeight="1"/>
    <row r="60" spans="1:25" ht="9.75" customHeight="1"/>
    <row r="61" spans="1:25" ht="9.75" customHeight="1"/>
    <row r="62" spans="1:25" ht="9.75" customHeight="1"/>
    <row r="64" spans="1:25" ht="26.25" customHeight="1">
      <c r="A64" s="862"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junio.
Nota: Son consideradas las centrales adjudicadas por subasta RER y cuenten con operación comercial</v>
      </c>
      <c r="B64" s="862"/>
      <c r="C64" s="862"/>
      <c r="D64" s="862"/>
      <c r="E64" s="862"/>
      <c r="F64" s="862"/>
      <c r="G64" s="862"/>
      <c r="H64" s="862"/>
      <c r="I64" s="862"/>
      <c r="J64" s="862"/>
      <c r="K64" s="862"/>
    </row>
  </sheetData>
  <mergeCells count="4">
    <mergeCell ref="A43:K43"/>
    <mergeCell ref="A2:K2"/>
    <mergeCell ref="C45:I45"/>
    <mergeCell ref="A64:K64"/>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zoomScale="130" zoomScaleNormal="100" zoomScaleSheetLayoutView="130" zoomScalePageLayoutView="115" workbookViewId="0">
      <selection activeCell="B18" sqref="M18"/>
    </sheetView>
  </sheetViews>
  <sheetFormatPr baseColWidth="10" defaultColWidth="9.33203125" defaultRowHeight="11.25"/>
  <cols>
    <col min="1" max="1" width="30.1640625" customWidth="1"/>
    <col min="2" max="2" width="11.5" bestFit="1" customWidth="1"/>
    <col min="3" max="3" width="10.6640625" bestFit="1" customWidth="1"/>
    <col min="4" max="4" width="10.33203125" bestFit="1" customWidth="1"/>
    <col min="10" max="10" width="9.33203125" customWidth="1"/>
    <col min="11" max="11" width="22.83203125" style="692" customWidth="1"/>
    <col min="12" max="12" width="19.1640625" style="277" customWidth="1"/>
    <col min="13" max="13" width="10.5" style="277" bestFit="1" customWidth="1"/>
    <col min="14" max="14" width="9.5" style="277" bestFit="1" customWidth="1"/>
    <col min="15" max="17" width="9.33203125" style="692"/>
  </cols>
  <sheetData>
    <row r="1" spans="1:14" ht="11.25" customHeight="1">
      <c r="A1" s="863" t="s">
        <v>233</v>
      </c>
      <c r="B1" s="863"/>
      <c r="C1" s="863"/>
      <c r="D1" s="863"/>
      <c r="E1" s="863"/>
      <c r="F1" s="863"/>
      <c r="G1" s="863"/>
      <c r="H1" s="863"/>
      <c r="I1" s="863"/>
      <c r="J1" s="17"/>
    </row>
    <row r="2" spans="1:14" ht="6" customHeight="1">
      <c r="A2" s="17"/>
      <c r="B2" s="17"/>
      <c r="C2" s="17"/>
      <c r="D2" s="17"/>
      <c r="E2" s="17"/>
      <c r="F2" s="17"/>
      <c r="G2" s="17"/>
      <c r="H2" s="17"/>
      <c r="I2" s="17"/>
      <c r="J2" s="17"/>
      <c r="K2" s="694"/>
      <c r="L2" s="740"/>
    </row>
    <row r="3" spans="1:14" ht="11.25" customHeight="1">
      <c r="A3" s="869" t="s">
        <v>243</v>
      </c>
      <c r="B3" s="870" t="str">
        <f>+'1. Resumen'!Q4</f>
        <v>junio</v>
      </c>
      <c r="C3" s="871"/>
      <c r="D3" s="871"/>
      <c r="E3" s="138"/>
      <c r="F3" s="138"/>
      <c r="G3" s="872" t="s">
        <v>569</v>
      </c>
      <c r="H3" s="872"/>
      <c r="I3" s="872"/>
      <c r="J3" s="138"/>
      <c r="L3" s="741"/>
      <c r="M3" s="742">
        <v>2022</v>
      </c>
      <c r="N3" s="742">
        <v>2021</v>
      </c>
    </row>
    <row r="4" spans="1:14" ht="11.25" customHeight="1">
      <c r="A4" s="869"/>
      <c r="B4" s="368">
        <f>+'1. Resumen'!Q5</f>
        <v>2022</v>
      </c>
      <c r="C4" s="369">
        <f>+B4-1</f>
        <v>2021</v>
      </c>
      <c r="D4" s="369" t="s">
        <v>35</v>
      </c>
      <c r="E4" s="138"/>
      <c r="F4" s="138"/>
      <c r="G4" s="138"/>
      <c r="H4" s="138"/>
      <c r="I4" s="138"/>
      <c r="J4" s="138"/>
      <c r="K4" s="749"/>
      <c r="L4" s="743" t="s">
        <v>416</v>
      </c>
      <c r="M4" s="744"/>
      <c r="N4" s="744">
        <v>9.1583625399999988</v>
      </c>
    </row>
    <row r="5" spans="1:14" ht="9.6" customHeight="1">
      <c r="A5" s="609" t="s">
        <v>405</v>
      </c>
      <c r="B5" s="770">
        <v>768.87543725</v>
      </c>
      <c r="C5" s="771">
        <v>800.45004372250003</v>
      </c>
      <c r="D5" s="610">
        <f>IF(C5=0,"",B5/C5-1)</f>
        <v>-3.9446067521793138E-2</v>
      </c>
      <c r="E5" s="138"/>
      <c r="F5" s="138"/>
      <c r="G5" s="138"/>
      <c r="H5" s="138"/>
      <c r="I5" s="138"/>
      <c r="J5" s="138"/>
      <c r="K5" s="750"/>
      <c r="L5" s="743" t="s">
        <v>117</v>
      </c>
      <c r="M5" s="744">
        <v>0</v>
      </c>
      <c r="N5" s="744">
        <v>0.77859313500000005</v>
      </c>
    </row>
    <row r="6" spans="1:14" ht="9.6" customHeight="1">
      <c r="A6" s="611" t="s">
        <v>87</v>
      </c>
      <c r="B6" s="772">
        <v>627.4877178050001</v>
      </c>
      <c r="C6" s="772">
        <v>652.32864483749984</v>
      </c>
      <c r="D6" s="612">
        <f t="shared" ref="D6:D68" si="0">IF(C6=0,"",B6/C6-1)</f>
        <v>-3.8080386671794586E-2</v>
      </c>
      <c r="E6" s="322"/>
      <c r="F6" s="138"/>
      <c r="G6" s="138"/>
      <c r="H6" s="138"/>
      <c r="I6" s="138"/>
      <c r="J6" s="138"/>
      <c r="L6" s="744" t="s">
        <v>453</v>
      </c>
      <c r="M6" s="744">
        <v>0</v>
      </c>
      <c r="N6" s="744">
        <v>7.5211444449999991</v>
      </c>
    </row>
    <row r="7" spans="1:14" ht="9.6" customHeight="1">
      <c r="A7" s="609" t="s">
        <v>88</v>
      </c>
      <c r="B7" s="771">
        <v>610.76099250000004</v>
      </c>
      <c r="C7" s="771">
        <v>586.20104074750009</v>
      </c>
      <c r="D7" s="610">
        <f t="shared" si="0"/>
        <v>4.1896806803996878E-2</v>
      </c>
      <c r="E7" s="138"/>
      <c r="F7" s="138"/>
      <c r="G7" s="138"/>
      <c r="H7" s="138"/>
      <c r="I7" s="138"/>
      <c r="J7" s="138"/>
      <c r="L7" s="743" t="s">
        <v>464</v>
      </c>
      <c r="M7" s="744">
        <v>0</v>
      </c>
      <c r="N7" s="744">
        <v>0.30371019999999999</v>
      </c>
    </row>
    <row r="8" spans="1:14" ht="9.6" customHeight="1">
      <c r="A8" s="611" t="s">
        <v>89</v>
      </c>
      <c r="B8" s="772">
        <v>602.84424528</v>
      </c>
      <c r="C8" s="772">
        <v>586.60518911999998</v>
      </c>
      <c r="D8" s="612">
        <f t="shared" si="0"/>
        <v>2.7683110311998993E-2</v>
      </c>
      <c r="E8" s="138"/>
      <c r="F8" s="138"/>
      <c r="G8" s="138"/>
      <c r="H8" s="138"/>
      <c r="I8" s="138"/>
      <c r="J8" s="138"/>
      <c r="L8" s="743" t="s">
        <v>241</v>
      </c>
      <c r="M8" s="744">
        <v>1.951816E-2</v>
      </c>
      <c r="N8" s="744">
        <v>0.59797893999999996</v>
      </c>
    </row>
    <row r="9" spans="1:14" ht="9.6" customHeight="1">
      <c r="A9" s="609" t="s">
        <v>237</v>
      </c>
      <c r="B9" s="771">
        <v>386.31228400750001</v>
      </c>
      <c r="C9" s="771">
        <v>367.01887198749995</v>
      </c>
      <c r="D9" s="610">
        <f t="shared" si="0"/>
        <v>5.2567901796224614E-2</v>
      </c>
      <c r="E9" s="138"/>
      <c r="F9" s="138"/>
      <c r="G9" s="138"/>
      <c r="H9" s="138"/>
      <c r="I9" s="138"/>
      <c r="J9" s="138"/>
      <c r="K9" s="749"/>
      <c r="L9" s="744" t="s">
        <v>407</v>
      </c>
      <c r="M9" s="744">
        <v>5.9368000000000004E-2</v>
      </c>
      <c r="N9" s="744">
        <v>0.18479599999999999</v>
      </c>
    </row>
    <row r="10" spans="1:14" ht="9.6" customHeight="1">
      <c r="A10" s="611" t="s">
        <v>90</v>
      </c>
      <c r="B10" s="772">
        <v>171.90991249000001</v>
      </c>
      <c r="C10" s="772">
        <v>154.75683293</v>
      </c>
      <c r="D10" s="612">
        <f t="shared" si="0"/>
        <v>0.11083891570563953</v>
      </c>
      <c r="E10" s="138"/>
      <c r="F10" s="138"/>
      <c r="G10" s="138"/>
      <c r="H10" s="138"/>
      <c r="I10" s="138"/>
      <c r="J10" s="138"/>
      <c r="K10" s="750"/>
      <c r="L10" s="744" t="s">
        <v>116</v>
      </c>
      <c r="M10" s="744">
        <v>0.17567353499999999</v>
      </c>
      <c r="N10" s="744">
        <v>0.38433295000000001</v>
      </c>
    </row>
    <row r="11" spans="1:14" ht="9.6" customHeight="1">
      <c r="A11" s="609" t="s">
        <v>239</v>
      </c>
      <c r="B11" s="771">
        <v>151.09517499999998</v>
      </c>
      <c r="C11" s="771">
        <v>158.0561784775</v>
      </c>
      <c r="D11" s="610">
        <f t="shared" si="0"/>
        <v>-4.4041324702095985E-2</v>
      </c>
      <c r="E11" s="138"/>
      <c r="F11" s="138"/>
      <c r="G11" s="138"/>
      <c r="H11" s="138"/>
      <c r="I11" s="138"/>
      <c r="J11" s="138"/>
      <c r="K11" s="750"/>
      <c r="L11" s="744" t="s">
        <v>541</v>
      </c>
      <c r="M11" s="744">
        <v>0.2395235</v>
      </c>
      <c r="N11" s="744"/>
    </row>
    <row r="12" spans="1:14" ht="9.6" customHeight="1">
      <c r="A12" s="611" t="s">
        <v>100</v>
      </c>
      <c r="B12" s="772">
        <v>135.538457945</v>
      </c>
      <c r="C12" s="772">
        <v>78.170038577499994</v>
      </c>
      <c r="D12" s="613">
        <f t="shared" si="0"/>
        <v>0.73389268332806723</v>
      </c>
      <c r="E12" s="138"/>
      <c r="F12" s="138"/>
      <c r="G12" s="138"/>
      <c r="H12" s="138"/>
      <c r="I12" s="138"/>
      <c r="J12" s="138"/>
      <c r="K12" s="750"/>
      <c r="L12" s="743" t="s">
        <v>234</v>
      </c>
      <c r="M12" s="744">
        <v>0.39333681999999998</v>
      </c>
      <c r="N12" s="744">
        <v>0</v>
      </c>
    </row>
    <row r="13" spans="1:14" ht="9.6" customHeight="1">
      <c r="A13" s="609" t="s">
        <v>92</v>
      </c>
      <c r="B13" s="771">
        <v>109.94233175000002</v>
      </c>
      <c r="C13" s="771">
        <v>100.79807644</v>
      </c>
      <c r="D13" s="610">
        <f t="shared" si="0"/>
        <v>9.0718549727911935E-2</v>
      </c>
      <c r="E13" s="138"/>
      <c r="F13" s="138"/>
      <c r="G13" s="138"/>
      <c r="H13" s="138"/>
      <c r="I13" s="138"/>
      <c r="J13" s="138"/>
      <c r="K13" s="750"/>
      <c r="L13" s="743" t="s">
        <v>242</v>
      </c>
      <c r="M13" s="744">
        <v>0.42671150000000002</v>
      </c>
      <c r="N13" s="744">
        <v>0.80773220000000001</v>
      </c>
    </row>
    <row r="14" spans="1:14" ht="9.6" customHeight="1">
      <c r="A14" s="611" t="s">
        <v>235</v>
      </c>
      <c r="B14" s="772">
        <v>97.532173937500005</v>
      </c>
      <c r="C14" s="772">
        <v>94.202229924999997</v>
      </c>
      <c r="D14" s="612">
        <f t="shared" si="0"/>
        <v>3.5348887336862145E-2</v>
      </c>
      <c r="E14" s="138"/>
      <c r="F14" s="138"/>
      <c r="G14" s="138"/>
      <c r="H14" s="138"/>
      <c r="I14" s="138"/>
      <c r="J14" s="138"/>
      <c r="K14" s="750"/>
      <c r="L14" s="744" t="s">
        <v>112</v>
      </c>
      <c r="M14" s="744">
        <v>1.2439878475000001</v>
      </c>
      <c r="N14" s="744">
        <v>1.8214101550000001</v>
      </c>
    </row>
    <row r="15" spans="1:14" ht="9.6" customHeight="1">
      <c r="A15" s="609" t="s">
        <v>98</v>
      </c>
      <c r="B15" s="771">
        <v>76.601155750000004</v>
      </c>
      <c r="C15" s="771">
        <v>73.188274954999997</v>
      </c>
      <c r="D15" s="610">
        <f t="shared" si="0"/>
        <v>4.6631523930553476E-2</v>
      </c>
      <c r="E15" s="138"/>
      <c r="F15" s="138"/>
      <c r="G15" s="138"/>
      <c r="H15" s="138"/>
      <c r="I15" s="138"/>
      <c r="J15" s="138" t="s">
        <v>8</v>
      </c>
      <c r="K15" s="750"/>
      <c r="L15" s="744" t="s">
        <v>115</v>
      </c>
      <c r="M15" s="744">
        <v>1.33232325</v>
      </c>
      <c r="N15" s="744">
        <v>1.3921643050000001</v>
      </c>
    </row>
    <row r="16" spans="1:14" ht="9.6" customHeight="1">
      <c r="A16" s="611" t="s">
        <v>93</v>
      </c>
      <c r="B16" s="772">
        <v>70.44794675</v>
      </c>
      <c r="C16" s="772">
        <v>67.30903233250001</v>
      </c>
      <c r="D16" s="612">
        <f t="shared" si="0"/>
        <v>4.6634371476238945E-2</v>
      </c>
      <c r="E16" s="138"/>
      <c r="F16" s="138"/>
      <c r="G16" s="138"/>
      <c r="H16" s="138"/>
      <c r="I16" s="138"/>
      <c r="J16" s="138"/>
      <c r="K16" s="750"/>
      <c r="L16" s="744" t="s">
        <v>540</v>
      </c>
      <c r="M16" s="744">
        <v>1.3572137575000001</v>
      </c>
      <c r="N16" s="744"/>
    </row>
    <row r="17" spans="1:14" ht="9.6" customHeight="1">
      <c r="A17" s="609" t="s">
        <v>91</v>
      </c>
      <c r="B17" s="771">
        <v>69.968384754999988</v>
      </c>
      <c r="C17" s="771">
        <v>70.039126034999995</v>
      </c>
      <c r="D17" s="610">
        <f t="shared" si="0"/>
        <v>-1.0100251674279859E-3</v>
      </c>
      <c r="E17" s="138"/>
      <c r="F17" s="138"/>
      <c r="G17" s="138"/>
      <c r="H17" s="138"/>
      <c r="I17" s="138"/>
      <c r="J17" s="138"/>
      <c r="K17" s="751"/>
      <c r="L17" s="744" t="s">
        <v>113</v>
      </c>
      <c r="M17" s="744">
        <v>1.83194685</v>
      </c>
      <c r="N17" s="744">
        <v>2.1523594775000001</v>
      </c>
    </row>
    <row r="18" spans="1:14" ht="9.6" customHeight="1">
      <c r="A18" s="611" t="s">
        <v>94</v>
      </c>
      <c r="B18" s="772">
        <v>65.60982611</v>
      </c>
      <c r="C18" s="772">
        <v>67.067425929999999</v>
      </c>
      <c r="D18" s="612">
        <f t="shared" si="0"/>
        <v>-2.1733349681875902E-2</v>
      </c>
      <c r="E18" s="138"/>
      <c r="F18" s="138"/>
      <c r="G18" s="138"/>
      <c r="H18" s="138"/>
      <c r="I18" s="138"/>
      <c r="J18" s="138"/>
      <c r="K18" s="750"/>
      <c r="L18" s="743" t="s">
        <v>114</v>
      </c>
      <c r="M18" s="744">
        <v>2.0987</v>
      </c>
      <c r="N18" s="744">
        <v>1.9724000000000002</v>
      </c>
    </row>
    <row r="19" spans="1:14" ht="9.6" customHeight="1">
      <c r="A19" s="609" t="s">
        <v>422</v>
      </c>
      <c r="B19" s="771">
        <v>60.393483797499997</v>
      </c>
      <c r="C19" s="771">
        <v>54.009388967500001</v>
      </c>
      <c r="D19" s="610">
        <f t="shared" si="0"/>
        <v>0.11820342633095904</v>
      </c>
      <c r="E19" s="138"/>
      <c r="F19" s="138"/>
      <c r="G19" s="138"/>
      <c r="H19" s="138"/>
      <c r="I19" s="138"/>
      <c r="J19" s="138"/>
      <c r="K19" s="750"/>
      <c r="L19" s="744" t="s">
        <v>110</v>
      </c>
      <c r="M19" s="744">
        <v>3.1572381475000002</v>
      </c>
      <c r="N19" s="744">
        <v>3.2716496075000001</v>
      </c>
    </row>
    <row r="20" spans="1:14" ht="9.6" customHeight="1">
      <c r="A20" s="611" t="s">
        <v>96</v>
      </c>
      <c r="B20" s="772">
        <v>58.959845500000007</v>
      </c>
      <c r="C20" s="772">
        <v>64.7966159275</v>
      </c>
      <c r="D20" s="612">
        <f t="shared" si="0"/>
        <v>-9.0078321899258906E-2</v>
      </c>
      <c r="E20" s="138"/>
      <c r="F20" s="138"/>
      <c r="G20" s="138"/>
      <c r="H20" s="138"/>
      <c r="I20" s="138"/>
      <c r="J20" s="138"/>
      <c r="K20" s="750"/>
      <c r="L20" s="743" t="s">
        <v>461</v>
      </c>
      <c r="M20" s="744">
        <v>3.2684066824999998</v>
      </c>
      <c r="N20" s="744">
        <v>3.3025214825</v>
      </c>
    </row>
    <row r="21" spans="1:14" ht="9.6" customHeight="1">
      <c r="A21" s="609" t="s">
        <v>97</v>
      </c>
      <c r="B21" s="771">
        <v>49.208549675</v>
      </c>
      <c r="C21" s="771">
        <v>28.484726132500001</v>
      </c>
      <c r="D21" s="610">
        <f t="shared" si="0"/>
        <v>0.72754161111118765</v>
      </c>
      <c r="E21" s="138"/>
      <c r="F21" s="138"/>
      <c r="G21" s="138"/>
      <c r="H21" s="138"/>
      <c r="I21" s="138"/>
      <c r="J21" s="138"/>
      <c r="K21" s="751"/>
      <c r="L21" s="744" t="s">
        <v>109</v>
      </c>
      <c r="M21" s="744">
        <v>3.3274599450000002</v>
      </c>
      <c r="N21" s="744">
        <v>3.4419913625</v>
      </c>
    </row>
    <row r="22" spans="1:14" ht="9.6" customHeight="1">
      <c r="A22" s="611" t="s">
        <v>95</v>
      </c>
      <c r="B22" s="772">
        <v>46.266294557500004</v>
      </c>
      <c r="C22" s="772">
        <v>44.163238017499999</v>
      </c>
      <c r="D22" s="612">
        <f t="shared" si="0"/>
        <v>4.7620071226812E-2</v>
      </c>
      <c r="E22" s="138"/>
      <c r="F22" s="138"/>
      <c r="G22" s="138"/>
      <c r="H22" s="138"/>
      <c r="I22" s="138"/>
      <c r="J22" s="138"/>
      <c r="K22" s="750"/>
      <c r="L22" s="743" t="s">
        <v>460</v>
      </c>
      <c r="M22" s="744">
        <v>3.4355207999999999</v>
      </c>
      <c r="N22" s="744">
        <v>3.2769572999999999</v>
      </c>
    </row>
    <row r="23" spans="1:14" ht="9.6" customHeight="1">
      <c r="A23" s="609" t="s">
        <v>99</v>
      </c>
      <c r="B23" s="771">
        <v>38.330881479999995</v>
      </c>
      <c r="C23" s="771">
        <v>38.573131142500003</v>
      </c>
      <c r="D23" s="610">
        <f t="shared" si="0"/>
        <v>-6.2802695898621641E-3</v>
      </c>
      <c r="E23" s="138"/>
      <c r="F23" s="138"/>
      <c r="G23" s="138"/>
      <c r="H23" s="138"/>
      <c r="I23" s="138"/>
      <c r="J23" s="138"/>
      <c r="K23" s="750"/>
      <c r="L23" s="743" t="s">
        <v>119</v>
      </c>
      <c r="M23" s="744">
        <v>3.6835481400000001</v>
      </c>
      <c r="N23" s="744">
        <v>6.1763460699999992</v>
      </c>
    </row>
    <row r="24" spans="1:14" ht="9.6" customHeight="1">
      <c r="A24" s="611" t="s">
        <v>105</v>
      </c>
      <c r="B24" s="772">
        <v>35.846402499999996</v>
      </c>
      <c r="C24" s="772">
        <v>22.330118052499998</v>
      </c>
      <c r="D24" s="612">
        <f t="shared" si="0"/>
        <v>0.60529390913751868</v>
      </c>
      <c r="E24" s="138"/>
      <c r="F24" s="138"/>
      <c r="G24" s="138"/>
      <c r="H24" s="138"/>
      <c r="I24" s="138"/>
      <c r="J24" s="138"/>
      <c r="K24" s="750"/>
      <c r="L24" s="743" t="s">
        <v>107</v>
      </c>
      <c r="M24" s="744">
        <v>3.7065928475000001</v>
      </c>
      <c r="N24" s="744">
        <v>3.9085683924999999</v>
      </c>
    </row>
    <row r="25" spans="1:14" ht="9.6" customHeight="1">
      <c r="A25" s="609" t="s">
        <v>472</v>
      </c>
      <c r="B25" s="771">
        <v>30.790068467499999</v>
      </c>
      <c r="C25" s="771">
        <v>24.978724379999999</v>
      </c>
      <c r="D25" s="610">
        <f t="shared" si="0"/>
        <v>0.23265175591404641</v>
      </c>
      <c r="E25" s="138"/>
      <c r="F25" s="138"/>
      <c r="G25" s="138"/>
      <c r="H25" s="138"/>
      <c r="I25" s="138"/>
      <c r="J25" s="138"/>
      <c r="K25" s="750"/>
      <c r="L25" s="744" t="s">
        <v>462</v>
      </c>
      <c r="M25" s="744">
        <v>3.7820845374999998</v>
      </c>
      <c r="N25" s="744">
        <v>4.1920735350000005</v>
      </c>
    </row>
    <row r="26" spans="1:14" ht="9.6" customHeight="1">
      <c r="A26" s="611" t="s">
        <v>236</v>
      </c>
      <c r="B26" s="772">
        <v>25.91768429</v>
      </c>
      <c r="C26" s="772">
        <v>32.441926084999999</v>
      </c>
      <c r="D26" s="612">
        <f t="shared" si="0"/>
        <v>-0.20110525429057613</v>
      </c>
      <c r="E26" s="138"/>
      <c r="F26" s="138"/>
      <c r="G26" s="138"/>
      <c r="H26" s="138"/>
      <c r="I26" s="138"/>
      <c r="J26" s="138"/>
      <c r="K26" s="750"/>
      <c r="L26" s="743" t="s">
        <v>102</v>
      </c>
      <c r="M26" s="744">
        <v>4.4385579999999996</v>
      </c>
      <c r="N26" s="744">
        <v>4.4306151800000002</v>
      </c>
    </row>
    <row r="27" spans="1:14" ht="9.6" customHeight="1">
      <c r="A27" s="614" t="s">
        <v>465</v>
      </c>
      <c r="B27" s="771">
        <v>19.703474180000001</v>
      </c>
      <c r="C27" s="771">
        <v>18.822407947500004</v>
      </c>
      <c r="D27" s="610">
        <f t="shared" si="0"/>
        <v>4.680943240405222E-2</v>
      </c>
      <c r="E27" s="138"/>
      <c r="F27" s="138"/>
      <c r="G27" s="138"/>
      <c r="H27" s="138"/>
      <c r="I27" s="138"/>
      <c r="J27" s="138"/>
      <c r="K27" s="750"/>
      <c r="L27" s="743" t="s">
        <v>423</v>
      </c>
      <c r="M27" s="744">
        <v>4.6538535124999996</v>
      </c>
      <c r="N27" s="744">
        <v>5.217454</v>
      </c>
    </row>
    <row r="28" spans="1:14" ht="9.6" customHeight="1">
      <c r="A28" s="615" t="s">
        <v>108</v>
      </c>
      <c r="B28" s="772">
        <v>18.969125805000001</v>
      </c>
      <c r="C28" s="772">
        <v>22.310216005000001</v>
      </c>
      <c r="D28" s="612">
        <f t="shared" si="0"/>
        <v>-0.14975606687318577</v>
      </c>
      <c r="E28" s="138"/>
      <c r="F28" s="138"/>
      <c r="G28" s="138"/>
      <c r="H28" s="138"/>
      <c r="I28" s="138"/>
      <c r="J28" s="138"/>
      <c r="K28" s="750"/>
      <c r="L28" s="743" t="s">
        <v>463</v>
      </c>
      <c r="M28" s="744">
        <v>5.2907613174999994</v>
      </c>
      <c r="N28" s="744">
        <v>6.0990137850000004</v>
      </c>
    </row>
    <row r="29" spans="1:14" ht="9.6" customHeight="1">
      <c r="A29" s="616" t="s">
        <v>101</v>
      </c>
      <c r="B29" s="771">
        <v>16.858131397499999</v>
      </c>
      <c r="C29" s="771">
        <v>12.710065015</v>
      </c>
      <c r="D29" s="610">
        <f t="shared" si="0"/>
        <v>0.32636075249061181</v>
      </c>
      <c r="E29" s="138"/>
      <c r="F29" s="138"/>
      <c r="G29" s="138"/>
      <c r="H29" s="138"/>
      <c r="I29" s="138"/>
      <c r="J29" s="138"/>
      <c r="K29" s="750"/>
      <c r="L29" s="744" t="s">
        <v>406</v>
      </c>
      <c r="M29" s="744">
        <v>6.5507768749999995</v>
      </c>
      <c r="N29" s="744">
        <v>5.7301490749999999</v>
      </c>
    </row>
    <row r="30" spans="1:14" ht="9.6" customHeight="1">
      <c r="A30" s="615" t="s">
        <v>111</v>
      </c>
      <c r="B30" s="772">
        <v>16.6404369575</v>
      </c>
      <c r="C30" s="772">
        <v>16.245014170000001</v>
      </c>
      <c r="D30" s="612">
        <f t="shared" si="0"/>
        <v>2.4341178367836447E-2</v>
      </c>
      <c r="E30" s="138"/>
      <c r="F30" s="138"/>
      <c r="G30" s="138"/>
      <c r="H30" s="138"/>
      <c r="I30" s="138"/>
      <c r="J30" s="138"/>
      <c r="K30" s="750"/>
      <c r="L30" s="744" t="s">
        <v>444</v>
      </c>
      <c r="M30" s="744">
        <v>6.7508586225000009</v>
      </c>
      <c r="N30" s="744">
        <v>7.0078906275000001</v>
      </c>
    </row>
    <row r="31" spans="1:14" ht="9.6" customHeight="1">
      <c r="A31" s="616" t="s">
        <v>397</v>
      </c>
      <c r="B31" s="771">
        <v>14.366262819999999</v>
      </c>
      <c r="C31" s="771">
        <v>14.3996138975</v>
      </c>
      <c r="D31" s="610">
        <f t="shared" si="0"/>
        <v>-2.3161091496898267E-3</v>
      </c>
      <c r="E31" s="138"/>
      <c r="F31" s="138"/>
      <c r="G31" s="138"/>
      <c r="H31" s="138"/>
      <c r="I31" s="138"/>
      <c r="J31" s="138"/>
      <c r="K31" s="750"/>
      <c r="L31" s="744" t="s">
        <v>106</v>
      </c>
      <c r="M31" s="744">
        <v>7.1441898975000004</v>
      </c>
      <c r="N31" s="744">
        <v>9.6311175724999991</v>
      </c>
    </row>
    <row r="32" spans="1:14" ht="9.6" customHeight="1">
      <c r="A32" s="617" t="s">
        <v>103</v>
      </c>
      <c r="B32" s="772">
        <v>13.2105774825</v>
      </c>
      <c r="C32" s="772">
        <v>11.583227112499999</v>
      </c>
      <c r="D32" s="612">
        <f t="shared" si="0"/>
        <v>0.14049196775601946</v>
      </c>
      <c r="E32" s="138"/>
      <c r="F32" s="138"/>
      <c r="G32" s="138"/>
      <c r="H32" s="138"/>
      <c r="I32" s="138"/>
      <c r="J32" s="138"/>
      <c r="K32" s="750"/>
      <c r="L32" s="743" t="s">
        <v>413</v>
      </c>
      <c r="M32" s="744">
        <v>7.1542922874999997</v>
      </c>
      <c r="N32" s="744">
        <v>8.0713270250000004</v>
      </c>
    </row>
    <row r="33" spans="1:14" ht="9.6" customHeight="1">
      <c r="A33" s="618" t="s">
        <v>466</v>
      </c>
      <c r="B33" s="771">
        <v>12.90555648</v>
      </c>
      <c r="C33" s="771">
        <v>13.194489557500001</v>
      </c>
      <c r="D33" s="610">
        <f t="shared" si="0"/>
        <v>-2.1898011002310147E-2</v>
      </c>
      <c r="E33" s="138"/>
      <c r="F33" s="138"/>
      <c r="G33" s="138"/>
      <c r="H33" s="138"/>
      <c r="I33" s="138"/>
      <c r="J33" s="138"/>
      <c r="K33" s="752"/>
      <c r="L33" s="743" t="s">
        <v>436</v>
      </c>
      <c r="M33" s="744">
        <v>7.7094401350000004</v>
      </c>
      <c r="N33" s="744">
        <v>8.6438365699999995</v>
      </c>
    </row>
    <row r="34" spans="1:14" ht="9.6" customHeight="1">
      <c r="A34" s="617" t="s">
        <v>240</v>
      </c>
      <c r="B34" s="772">
        <v>12.8119535225</v>
      </c>
      <c r="C34" s="772">
        <v>13.23948869</v>
      </c>
      <c r="D34" s="612">
        <f t="shared" si="0"/>
        <v>-3.2292422880569771E-2</v>
      </c>
      <c r="E34" s="138"/>
      <c r="F34" s="138"/>
      <c r="G34" s="138"/>
      <c r="H34" s="138"/>
      <c r="I34" s="138"/>
      <c r="J34" s="138"/>
      <c r="K34" s="752"/>
      <c r="L34" s="743" t="s">
        <v>104</v>
      </c>
      <c r="M34" s="744">
        <v>10.89432549</v>
      </c>
      <c r="N34" s="744">
        <v>11.9598513625</v>
      </c>
    </row>
    <row r="35" spans="1:14" ht="9.6" customHeight="1">
      <c r="A35" s="618" t="s">
        <v>238</v>
      </c>
      <c r="B35" s="771">
        <v>12.23145675</v>
      </c>
      <c r="C35" s="771">
        <v>11.930665569999999</v>
      </c>
      <c r="D35" s="610">
        <f t="shared" si="0"/>
        <v>2.5211600998719552E-2</v>
      </c>
      <c r="E35" s="138"/>
      <c r="F35" s="138"/>
      <c r="G35" s="138"/>
      <c r="H35" s="138"/>
      <c r="I35" s="138"/>
      <c r="J35" s="138"/>
      <c r="K35" s="751"/>
      <c r="L35" s="743" t="s">
        <v>118</v>
      </c>
      <c r="M35" s="744">
        <v>10.9936367</v>
      </c>
      <c r="N35" s="744">
        <v>8.2153126424999989</v>
      </c>
    </row>
    <row r="36" spans="1:14" ht="9.6" customHeight="1">
      <c r="A36" s="617" t="s">
        <v>445</v>
      </c>
      <c r="B36" s="772">
        <v>11.010194615</v>
      </c>
      <c r="C36" s="772">
        <v>8.1426670849999994</v>
      </c>
      <c r="D36" s="612">
        <f t="shared" si="0"/>
        <v>0.35216072326994818</v>
      </c>
      <c r="E36" s="138"/>
      <c r="F36" s="138"/>
      <c r="G36" s="138"/>
      <c r="H36" s="138"/>
      <c r="I36" s="138"/>
      <c r="J36" s="138"/>
      <c r="K36" s="751"/>
      <c r="L36" s="744" t="s">
        <v>445</v>
      </c>
      <c r="M36" s="744">
        <v>11.010194615</v>
      </c>
      <c r="N36" s="744">
        <v>8.1426670849999994</v>
      </c>
    </row>
    <row r="37" spans="1:14" ht="9.6" customHeight="1">
      <c r="A37" s="618" t="s">
        <v>118</v>
      </c>
      <c r="B37" s="771">
        <v>10.9936367</v>
      </c>
      <c r="C37" s="771">
        <v>8.2153126424999989</v>
      </c>
      <c r="D37" s="610">
        <f t="shared" si="0"/>
        <v>0.33818847539982722</v>
      </c>
      <c r="E37" s="138"/>
      <c r="F37" s="138"/>
      <c r="G37" s="138"/>
      <c r="H37" s="138"/>
      <c r="I37" s="138"/>
      <c r="J37" s="138"/>
      <c r="K37" s="751"/>
      <c r="L37" s="743" t="s">
        <v>238</v>
      </c>
      <c r="M37" s="744">
        <v>12.23145675</v>
      </c>
      <c r="N37" s="744">
        <v>11.930665569999999</v>
      </c>
    </row>
    <row r="38" spans="1:14" ht="9.6" customHeight="1">
      <c r="A38" s="617" t="s">
        <v>104</v>
      </c>
      <c r="B38" s="772">
        <v>10.89432549</v>
      </c>
      <c r="C38" s="772">
        <v>11.9598513625</v>
      </c>
      <c r="D38" s="612">
        <f t="shared" si="0"/>
        <v>-8.9091899238894046E-2</v>
      </c>
      <c r="E38" s="138"/>
      <c r="F38" s="138"/>
      <c r="G38" s="138"/>
      <c r="H38" s="138"/>
      <c r="I38" s="138"/>
      <c r="J38" s="138"/>
      <c r="K38" s="752"/>
      <c r="L38" s="744" t="s">
        <v>240</v>
      </c>
      <c r="M38" s="744">
        <v>12.8119535225</v>
      </c>
      <c r="N38" s="744">
        <v>13.23948869</v>
      </c>
    </row>
    <row r="39" spans="1:14" ht="9.6" customHeight="1">
      <c r="A39" s="618" t="s">
        <v>436</v>
      </c>
      <c r="B39" s="771">
        <v>7.7094401350000004</v>
      </c>
      <c r="C39" s="771">
        <v>8.6438365699999995</v>
      </c>
      <c r="D39" s="610">
        <f t="shared" si="0"/>
        <v>-0.10809973412072493</v>
      </c>
      <c r="E39" s="138"/>
      <c r="F39" s="138"/>
      <c r="G39" s="138"/>
      <c r="H39" s="138"/>
      <c r="I39" s="138"/>
      <c r="J39" s="138"/>
      <c r="K39" s="752"/>
      <c r="L39" s="743" t="s">
        <v>466</v>
      </c>
      <c r="M39" s="744">
        <v>12.90555648</v>
      </c>
      <c r="N39" s="744">
        <v>13.194489557500001</v>
      </c>
    </row>
    <row r="40" spans="1:14" ht="9.6" customHeight="1">
      <c r="A40" s="615" t="s">
        <v>413</v>
      </c>
      <c r="B40" s="772">
        <v>7.1542922874999997</v>
      </c>
      <c r="C40" s="772">
        <v>8.0713270250000004</v>
      </c>
      <c r="D40" s="612">
        <f t="shared" si="0"/>
        <v>-0.11361635263440473</v>
      </c>
      <c r="E40" s="138"/>
      <c r="F40" s="138"/>
      <c r="G40" s="138"/>
      <c r="H40" s="138"/>
      <c r="I40" s="138"/>
      <c r="J40" s="138"/>
      <c r="K40" s="752"/>
      <c r="L40" s="744" t="s">
        <v>103</v>
      </c>
      <c r="M40" s="744">
        <v>13.2105774825</v>
      </c>
      <c r="N40" s="744">
        <v>11.583227112499999</v>
      </c>
    </row>
    <row r="41" spans="1:14" ht="9.6" customHeight="1">
      <c r="A41" s="616" t="s">
        <v>106</v>
      </c>
      <c r="B41" s="771">
        <v>7.1441898975000004</v>
      </c>
      <c r="C41" s="771">
        <v>9.6311175724999991</v>
      </c>
      <c r="D41" s="610">
        <f t="shared" si="0"/>
        <v>-0.25821797483824649</v>
      </c>
      <c r="E41" s="138"/>
      <c r="F41" s="138"/>
      <c r="G41" s="138"/>
      <c r="H41" s="138"/>
      <c r="I41" s="138"/>
      <c r="J41" s="138"/>
      <c r="L41" s="743" t="s">
        <v>397</v>
      </c>
      <c r="M41" s="744">
        <v>14.366262819999999</v>
      </c>
      <c r="N41" s="744">
        <v>14.3996138975</v>
      </c>
    </row>
    <row r="42" spans="1:14" ht="9.6" customHeight="1">
      <c r="A42" s="615" t="s">
        <v>444</v>
      </c>
      <c r="B42" s="772">
        <v>6.7508586225000009</v>
      </c>
      <c r="C42" s="772">
        <v>7.0078906275000001</v>
      </c>
      <c r="D42" s="612">
        <f t="shared" si="0"/>
        <v>-3.6677513771600223E-2</v>
      </c>
      <c r="E42" s="138"/>
      <c r="F42" s="138"/>
      <c r="G42" s="138"/>
      <c r="H42" s="138"/>
      <c r="I42" s="138"/>
      <c r="J42" s="138"/>
      <c r="L42" s="743" t="s">
        <v>111</v>
      </c>
      <c r="M42" s="744">
        <v>16.6404369575</v>
      </c>
      <c r="N42" s="744">
        <v>16.245014170000001</v>
      </c>
    </row>
    <row r="43" spans="1:14" ht="9.6" customHeight="1">
      <c r="A43" s="616" t="s">
        <v>406</v>
      </c>
      <c r="B43" s="771">
        <v>6.5507768749999995</v>
      </c>
      <c r="C43" s="771">
        <v>5.7301490749999999</v>
      </c>
      <c r="D43" s="610">
        <f t="shared" si="0"/>
        <v>0.14321229504836208</v>
      </c>
      <c r="E43" s="138"/>
      <c r="F43" s="138"/>
      <c r="G43" s="138"/>
      <c r="H43" s="138"/>
      <c r="I43" s="138"/>
      <c r="J43" s="138"/>
      <c r="L43" s="745" t="s">
        <v>101</v>
      </c>
      <c r="M43" s="744">
        <v>16.858131397499999</v>
      </c>
      <c r="N43" s="744">
        <v>12.710065015</v>
      </c>
    </row>
    <row r="44" spans="1:14" ht="9.6" customHeight="1">
      <c r="A44" s="615" t="s">
        <v>463</v>
      </c>
      <c r="B44" s="772">
        <v>5.2907613174999994</v>
      </c>
      <c r="C44" s="772">
        <v>6.0990137850000004</v>
      </c>
      <c r="D44" s="612">
        <f t="shared" si="0"/>
        <v>-0.13252182992073702</v>
      </c>
      <c r="E44" s="138"/>
      <c r="F44" s="138"/>
      <c r="G44" s="138"/>
      <c r="H44" s="138"/>
      <c r="I44" s="138"/>
      <c r="J44" s="138"/>
      <c r="L44" s="743" t="s">
        <v>108</v>
      </c>
      <c r="M44" s="744">
        <v>18.969125805000001</v>
      </c>
      <c r="N44" s="744">
        <v>22.310216005000001</v>
      </c>
    </row>
    <row r="45" spans="1:14" ht="9.6" customHeight="1">
      <c r="A45" s="616" t="s">
        <v>423</v>
      </c>
      <c r="B45" s="771">
        <v>4.6538535124999996</v>
      </c>
      <c r="C45" s="771">
        <v>5.217454</v>
      </c>
      <c r="D45" s="610">
        <f t="shared" si="0"/>
        <v>-0.10802212870492012</v>
      </c>
      <c r="E45" s="138"/>
      <c r="F45" s="138"/>
      <c r="G45" s="138"/>
      <c r="H45" s="138"/>
      <c r="I45" s="138"/>
      <c r="J45" s="138"/>
      <c r="L45" s="743" t="s">
        <v>465</v>
      </c>
      <c r="M45" s="744">
        <v>19.703474180000001</v>
      </c>
      <c r="N45" s="744">
        <v>18.822407947500004</v>
      </c>
    </row>
    <row r="46" spans="1:14" ht="9.6" customHeight="1">
      <c r="A46" s="615" t="s">
        <v>102</v>
      </c>
      <c r="B46" s="772">
        <v>4.4385579999999996</v>
      </c>
      <c r="C46" s="772">
        <v>4.4306151800000002</v>
      </c>
      <c r="D46" s="612">
        <f t="shared" si="0"/>
        <v>1.7927126769785584E-3</v>
      </c>
      <c r="E46" s="138"/>
      <c r="F46" s="138"/>
      <c r="G46" s="138"/>
      <c r="H46" s="138"/>
      <c r="I46" s="138"/>
      <c r="J46" s="138"/>
      <c r="L46" s="743" t="s">
        <v>236</v>
      </c>
      <c r="M46" s="744">
        <v>25.91768429</v>
      </c>
      <c r="N46" s="744">
        <v>32.441926084999999</v>
      </c>
    </row>
    <row r="47" spans="1:14" ht="9.6" customHeight="1">
      <c r="A47" s="618" t="s">
        <v>462</v>
      </c>
      <c r="B47" s="771">
        <v>3.7820845374999998</v>
      </c>
      <c r="C47" s="771">
        <v>4.1920735350000005</v>
      </c>
      <c r="D47" s="610">
        <f t="shared" si="0"/>
        <v>-9.7801003268899178E-2</v>
      </c>
      <c r="E47" s="138"/>
      <c r="F47" s="138"/>
      <c r="G47" s="138"/>
      <c r="H47" s="138"/>
      <c r="I47" s="138"/>
      <c r="J47" s="138"/>
      <c r="L47" s="744" t="s">
        <v>472</v>
      </c>
      <c r="M47" s="744">
        <v>30.790068467499999</v>
      </c>
      <c r="N47" s="744">
        <v>24.978724379999999</v>
      </c>
    </row>
    <row r="48" spans="1:14" ht="9.6" customHeight="1">
      <c r="A48" s="615" t="s">
        <v>107</v>
      </c>
      <c r="B48" s="772">
        <v>3.7065928475000001</v>
      </c>
      <c r="C48" s="772">
        <v>3.9085683924999999</v>
      </c>
      <c r="D48" s="612">
        <f t="shared" si="0"/>
        <v>-5.1675069927793249E-2</v>
      </c>
      <c r="E48" s="138"/>
      <c r="F48" s="138"/>
      <c r="G48" s="138"/>
      <c r="H48" s="138"/>
      <c r="I48" s="138"/>
      <c r="J48" s="138"/>
      <c r="L48" s="746" t="s">
        <v>105</v>
      </c>
      <c r="M48" s="744">
        <v>35.846402499999996</v>
      </c>
      <c r="N48" s="744">
        <v>22.330118052499998</v>
      </c>
    </row>
    <row r="49" spans="1:17" ht="9.6" customHeight="1">
      <c r="A49" s="616" t="s">
        <v>119</v>
      </c>
      <c r="B49" s="771">
        <v>3.6835481400000001</v>
      </c>
      <c r="C49" s="771">
        <v>6.1763460699999992</v>
      </c>
      <c r="D49" s="610">
        <f t="shared" si="0"/>
        <v>-0.40360399202825104</v>
      </c>
      <c r="E49" s="138"/>
      <c r="F49" s="138"/>
      <c r="G49" s="138"/>
      <c r="H49" s="138"/>
      <c r="I49" s="138"/>
      <c r="J49" s="138"/>
      <c r="L49" s="743" t="s">
        <v>99</v>
      </c>
      <c r="M49" s="744">
        <v>38.330881479999995</v>
      </c>
      <c r="N49" s="744">
        <v>38.573131142500003</v>
      </c>
    </row>
    <row r="50" spans="1:17" ht="9.6" customHeight="1">
      <c r="A50" s="617" t="s">
        <v>460</v>
      </c>
      <c r="B50" s="772">
        <v>3.4355207999999999</v>
      </c>
      <c r="C50" s="772">
        <v>3.2769572999999999</v>
      </c>
      <c r="D50" s="612">
        <f t="shared" si="0"/>
        <v>4.8387417193382465E-2</v>
      </c>
      <c r="E50" s="138"/>
      <c r="F50" s="138"/>
      <c r="G50" s="138"/>
      <c r="H50" s="138"/>
      <c r="I50" s="138"/>
      <c r="J50" s="138"/>
      <c r="L50" s="743" t="s">
        <v>95</v>
      </c>
      <c r="M50" s="744">
        <v>46.266294557500004</v>
      </c>
      <c r="N50" s="744">
        <v>44.163238017499999</v>
      </c>
    </row>
    <row r="51" spans="1:17" ht="9.6" customHeight="1">
      <c r="A51" s="616" t="s">
        <v>109</v>
      </c>
      <c r="B51" s="771">
        <v>3.3274599450000002</v>
      </c>
      <c r="C51" s="771">
        <v>3.4419913625</v>
      </c>
      <c r="D51" s="610">
        <f t="shared" si="0"/>
        <v>-3.3274754477249147E-2</v>
      </c>
      <c r="E51" s="138"/>
      <c r="F51" s="138"/>
      <c r="G51" s="138"/>
      <c r="H51" s="138"/>
      <c r="I51" s="138"/>
      <c r="J51" s="138"/>
      <c r="L51" s="743" t="s">
        <v>97</v>
      </c>
      <c r="M51" s="744">
        <v>49.208549675</v>
      </c>
      <c r="N51" s="744">
        <v>28.484726132500001</v>
      </c>
    </row>
    <row r="52" spans="1:17" ht="9.6" customHeight="1">
      <c r="A52" s="615" t="s">
        <v>461</v>
      </c>
      <c r="B52" s="772">
        <v>3.2684066824999998</v>
      </c>
      <c r="C52" s="772">
        <v>3.3025214825</v>
      </c>
      <c r="D52" s="612">
        <f t="shared" si="0"/>
        <v>-1.0329925234634829E-2</v>
      </c>
      <c r="E52" s="138"/>
      <c r="F52" s="138"/>
      <c r="G52" s="138"/>
      <c r="H52" s="138"/>
      <c r="I52" s="138"/>
      <c r="J52" s="138"/>
      <c r="L52" s="743" t="s">
        <v>96</v>
      </c>
      <c r="M52" s="744">
        <v>58.959845500000007</v>
      </c>
      <c r="N52" s="744">
        <v>64.7966159275</v>
      </c>
    </row>
    <row r="53" spans="1:17" ht="9.6" customHeight="1">
      <c r="A53" s="616" t="s">
        <v>110</v>
      </c>
      <c r="B53" s="771">
        <v>3.1572381475000002</v>
      </c>
      <c r="C53" s="771">
        <v>3.2716496075000001</v>
      </c>
      <c r="D53" s="610">
        <f t="shared" si="0"/>
        <v>-3.497057256306435E-2</v>
      </c>
      <c r="E53" s="138"/>
      <c r="F53" s="138"/>
      <c r="G53" s="138"/>
      <c r="H53" s="138"/>
      <c r="I53" s="138"/>
      <c r="J53" s="138"/>
      <c r="L53" s="743" t="s">
        <v>422</v>
      </c>
      <c r="M53" s="744">
        <v>60.393483797499997</v>
      </c>
      <c r="N53" s="744">
        <v>54.009388967500001</v>
      </c>
    </row>
    <row r="54" spans="1:17" ht="9.6" customHeight="1">
      <c r="A54" s="615" t="s">
        <v>114</v>
      </c>
      <c r="B54" s="772">
        <v>2.0987</v>
      </c>
      <c r="C54" s="772">
        <v>1.9724000000000002</v>
      </c>
      <c r="D54" s="612">
        <f t="shared" si="0"/>
        <v>6.4033664571080839E-2</v>
      </c>
      <c r="E54" s="138"/>
      <c r="F54" s="138"/>
      <c r="G54" s="138"/>
      <c r="H54" s="138"/>
      <c r="I54" s="138"/>
      <c r="J54" s="138"/>
      <c r="L54" s="743" t="s">
        <v>94</v>
      </c>
      <c r="M54" s="744">
        <v>65.60982611</v>
      </c>
      <c r="N54" s="744">
        <v>67.067425929999999</v>
      </c>
    </row>
    <row r="55" spans="1:17" ht="9.6" customHeight="1">
      <c r="A55" s="618" t="s">
        <v>113</v>
      </c>
      <c r="B55" s="771">
        <v>1.83194685</v>
      </c>
      <c r="C55" s="771">
        <v>2.1523594775000001</v>
      </c>
      <c r="D55" s="610">
        <f t="shared" si="0"/>
        <v>-0.14886575911202549</v>
      </c>
      <c r="E55" s="138"/>
      <c r="F55" s="138"/>
      <c r="G55" s="138"/>
      <c r="H55" s="138"/>
      <c r="I55" s="138"/>
      <c r="J55" s="138"/>
      <c r="L55" s="744" t="s">
        <v>91</v>
      </c>
      <c r="M55" s="744">
        <v>69.968384754999988</v>
      </c>
      <c r="N55" s="744">
        <v>70.039126034999995</v>
      </c>
    </row>
    <row r="56" spans="1:17" ht="9.6" customHeight="1">
      <c r="A56" s="615" t="s">
        <v>540</v>
      </c>
      <c r="B56" s="772">
        <v>1.3572137575000001</v>
      </c>
      <c r="C56" s="772"/>
      <c r="D56" s="612" t="str">
        <f t="shared" si="0"/>
        <v/>
      </c>
      <c r="E56" s="138"/>
      <c r="F56" s="138"/>
      <c r="G56" s="138"/>
      <c r="H56" s="138"/>
      <c r="I56" s="138"/>
      <c r="J56" s="138"/>
      <c r="L56" s="743" t="s">
        <v>93</v>
      </c>
      <c r="M56" s="744">
        <v>70.44794675</v>
      </c>
      <c r="N56" s="744">
        <v>67.30903233250001</v>
      </c>
    </row>
    <row r="57" spans="1:17" ht="9.6" customHeight="1">
      <c r="A57" s="616" t="s">
        <v>115</v>
      </c>
      <c r="B57" s="771">
        <v>1.33232325</v>
      </c>
      <c r="C57" s="771">
        <v>1.3921643050000001</v>
      </c>
      <c r="D57" s="610">
        <f t="shared" si="0"/>
        <v>-4.2984190001912226E-2</v>
      </c>
      <c r="E57" s="138"/>
      <c r="F57" s="138"/>
      <c r="G57" s="138"/>
      <c r="H57" s="138"/>
      <c r="I57" s="138"/>
      <c r="J57" s="138"/>
      <c r="L57" s="743" t="s">
        <v>98</v>
      </c>
      <c r="M57" s="744">
        <v>76.601155750000004</v>
      </c>
      <c r="N57" s="744">
        <v>73.188274954999997</v>
      </c>
    </row>
    <row r="58" spans="1:17" ht="9.6" customHeight="1">
      <c r="A58" s="615" t="s">
        <v>112</v>
      </c>
      <c r="B58" s="772">
        <v>1.2439878475000001</v>
      </c>
      <c r="C58" s="772">
        <v>1.8214101550000001</v>
      </c>
      <c r="D58" s="612">
        <f t="shared" si="0"/>
        <v>-0.31701937420020587</v>
      </c>
      <c r="E58" s="138"/>
      <c r="F58" s="138"/>
      <c r="G58" s="138"/>
      <c r="H58" s="138"/>
      <c r="I58" s="138"/>
      <c r="J58" s="138"/>
      <c r="L58" s="744" t="s">
        <v>235</v>
      </c>
      <c r="M58" s="744">
        <v>97.532173937500005</v>
      </c>
      <c r="N58" s="744">
        <v>94.202229924999997</v>
      </c>
    </row>
    <row r="59" spans="1:17" ht="9.6" customHeight="1">
      <c r="A59" s="616" t="s">
        <v>242</v>
      </c>
      <c r="B59" s="773">
        <v>0.42671150000000002</v>
      </c>
      <c r="C59" s="773">
        <v>0.80773220000000001</v>
      </c>
      <c r="D59" s="619">
        <f t="shared" si="0"/>
        <v>-0.4717166159774242</v>
      </c>
      <c r="E59" s="138"/>
      <c r="F59" s="138"/>
      <c r="G59" s="138"/>
      <c r="H59" s="138"/>
      <c r="I59" s="138"/>
      <c r="J59" s="138"/>
      <c r="L59" s="743" t="s">
        <v>92</v>
      </c>
      <c r="M59" s="744">
        <v>109.94233175000002</v>
      </c>
      <c r="N59" s="744">
        <v>100.79807644</v>
      </c>
    </row>
    <row r="60" spans="1:17" ht="9.6" customHeight="1">
      <c r="A60" s="620" t="s">
        <v>234</v>
      </c>
      <c r="B60" s="772">
        <v>0.39333681999999998</v>
      </c>
      <c r="C60" s="772">
        <v>0</v>
      </c>
      <c r="D60" s="612" t="str">
        <f t="shared" si="0"/>
        <v/>
      </c>
      <c r="E60" s="138"/>
      <c r="F60" s="138"/>
      <c r="G60" s="138"/>
      <c r="H60" s="138"/>
      <c r="I60" s="138"/>
      <c r="J60" s="138"/>
      <c r="L60" s="743" t="s">
        <v>100</v>
      </c>
      <c r="M60" s="744">
        <v>135.538457945</v>
      </c>
      <c r="N60" s="744">
        <v>78.170038577499994</v>
      </c>
    </row>
    <row r="61" spans="1:17" s="557" customFormat="1" ht="9.6" customHeight="1">
      <c r="A61" s="616" t="s">
        <v>541</v>
      </c>
      <c r="B61" s="773">
        <v>0.2395235</v>
      </c>
      <c r="C61" s="773"/>
      <c r="D61" s="619" t="str">
        <f t="shared" si="0"/>
        <v/>
      </c>
      <c r="E61" s="138"/>
      <c r="F61" s="138"/>
      <c r="G61" s="138"/>
      <c r="H61" s="138"/>
      <c r="I61" s="138"/>
      <c r="J61" s="138"/>
      <c r="K61" s="692"/>
      <c r="L61" s="743" t="s">
        <v>239</v>
      </c>
      <c r="M61" s="744">
        <v>151.09517499999998</v>
      </c>
      <c r="N61" s="744">
        <v>158.0561784775</v>
      </c>
      <c r="O61" s="692"/>
      <c r="P61" s="692"/>
      <c r="Q61" s="692"/>
    </row>
    <row r="62" spans="1:17" s="557" customFormat="1" ht="9.6" customHeight="1">
      <c r="A62" s="620" t="s">
        <v>116</v>
      </c>
      <c r="B62" s="772">
        <v>0.17567353499999999</v>
      </c>
      <c r="C62" s="772">
        <v>0.38433295000000001</v>
      </c>
      <c r="D62" s="612">
        <f t="shared" si="0"/>
        <v>-0.54291315641815263</v>
      </c>
      <c r="E62" s="138"/>
      <c r="F62" s="138"/>
      <c r="G62" s="138"/>
      <c r="H62" s="138"/>
      <c r="I62" s="138"/>
      <c r="J62" s="138"/>
      <c r="K62" s="692"/>
      <c r="L62" s="743" t="s">
        <v>90</v>
      </c>
      <c r="M62" s="744">
        <v>171.90991249000001</v>
      </c>
      <c r="N62" s="744">
        <v>154.75683293</v>
      </c>
      <c r="O62" s="692"/>
      <c r="P62" s="692"/>
      <c r="Q62" s="692"/>
    </row>
    <row r="63" spans="1:17" s="557" customFormat="1" ht="9.6" customHeight="1">
      <c r="A63" s="616" t="s">
        <v>407</v>
      </c>
      <c r="B63" s="773">
        <v>5.9368000000000004E-2</v>
      </c>
      <c r="C63" s="773">
        <v>0.18479599999999999</v>
      </c>
      <c r="D63" s="619">
        <f t="shared" si="0"/>
        <v>-0.67873763501374484</v>
      </c>
      <c r="E63" s="138"/>
      <c r="F63" s="138"/>
      <c r="G63" s="138"/>
      <c r="H63" s="138"/>
      <c r="I63" s="138"/>
      <c r="J63" s="138"/>
      <c r="K63" s="692"/>
      <c r="L63" s="743" t="s">
        <v>237</v>
      </c>
      <c r="M63" s="744">
        <v>386.31228400750001</v>
      </c>
      <c r="N63" s="744">
        <v>367.01887198749995</v>
      </c>
      <c r="O63" s="692"/>
      <c r="P63" s="692"/>
      <c r="Q63" s="692"/>
    </row>
    <row r="64" spans="1:17" s="557" customFormat="1" ht="9.6" customHeight="1">
      <c r="A64" s="620" t="s">
        <v>241</v>
      </c>
      <c r="B64" s="772">
        <v>1.951816E-2</v>
      </c>
      <c r="C64" s="772">
        <v>0.59797893999999996</v>
      </c>
      <c r="D64" s="612">
        <f t="shared" si="0"/>
        <v>-0.96735978695169433</v>
      </c>
      <c r="E64" s="138"/>
      <c r="F64" s="138"/>
      <c r="G64" s="138"/>
      <c r="H64" s="138"/>
      <c r="I64" s="138"/>
      <c r="J64" s="138"/>
      <c r="K64" s="692"/>
      <c r="L64" s="743" t="s">
        <v>89</v>
      </c>
      <c r="M64" s="744">
        <v>602.84424528</v>
      </c>
      <c r="N64" s="744">
        <v>586.60518911999998</v>
      </c>
      <c r="O64" s="692"/>
      <c r="P64" s="692"/>
      <c r="Q64" s="692"/>
    </row>
    <row r="65" spans="1:17" s="557" customFormat="1" ht="9.6" customHeight="1">
      <c r="A65" s="616" t="s">
        <v>464</v>
      </c>
      <c r="B65" s="773">
        <v>0</v>
      </c>
      <c r="C65" s="773">
        <v>0.30371019999999999</v>
      </c>
      <c r="D65" s="619">
        <f t="shared" si="0"/>
        <v>-1</v>
      </c>
      <c r="E65" s="138"/>
      <c r="F65" s="138"/>
      <c r="G65" s="138"/>
      <c r="H65" s="138"/>
      <c r="I65" s="138"/>
      <c r="J65" s="138"/>
      <c r="K65" s="692"/>
      <c r="L65" s="743" t="s">
        <v>88</v>
      </c>
      <c r="M65" s="744">
        <v>610.76099250000004</v>
      </c>
      <c r="N65" s="744">
        <v>586.20104074750009</v>
      </c>
      <c r="O65" s="692"/>
      <c r="P65" s="692"/>
      <c r="Q65" s="692"/>
    </row>
    <row r="66" spans="1:17" s="557" customFormat="1" ht="9.6" customHeight="1">
      <c r="A66" s="620" t="s">
        <v>453</v>
      </c>
      <c r="B66" s="772">
        <v>0</v>
      </c>
      <c r="C66" s="772">
        <v>7.5211444449999991</v>
      </c>
      <c r="D66" s="612">
        <f t="shared" si="0"/>
        <v>-1</v>
      </c>
      <c r="E66" s="138"/>
      <c r="F66" s="138"/>
      <c r="G66" s="138"/>
      <c r="H66" s="138"/>
      <c r="I66" s="138"/>
      <c r="J66" s="138"/>
      <c r="K66" s="692"/>
      <c r="L66" s="743" t="s">
        <v>87</v>
      </c>
      <c r="M66" s="744">
        <v>627.4877178050001</v>
      </c>
      <c r="N66" s="744">
        <v>652.32864483749984</v>
      </c>
      <c r="O66" s="692"/>
      <c r="P66" s="692"/>
      <c r="Q66" s="692"/>
    </row>
    <row r="67" spans="1:17" s="557" customFormat="1" ht="9.6" customHeight="1">
      <c r="A67" s="616" t="s">
        <v>117</v>
      </c>
      <c r="B67" s="773">
        <v>0</v>
      </c>
      <c r="C67" s="773">
        <v>0.77859313500000005</v>
      </c>
      <c r="D67" s="619">
        <f t="shared" si="0"/>
        <v>-1</v>
      </c>
      <c r="E67" s="138"/>
      <c r="F67" s="138"/>
      <c r="G67" s="138"/>
      <c r="H67" s="138"/>
      <c r="I67" s="138"/>
      <c r="J67" s="138"/>
      <c r="K67" s="692"/>
      <c r="L67" s="743" t="s">
        <v>405</v>
      </c>
      <c r="M67" s="744">
        <v>768.87543725</v>
      </c>
      <c r="N67" s="744">
        <v>800.45004372250003</v>
      </c>
      <c r="O67" s="692"/>
      <c r="P67" s="692"/>
      <c r="Q67" s="692"/>
    </row>
    <row r="68" spans="1:17" s="557" customFormat="1" ht="9.6" customHeight="1">
      <c r="A68" s="620" t="s">
        <v>416</v>
      </c>
      <c r="B68" s="772"/>
      <c r="C68" s="772">
        <v>9.1583625399999988</v>
      </c>
      <c r="D68" s="612">
        <f t="shared" si="0"/>
        <v>-1</v>
      </c>
      <c r="E68" s="138"/>
      <c r="F68" s="138"/>
      <c r="G68" s="138"/>
      <c r="H68" s="138"/>
      <c r="I68" s="138"/>
      <c r="J68" s="138"/>
      <c r="K68" s="692"/>
      <c r="L68" s="743"/>
      <c r="M68" s="744"/>
      <c r="N68" s="744"/>
      <c r="O68" s="692"/>
      <c r="P68" s="692"/>
      <c r="Q68" s="692"/>
    </row>
    <row r="69" spans="1:17" ht="9.6" customHeight="1">
      <c r="A69" s="621" t="s">
        <v>42</v>
      </c>
      <c r="B69" s="774">
        <f>+SUM(B5:B68)</f>
        <v>4544.4662687649989</v>
      </c>
      <c r="C69" s="774">
        <f>+SUM(C5:C68)</f>
        <v>4438.1983897099981</v>
      </c>
      <c r="D69" s="622">
        <f>IF(C69=0,"",B69/C69-1)</f>
        <v>2.3943922673980378E-2</v>
      </c>
      <c r="E69" s="138"/>
      <c r="F69" s="138"/>
      <c r="G69" s="138"/>
      <c r="H69" s="138"/>
      <c r="I69" s="138"/>
      <c r="J69" s="138"/>
      <c r="L69" s="743"/>
      <c r="M69" s="744"/>
      <c r="N69" s="744"/>
    </row>
    <row r="70" spans="1:17" ht="40.5" customHeight="1">
      <c r="A70" s="874" t="str">
        <f>"Cuadro N° 6: Participación de las empresas generadoras del COES en la producción de energía eléctrica (GWh) en "&amp;'1. Resumen'!Q4</f>
        <v>Cuadro N° 6: Participación de las empresas generadoras del COES en la producción de energía eléctrica (GWh) en junio</v>
      </c>
      <c r="B70" s="874"/>
      <c r="C70" s="874"/>
      <c r="D70" s="411"/>
      <c r="E70" s="873" t="str">
        <f>"Gráfico N° 10: Comparación de producción energética (GWh) de las empresas generadoras del COES en "&amp;'1. Resumen'!Q4</f>
        <v>Gráfico N° 10: Comparación de producción energética (GWh) de las empresas generadoras del COES en junio</v>
      </c>
      <c r="F70" s="873"/>
      <c r="G70" s="873"/>
      <c r="H70" s="873"/>
      <c r="I70" s="873"/>
      <c r="J70" s="873"/>
    </row>
    <row r="71" spans="1:17">
      <c r="A71" s="867"/>
      <c r="B71" s="867"/>
      <c r="C71" s="867"/>
      <c r="D71" s="867"/>
      <c r="E71" s="867"/>
      <c r="F71" s="867"/>
      <c r="G71" s="867"/>
      <c r="H71" s="867"/>
      <c r="I71" s="867"/>
      <c r="J71" s="867"/>
    </row>
    <row r="72" spans="1:17">
      <c r="A72" s="868"/>
      <c r="B72" s="868"/>
      <c r="C72" s="868"/>
      <c r="D72" s="868"/>
      <c r="E72" s="868"/>
      <c r="F72" s="868"/>
      <c r="G72" s="868"/>
      <c r="H72" s="868"/>
      <c r="I72" s="868"/>
      <c r="J72" s="868"/>
    </row>
    <row r="73" spans="1:17">
      <c r="A73" s="867"/>
      <c r="B73" s="867"/>
      <c r="C73" s="867"/>
      <c r="D73" s="867"/>
      <c r="E73" s="867"/>
      <c r="F73" s="867"/>
      <c r="G73" s="867"/>
      <c r="H73" s="867"/>
      <c r="I73" s="867"/>
      <c r="J73" s="867"/>
    </row>
    <row r="74" spans="1:17">
      <c r="A74" s="868"/>
      <c r="B74" s="868"/>
      <c r="C74" s="868"/>
      <c r="D74" s="868"/>
      <c r="E74" s="868"/>
      <c r="F74" s="868"/>
      <c r="G74" s="868"/>
      <c r="H74" s="868"/>
      <c r="I74" s="868"/>
      <c r="J74" s="868"/>
    </row>
  </sheetData>
  <mergeCells count="10">
    <mergeCell ref="A71:J71"/>
    <mergeCell ref="A72:J72"/>
    <mergeCell ref="A73:J73"/>
    <mergeCell ref="A74:J74"/>
    <mergeCell ref="A1:I1"/>
    <mergeCell ref="A3:A4"/>
    <mergeCell ref="B3:D3"/>
    <mergeCell ref="G3:I3"/>
    <mergeCell ref="E70:J70"/>
    <mergeCell ref="A70:C7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2022
INFSGI-MES-06-2022
13/07/2022
Versión: 01</oddHeader>
    <oddFooter>&amp;LCOES, 2022&amp;RDirección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2022-08-24T22:18:03Z</cp:lastPrinted>
  <dcterms:created xsi:type="dcterms:W3CDTF">2018-02-13T14:18:17Z</dcterms:created>
  <dcterms:modified xsi:type="dcterms:W3CDTF">2022-08-24T22:30:25Z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