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ricardo.varas\Downloads\Nueva carpeta (5)\"/>
    </mc:Choice>
  </mc:AlternateContent>
  <xr:revisionPtr revIDLastSave="0" documentId="13_ncr:1_{360C3D38-977F-46C3-AC68-7BCC521270F5}" xr6:coauthVersionLast="47" xr6:coauthVersionMax="47" xr10:uidLastSave="{00000000-0000-0000-0000-000000000000}"/>
  <bookViews>
    <workbookView xWindow="-108" yWindow="-108" windowWidth="23256" windowHeight="12576" tabRatio="719"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RER'!$T$52:$V$53</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'12.Caudales'!$A$1:$I$63</definedName>
    <definedName name="_xlnm.Print_Area" localSheetId="14">'13.Caudales'!$A$1:$L$65</definedName>
    <definedName name="_xlnm.Print_Area" localSheetId="15">'14. CMg'!$A$1:$I$59</definedName>
    <definedName name="_xlnm.Print_Area" localSheetId="16">'15. Mapa CMg'!$A$1:$L$62</definedName>
    <definedName name="_xlnm.Print_Area" localSheetId="3">'2. Oferta de generación'!$A$1:$J$56</definedName>
    <definedName name="_xlnm.Print_Area" localSheetId="21">'20. ANEXOI-3'!$A$1:$G$46</definedName>
    <definedName name="_xlnm.Print_Area" localSheetId="22">'21. ANEXOII-1'!$A$1:$F$84</definedName>
    <definedName name="_xlnm.Print_Area" localSheetId="24">'23. ANEXOII-3'!$A$1:$F$62</definedName>
    <definedName name="_xlnm.Print_Area" localSheetId="26">'25.ANEXO III -1'!$A$1:$F$13</definedName>
    <definedName name="_xlnm.Print_Area" localSheetId="27">'26.ANEXO III-2'!$A$1:$F$10</definedName>
    <definedName name="_xlnm.Print_Area" localSheetId="6">'5. RER'!$A$1:$K$62</definedName>
    <definedName name="_xlnm.Print_Area" localSheetId="7">'6. FP RER'!$A$1:$K$64</definedName>
    <definedName name="_xlnm.Print_Area" localSheetId="8">'7. Generacion empresa'!$A$1:$J$70</definedName>
    <definedName name="_xlnm.Print_Area" localSheetId="9">'8. Max Potencia'!$A$1:$K$62</definedName>
    <definedName name="_xlnm.Print_Area" localSheetId="10">'9. Pot. Empresa'!$A$1:$J$72</definedName>
    <definedName name="_xlnm.Print_Area" localSheetId="1">Índice!$A$1:$L$45</definedName>
    <definedName name="_xlnm.Print_Area" localSheetId="0">'Portada '!$A$1:$L$75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1" i="38" l="1"/>
  <c r="F41" i="38"/>
  <c r="H9" i="21" l="1"/>
  <c r="H10" i="21"/>
  <c r="H11" i="21"/>
  <c r="G12" i="21"/>
  <c r="G13" i="21"/>
  <c r="G14" i="21"/>
  <c r="G15" i="21"/>
  <c r="B69" i="11" l="1"/>
  <c r="G19" i="8"/>
  <c r="J9" i="22" l="1"/>
  <c r="H7" i="21" l="1"/>
  <c r="J14" i="12" l="1"/>
  <c r="D16" i="21" l="1"/>
  <c r="E16" i="21"/>
  <c r="F16"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9" i="13"/>
  <c r="D50" i="13"/>
  <c r="D51" i="13"/>
  <c r="D52" i="13"/>
  <c r="D53" i="13"/>
  <c r="D54" i="13"/>
  <c r="D55" i="13"/>
  <c r="D56" i="13"/>
  <c r="D57" i="13"/>
  <c r="D58" i="13"/>
  <c r="D59" i="13"/>
  <c r="D60" i="13"/>
  <c r="D61" i="13"/>
  <c r="D62" i="13"/>
  <c r="D63" i="13"/>
  <c r="D64" i="13"/>
  <c r="D65" i="13"/>
  <c r="D66" i="13"/>
  <c r="D67" i="13"/>
  <c r="D68" i="13"/>
  <c r="D69" i="13"/>
  <c r="D70" i="13"/>
  <c r="E23" i="6" l="1"/>
  <c r="D23" i="6"/>
  <c r="A43" i="10" l="1"/>
  <c r="F14" i="7"/>
  <c r="C69" i="11" l="1"/>
  <c r="B11" i="9" l="1"/>
  <c r="C11" i="9"/>
  <c r="D11" i="9"/>
  <c r="E11" i="9"/>
  <c r="A64" i="10" l="1"/>
  <c r="C71" i="13"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8" i="11" l="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9" i="8" l="1"/>
  <c r="B19" i="8" l="1"/>
  <c r="D16" i="7" l="1"/>
  <c r="A61" i="12" l="1"/>
  <c r="F70" i="45" l="1"/>
  <c r="F69" i="45"/>
  <c r="F68" i="45"/>
  <c r="F66" i="45"/>
  <c r="F65" i="45"/>
  <c r="B71" i="13" l="1"/>
  <c r="G12" i="7" l="1"/>
  <c r="E12" i="7"/>
  <c r="D18" i="6" l="1"/>
  <c r="F81" i="36" l="1"/>
  <c r="F80" i="36"/>
  <c r="F79" i="36"/>
  <c r="F78" i="36"/>
  <c r="F76" i="36"/>
  <c r="F75" i="36"/>
  <c r="E58" i="46" l="1"/>
  <c r="F10" i="8" l="1"/>
  <c r="I10" i="8"/>
  <c r="K10" i="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9" i="22" l="1"/>
  <c r="C9" i="22" l="1"/>
  <c r="D9" i="22"/>
  <c r="E9" i="22"/>
  <c r="F9" i="22"/>
  <c r="G9" i="22"/>
  <c r="H9" i="22"/>
  <c r="B9" i="22"/>
  <c r="B16" i="7" l="1"/>
  <c r="C16" i="7"/>
  <c r="E16" i="7"/>
  <c r="E5" i="36" l="1"/>
  <c r="E4" i="36"/>
  <c r="D12" i="7" l="1"/>
  <c r="F55" i="46" l="1"/>
  <c r="D5" i="11"/>
  <c r="D2" i="46" l="1"/>
  <c r="C2" i="46"/>
  <c r="D2" i="45"/>
  <c r="C2" i="45"/>
  <c r="C56" i="46" l="1"/>
  <c r="C58" i="46" s="1"/>
  <c r="D56" i="46"/>
  <c r="D58"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4" i="8"/>
  <c r="N14" i="18" l="1"/>
  <c r="J11" i="9" l="1"/>
  <c r="H11" i="9"/>
  <c r="G11" i="9"/>
  <c r="D6" i="16" l="1"/>
  <c r="C28" i="14" l="1"/>
  <c r="A34" i="22" l="1"/>
  <c r="F6" i="36" l="1"/>
  <c r="A70" i="11" l="1"/>
  <c r="F22" i="8" l="1"/>
  <c r="C19" i="8"/>
  <c r="D19" i="8"/>
  <c r="E19" i="8"/>
  <c r="E12" i="9" s="1"/>
  <c r="J12" i="7"/>
  <c r="H12" i="7"/>
  <c r="C12" i="7"/>
  <c r="B12" i="7"/>
  <c r="F19"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7" i="21" l="1"/>
  <c r="A62" i="9" l="1"/>
  <c r="A34" i="9"/>
  <c r="A66" i="8"/>
  <c r="B49" i="4" l="1"/>
  <c r="F2" i="38" l="1"/>
  <c r="D71" i="13" l="1"/>
  <c r="N29" i="18"/>
  <c r="N28" i="18"/>
  <c r="N27" i="18"/>
  <c r="N26" i="18"/>
  <c r="N25" i="18"/>
  <c r="N24" i="18"/>
  <c r="N23" i="18"/>
  <c r="N20" i="18"/>
  <c r="N19" i="18"/>
  <c r="N18" i="18"/>
  <c r="N17" i="18"/>
  <c r="N16" i="18"/>
  <c r="N15" i="18"/>
  <c r="N12" i="18"/>
  <c r="N11" i="18"/>
  <c r="N10" i="18"/>
  <c r="N9" i="18"/>
  <c r="H47" i="4" l="1"/>
  <c r="A53" i="22" l="1"/>
  <c r="B58" i="18"/>
  <c r="B40" i="18"/>
  <c r="B21" i="18"/>
  <c r="F72" i="13"/>
  <c r="B18" i="12" l="1"/>
  <c r="B20" i="12" s="1"/>
  <c r="C18" i="12"/>
  <c r="D18" i="12"/>
  <c r="D20" i="12" s="1"/>
  <c r="E18" i="12"/>
  <c r="E20" i="12" s="1"/>
  <c r="G18" i="12"/>
  <c r="G20" i="12" s="1"/>
  <c r="H18" i="12"/>
  <c r="H20" i="12" s="1"/>
  <c r="J20" i="12"/>
  <c r="F20" i="6" l="1"/>
  <c r="F22" i="6"/>
  <c r="F11" i="14" l="1"/>
  <c r="F21" i="6" l="1"/>
  <c r="F19" i="6"/>
  <c r="A58" i="7" l="1"/>
  <c r="E18" i="6"/>
  <c r="E70" i="11" l="1"/>
  <c r="C45" i="10"/>
  <c r="D3" i="36" l="1"/>
  <c r="C3" i="36"/>
  <c r="F2" i="37"/>
  <c r="F3" i="23"/>
  <c r="C2" i="23"/>
  <c r="C1" i="37" s="1"/>
  <c r="C1" i="38" s="1"/>
  <c r="E13" i="22"/>
  <c r="A13" i="22"/>
  <c r="A10" i="22"/>
  <c r="A17" i="21"/>
  <c r="F6" i="21"/>
  <c r="E6" i="21"/>
  <c r="D6" i="21"/>
  <c r="B47" i="18"/>
  <c r="B28" i="18"/>
  <c r="B10" i="18"/>
  <c r="C31" i="16"/>
  <c r="E6" i="16"/>
  <c r="A72" i="13"/>
  <c r="B3" i="13"/>
  <c r="B4" i="11"/>
  <c r="C4" i="11" s="1"/>
  <c r="B3" i="11"/>
  <c r="G6" i="7"/>
  <c r="G4" i="8" s="1"/>
  <c r="G4" i="9" s="1"/>
  <c r="D7" i="7"/>
  <c r="E7" i="7" s="1"/>
  <c r="A56" i="6"/>
  <c r="B24"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C5" i="9" l="1"/>
  <c r="F39" i="9"/>
  <c r="F23"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F7" i="8"/>
  <c r="J19" i="8"/>
  <c r="I12" i="7"/>
  <c r="E5" i="8"/>
  <c r="I19" i="8" l="1"/>
  <c r="E5" i="9"/>
  <c r="I20" i="12"/>
  <c r="K20" i="12"/>
  <c r="F40" i="9"/>
  <c r="M39" i="9" s="1"/>
  <c r="F20" i="12"/>
  <c r="K19" i="8"/>
  <c r="J12" i="9"/>
  <c r="G12" i="9"/>
  <c r="K12" i="7"/>
  <c r="I11" i="9"/>
  <c r="H12" i="9"/>
  <c r="F11" i="9"/>
  <c r="K11" i="9"/>
  <c r="D69" i="11"/>
</calcChain>
</file>

<file path=xl/sharedStrings.xml><?xml version="1.0" encoding="utf-8"?>
<sst xmlns="http://schemas.openxmlformats.org/spreadsheetml/2006/main" count="1559" uniqueCount="684">
  <si>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</si>
  <si>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</si>
  <si>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</si>
  <si>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</si>
  <si>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</si>
  <si>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</si>
  <si>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</si>
  <si>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</si>
  <si>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</si>
  <si>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</si>
  <si>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</si>
  <si>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</si>
  <si>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</si>
  <si>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</si>
  <si>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</si>
  <si>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</si>
  <si>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</si>
  <si>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</si>
  <si>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</si>
  <si>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</si>
  <si>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</si>
  <si>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</si>
  <si>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</si>
  <si>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</si>
  <si>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</si>
  <si>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</si>
  <si>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</si>
  <si>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</si>
  <si>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</si>
  <si>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</si>
  <si>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</si>
  <si>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</si>
  <si>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</si>
  <si>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</si>
  <si>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</si>
  <si>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</si>
  <si>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</si>
  <si>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</si>
  <si>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</si>
  <si>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</si>
  <si>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</si>
  <si>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</si>
  <si>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</si>
  <si>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</si>
  <si>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</si>
  <si>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</si>
  <si>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</si>
  <si>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</si>
  <si>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</si>
  <si>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</si>
  <si>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</si>
  <si>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</si>
  <si>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</si>
  <si>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</si>
  <si>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</si>
  <si>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</si>
  <si>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</si>
  <si>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</si>
  <si>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</si>
  <si>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</si>
  <si>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</si>
  <si>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</si>
  <si>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</si>
  <si>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</si>
  <si>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</si>
  <si>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</si>
  <si>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</si>
  <si>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</si>
  <si>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</si>
  <si>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</si>
  <si>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</si>
  <si>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</si>
  <si>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</si>
  <si>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</si>
  <si>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</si>
  <si>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</si>
  <si>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</si>
  <si>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</si>
  <si>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</si>
  <si>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</si>
  <si>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</si>
  <si>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</si>
  <si>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</si>
  <si>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</si>
  <si>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</si>
  <si>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</si>
  <si>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</si>
  <si>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</si>
  <si>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</si>
  <si>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</si>
  <si>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</si>
  <si>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</si>
  <si>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</si>
  <si>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</si>
  <si>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</si>
  <si>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</si>
  <si>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</si>
  <si>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</si>
  <si>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</si>
  <si>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</si>
  <si>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</si>
  <si>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</si>
  <si>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</si>
  <si>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</si>
  <si>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</si>
  <si>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</si>
  <si>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</si>
  <si>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</si>
  <si>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</si>
  <si>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</si>
  <si>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</si>
  <si>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</si>
  <si>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</si>
  <si>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</si>
  <si>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</si>
  <si>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</si>
  <si>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</si>
  <si>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</si>
  <si>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</si>
  <si>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</si>
  <si>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</si>
  <si>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</si>
  <si>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</si>
  <si>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</si>
  <si>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</si>
  <si>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</si>
  <si>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</si>
  <si>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</si>
  <si>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</si>
  <si>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</si>
  <si>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</si>
  <si>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</si>
  <si>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</si>
  <si>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</si>
  <si>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</si>
  <si>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</si>
  <si>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</si>
  <si>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</si>
  <si>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</si>
  <si>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</si>
  <si>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</si>
  <si>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</si>
  <si>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</si>
  <si>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</si>
  <si>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</si>
  <si>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</si>
  <si>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</si>
  <si>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</si>
  <si>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</si>
  <si>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</si>
  <si>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</si>
  <si>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</si>
  <si>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</si>
  <si>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</si>
  <si>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</si>
  <si>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</si>
  <si>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</si>
  <si>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</si>
  <si>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</si>
  <si>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</si>
  <si>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</si>
  <si>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</si>
  <si>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</si>
  <si>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</si>
  <si>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</si>
  <si>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</si>
  <si>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</si>
  <si>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</si>
  <si>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</si>
  <si>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</si>
  <si>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</si>
  <si>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</si>
  <si>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</si>
  <si>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</si>
  <si>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</si>
  <si>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</si>
  <si>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</si>
  <si>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</si>
  <si>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</si>
  <si>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</si>
  <si>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</si>
  <si>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</si>
  <si>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</si>
  <si>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</si>
  <si>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</si>
  <si>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</si>
  <si>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</si>
  <si>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</si>
  <si>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</si>
  <si>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</si>
  <si>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</si>
  <si>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</si>
  <si>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</si>
  <si>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</si>
  <si>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</si>
  <si>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</si>
  <si>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</si>
  <si>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</si>
  <si>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</si>
  <si>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</si>
  <si>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</si>
  <si>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</si>
  <si>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</si>
  <si>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</si>
  <si>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</si>
  <si>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</si>
  <si>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</si>
  <si>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</si>
  <si>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</si>
  <si>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</si>
  <si>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</si>
  <si>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</si>
  <si>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</si>
  <si>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</si>
  <si>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</si>
  <si>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</si>
  <si>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</si>
  <si>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</si>
  <si>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</si>
  <si>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</si>
  <si>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</si>
  <si>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</si>
  <si>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</si>
  <si>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</si>
  <si>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</si>
  <si>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</si>
  <si>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</si>
  <si>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</si>
  <si>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</si>
  <si>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</si>
  <si>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</si>
  <si>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</si>
  <si>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</si>
  <si>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</si>
  <si>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</si>
  <si>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</si>
  <si>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</si>
  <si>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</si>
  <si>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</si>
  <si>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</si>
  <si>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</si>
  <si>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</si>
  <si>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</si>
  <si>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</si>
  <si>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</si>
  <si>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</si>
  <si>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</si>
  <si>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</si>
  <si>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</si>
  <si>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</si>
  <si>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</si>
  <si>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</si>
  <si>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</si>
  <si>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</si>
  <si>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</si>
  <si>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</si>
  <si>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</si>
  <si>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</si>
  <si>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</si>
  <si>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</si>
  <si>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</si>
  <si>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</si>
  <si>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</si>
  <si>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</si>
  <si>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</si>
  <si>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</si>
  <si>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</si>
  <si>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</si>
  <si>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</si>
  <si>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</si>
  <si>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</si>
  <si>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</si>
  <si>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</si>
  <si>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</si>
  <si>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</si>
  <si>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</si>
  <si>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</si>
  <si>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</si>
  <si>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</si>
  <si>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</si>
  <si>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</si>
  <si>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</si>
  <si>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</si>
  <si>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</si>
  <si>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</si>
  <si>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</si>
  <si>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</si>
  <si>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</si>
  <si>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</si>
  <si>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</si>
  <si>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</si>
  <si>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</si>
  <si>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</si>
  <si>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</si>
  <si>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</si>
  <si>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</si>
  <si>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</si>
  <si>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</si>
  <si>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</si>
  <si>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</si>
  <si>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</si>
  <si>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</si>
  <si>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</si>
  <si>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</si>
  <si>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</si>
  <si>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</si>
  <si>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</si>
  <si>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</si>
  <si>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</si>
  <si>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</si>
  <si>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</si>
  <si>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</si>
  <si>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</si>
  <si>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</si>
  <si>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</si>
  <si>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</si>
  <si>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</si>
  <si>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</si>
  <si>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</si>
  <si>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</si>
  <si>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</si>
  <si>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</si>
  <si>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</si>
  <si>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</si>
  <si>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</si>
  <si>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</si>
  <si>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</si>
  <si>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</si>
  <si>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</si>
  <si>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</si>
  <si>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</si>
  <si>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</si>
  <si>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</si>
  <si>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</si>
  <si>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</si>
  <si>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</si>
  <si>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</si>
  <si>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</si>
  <si>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</si>
  <si>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</si>
  <si>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</si>
  <si>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</si>
  <si>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</si>
  <si>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</si>
  <si>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</si>
  <si>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</si>
  <si>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</si>
  <si>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</si>
  <si>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</si>
  <si>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</si>
  <si>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</si>
  <si>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</si>
  <si>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</si>
  <si>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</si>
  <si>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</si>
  <si>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</si>
  <si>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</si>
  <si>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</si>
  <si>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</si>
  <si>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</si>
  <si>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</si>
  <si>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</si>
  <si>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</si>
  <si>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</si>
  <si>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</si>
  <si>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</si>
  <si>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</si>
  <si>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</si>
  <si>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</si>
  <si>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</si>
  <si>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</si>
  <si>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</si>
  <si>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</si>
  <si>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</si>
  <si>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</si>
  <si>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</si>
  <si>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</si>
  <si>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</si>
  <si>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</si>
  <si>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</si>
  <si>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</si>
  <si>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</si>
  <si>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</si>
  <si>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</si>
  <si>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</si>
  <si>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</si>
  <si>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</si>
  <si>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</si>
  <si>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</si>
  <si>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</si>
  <si>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</si>
  <si>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</si>
  <si>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</si>
  <si>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</si>
  <si>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</si>
  <si>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</si>
  <si>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</si>
  <si>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</si>
  <si>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</si>
  <si>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</si>
  <si>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</si>
  <si>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</si>
  <si>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</si>
  <si>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</si>
  <si>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</si>
  <si>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</si>
  <si>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</si>
  <si>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</si>
  <si>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</si>
  <si>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</si>
  <si>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</si>
  <si>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</si>
  <si>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</si>
  <si>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</si>
  <si>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</si>
  <si>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</si>
  <si>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</si>
  <si>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</si>
  <si>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</si>
  <si>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</si>
  <si>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</si>
  <si>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</si>
  <si>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</si>
  <si>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</si>
  <si>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</si>
  <si>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</si>
  <si>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</si>
  <si>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</si>
  <si>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</si>
  <si>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</si>
  <si>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</si>
  <si>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</si>
  <si>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</si>
  <si>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</si>
  <si>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</si>
  <si>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</si>
  <si>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</si>
  <si>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</si>
  <si>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</si>
  <si>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</si>
  <si>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</si>
  <si>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</si>
  <si>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</si>
  <si>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</si>
  <si>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</si>
  <si>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</si>
  <si>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</si>
  <si>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</si>
  <si>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</si>
  <si>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</si>
  <si>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</si>
  <si>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</si>
  <si>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</si>
  <si>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C.H. PATAPO</t>
  </si>
  <si>
    <t>C.T. SAN JACINTO</t>
  </si>
  <si>
    <t>INVERSION DE ENERGÍA RENOVABLES</t>
  </si>
  <si>
    <t>12:00</t>
  </si>
  <si>
    <t>00:15</t>
  </si>
  <si>
    <t>11:45</t>
  </si>
  <si>
    <t>C.T. CALLAO</t>
  </si>
  <si>
    <t>C.H. MANTA I</t>
  </si>
  <si>
    <t>HIDRANDINA</t>
  </si>
  <si>
    <t>MAJES</t>
  </si>
  <si>
    <t>REPARTICION</t>
  </si>
  <si>
    <t>GR PAINO</t>
  </si>
  <si>
    <t>GR TARUCA</t>
  </si>
  <si>
    <t>ATRIA</t>
  </si>
  <si>
    <t>EMGE JUNÍN</t>
  </si>
  <si>
    <t>CELEPSA RENOVABLES</t>
  </si>
  <si>
    <t>STATKRAFT S.A</t>
  </si>
  <si>
    <t>Var (%)
2021/2020</t>
  </si>
  <si>
    <t>Var. (2021/2020)</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</si>
  <si>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</si>
  <si>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</si>
  <si>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</si>
  <si>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</si>
  <si>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</si>
  <si>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</si>
  <si>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</si>
  <si>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</si>
  <si>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</si>
  <si>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</si>
  <si>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</si>
  <si>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</si>
  <si>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</si>
  <si>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</si>
  <si>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</si>
  <si>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</si>
  <si>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</si>
  <si>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</si>
  <si>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</si>
  <si>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</si>
  <si>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</si>
  <si>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</si>
  <si>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</si>
  <si>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</si>
  <si>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</si>
  <si>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</si>
  <si>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</si>
  <si>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</si>
  <si>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</si>
  <si>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</si>
  <si>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</si>
  <si>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</si>
  <si>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</si>
  <si>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</si>
  <si>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</si>
  <si>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</si>
  <si>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</si>
  <si>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</si>
  <si>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</si>
  <si>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</si>
  <si>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</si>
  <si>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</si>
  <si>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</si>
  <si>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</si>
  <si>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</si>
  <si>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</si>
  <si>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</si>
  <si>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</si>
  <si>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</si>
  <si>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</si>
  <si>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</si>
  <si>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</si>
  <si>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</si>
  <si>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</si>
  <si>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</si>
  <si>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</si>
  <si>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</si>
  <si>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</si>
  <si>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</si>
  <si>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</si>
  <si>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</si>
  <si>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</si>
  <si>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</si>
  <si>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</si>
  <si>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</si>
  <si>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</si>
  <si>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</si>
  <si>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LINEA DE TRANSMISION</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</si>
  <si>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</si>
  <si>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</si>
  <si>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</si>
  <si>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</si>
  <si>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</si>
  <si>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</si>
  <si>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</si>
  <si>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</si>
  <si>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T-30  T3-261  T4-261</t>
  </si>
  <si>
    <t>INDEPENDENCIA</t>
  </si>
  <si>
    <t>L-2222  L-2223</t>
  </si>
  <si>
    <t>PACHACHACA - CALLAHUANCA (REP)</t>
  </si>
  <si>
    <t>20:30</t>
  </si>
  <si>
    <t>L-2110</t>
  </si>
  <si>
    <t>HUANZA-CARABAYLLO</t>
  </si>
  <si>
    <t>Var (%)
2022/2021</t>
  </si>
  <si>
    <t>C.H. ZAÑA</t>
  </si>
  <si>
    <t>Gráfico N°13: Evolución semanal del volumen de las lagunas de ENEL durante los años 2019 - 2022</t>
  </si>
  <si>
    <t>Gráfico N°15: Evolución semanal del volumen de los embalses de EGASA durante los años 2019 - 2022</t>
  </si>
  <si>
    <t>Gráfico N°14: Evolución semanal del volumen del lago JUNÍN durante los años 2019 - 2022</t>
  </si>
  <si>
    <t>Gráfico N°17: Evolución del promedio semanal de caudales de los ríos RÍMAC y SANTA EULALIA en los años 2019 - 2022.</t>
  </si>
  <si>
    <t>Gráfico N°18: Evolución del promedio semanal de caudales de los ríos MANTARO, TULUMAYO y TARMA  en los años 2019 - 2022.</t>
  </si>
  <si>
    <t>Gráfico N°19: Evolución del promedio semanal de caudales de las cuencas CHILI, ARICOTA, VILCANOTA Y SAN GABÁN en los años 2019 - 2022.</t>
  </si>
  <si>
    <t>L-2259</t>
  </si>
  <si>
    <t>CARHUAMAYO - OROYA NUEVA</t>
  </si>
  <si>
    <t>Var. (2022/2021)</t>
  </si>
  <si>
    <t>2. MODIFICACIÓN DE LA OFERTA DE GENERACIÓN ELÉCTRICA DEL SEIN EN EL 2022</t>
  </si>
  <si>
    <t>2022 / 2021</t>
  </si>
  <si>
    <t>C.H. SANTA ROSA I</t>
  </si>
  <si>
    <t>C.H. SANTA ROSA II</t>
  </si>
  <si>
    <t>C.S. YARUCAYA</t>
  </si>
  <si>
    <t>C.H. LA VIRGEN</t>
  </si>
  <si>
    <t>(1)  Operación por pruebas de la M.C.H. Tupuri propiedad de SAN GABÁN.</t>
  </si>
  <si>
    <t>C.T. TUMBES</t>
  </si>
  <si>
    <t>M.C.H. TUPURI (1)</t>
  </si>
  <si>
    <t>(01)  Operación por pruebas de la M.C.H. Tupuri propiedad de SAN GABÁN.</t>
  </si>
  <si>
    <t>Gráfico N°16: Evolución del promedio semanal de caudales de los ríos SANTA, CHANCAY y PATIVILCA en los años 2019 - 2022.</t>
  </si>
  <si>
    <t>Variación 2022/2021 (MW)</t>
  </si>
  <si>
    <t>Variación 2022/2021 (GWh)</t>
  </si>
  <si>
    <t>L-1122</t>
  </si>
  <si>
    <t>TINGO MARÍA - AUCAYACU</t>
  </si>
  <si>
    <t>ELECTRO SUR ESTE</t>
  </si>
  <si>
    <t>TRANSFORMADOR 3D</t>
  </si>
  <si>
    <t>15:00</t>
  </si>
  <si>
    <t>POMACOCHA - SAN JUAN</t>
  </si>
  <si>
    <t>L-2205  L-2206</t>
  </si>
  <si>
    <t>19:00</t>
  </si>
  <si>
    <t>19:15</t>
  </si>
  <si>
    <t>18:45</t>
  </si>
  <si>
    <t>L. CARHUAMAYO - SHELBY - LINEA L-6515</t>
  </si>
  <si>
    <t>20:45</t>
  </si>
  <si>
    <t>L. CHIMBOTE SUR - NEPEÑA - LINEA L-1112</t>
  </si>
  <si>
    <t>ELECTRONOROESTE S.A.</t>
  </si>
  <si>
    <t>ELECTRO ORIENTE</t>
  </si>
  <si>
    <t>L. BELLAVISTA - TARAPOTO - LINEA L-1017</t>
  </si>
  <si>
    <t>1.1. Producción de energía eléctrica en mayo 2022 en comparación al mismo mes del año anterior</t>
  </si>
  <si>
    <t>mayo</t>
  </si>
  <si>
    <t>La producción de electricidad con centrales hidroeléctricas durante el mes de mayo 2022 fue de 2 616,88 GWh (0,56% mayor al registrado durante mayo del año 2021).</t>
  </si>
  <si>
    <t>La producción de electricidad con centrales termoeléctricas durante el mes de mayo 2022 fue de 1 744,10 GWh, 2,00% mayor al registrado durante mayo del año 2021. La participación del gas natural de Camisea fue de 35,80%, mientras que las del gas que proviene de los yacimientos de Aguaytía y Malacas fue del 1,58%, la producción con diesel, residual, carbón, biogás y bagazo tuvieron una intervención del 0,02%, 0,02%, 0,00%, 0,11%, 0,43% respectivamente.</t>
  </si>
  <si>
    <t>La producción de energía eléctrica con centrales eólicas fue de 171,76 GWh y con centrales solares fue de 62,21 GWh, los cuales tuvieron una participación de 3,74% y 1,35% respectivamente.</t>
  </si>
  <si>
    <r>
      <t>El total de la producción de energía eléctrica de la empresas generadoras integrantes del COES en el mes de mayo 2022 fue de 4</t>
    </r>
    <r>
      <rPr>
        <sz val="8"/>
        <color theme="0"/>
        <rFont val="Arial"/>
        <family val="2"/>
      </rPr>
      <t>_</t>
    </r>
    <r>
      <rPr>
        <sz val="9"/>
        <color theme="1"/>
        <rFont val="Arial"/>
        <family val="2"/>
      </rPr>
      <t>594,95  GWh, lo que representa un incremento de 66,15 GWh (1,46%) en comparación con el año 2021.</t>
    </r>
  </si>
  <si>
    <t xml:space="preserve">          No se presentaron inicios de operación comercial en mayo de 2022.</t>
  </si>
  <si>
    <t xml:space="preserve">          No se presentaron conclusiones de operación comercial en mayo de 2022.</t>
  </si>
  <si>
    <t>L-6627  L-6628</t>
  </si>
  <si>
    <t>MARCONA - SAN NICOLÁS</t>
  </si>
  <si>
    <t>T62-161  T6-261</t>
  </si>
  <si>
    <t>MARCONA</t>
  </si>
  <si>
    <t>L-1010</t>
  </si>
  <si>
    <t>AZÁNGARO - SAN GABÁN II</t>
  </si>
  <si>
    <t>SUR</t>
  </si>
  <si>
    <t>Desconectó la línea de 138 kV L-1112 (Chimbote Sur - Nepeña) por falla monofásica en la fase "T" debido a cruceta rota en la estructura N°40, según lo informado por Hidrandina, titular de la línea. Como consecuencia se interrumpió el suministro de las SS.EE. Nepeña, Casma y San Jacinto con un total de 8.8 MW. A las 08:11 h, se puso en servicio la línea y se procedió a recuperar los suministros interrumpidos.</t>
  </si>
  <si>
    <t>L. SAN GABÁN II - MAZUCO - LINEA L-1014</t>
  </si>
  <si>
    <t>Desconectó la línea de 138 kV L-1014 (San Gabán - Mazuco) por falla trifásica, debido a descargas atmosféricas en la zona, según lo informado por Electro Sur Este, titular de la línea. Como consecuencia se interrumpió el suministro de las SS.EE. Mazuco y Puerto Maldonado con un total de 11.625 MW aproximadamente. A las 03:03 h, se conectó la línea L-1014 y se recuperó la carga de Mazuco. A las 03:07 h, se conectó la línea L-1015 y se recuperó la carga de Puerto Maldonado.</t>
  </si>
  <si>
    <t>COMPAÑIA TRANSMISORA SUR ANDINO S.A.C.</t>
  </si>
  <si>
    <t>L. INGENIO - CAUDALOSA - LINEA L-6644</t>
  </si>
  <si>
    <t>Desconectó la línea L-6644 (Ingenio - Caudalosa) de 60 kV, por falla monofásica en la fase "S" a 24.63 km desde la S.E. Ingenio, debido a descargas atmosféricas, según lo informado por Compañía Trasmisora Sur Andino, titular de la línea. Como consecuencia, se interrumpió el suministros de las SS.EE. Kolpa y Caudalosa con un total de 6.4 MW. A las 16:38 h, se conectó la línea y se procedió a recuperar la carga interrumpida.</t>
  </si>
  <si>
    <t>SEAL</t>
  </si>
  <si>
    <t>L. CAMANA - LA HUERTA - LINEA L-1057</t>
  </si>
  <si>
    <t>Desconectó la línea L-1057 (Camaná - La Huerta) de 138 kV por falla en la fase "S" cuya causa se encuentra en investigación por Seal, titular de la línea. Como consecuencia se interrumpió la carga de la S.E. La Huerta con 2.4 MW. A las 05:15 h, se puso en servicio la línea y se procedió a recuperar la carga interrumpida.</t>
  </si>
  <si>
    <t>Desconectó la línea L-1057 (Camaná - La Huerta) de 138 kV por falla monofásica a tierra en la fase "R", por pérdida de aislamiento en los aisladores de la S.E. La Huerta, según lo informado porSEAL, titular de la línea. Como consecuencia se interrumpió la carga de la S.E. La Huerta con 3.89 MW. A las 21:57 h, se puso en servicio la línea y se procedió a recuperar la carga interrumpida.</t>
  </si>
  <si>
    <t xml:space="preserve">Desconectó la línea L-1057 (Camaná - La Huerta) de 138 kV por falla en la fase "T" cuya causa se encuentra en investigación por Seal, titular de la línea. Como consecuencia se interrumpió la carga de la S.E. La Huerta con 3.87 MW. A las 23:08 h, se recuperó la carga de la S.E. La Huerta a través de la red de 22.9 kV de la S.E. Camaná. La línea L-1057 quedó indisponible para inspección. </t>
  </si>
  <si>
    <t>Desconectó la línea L-1017 (Bellavista - Tarapoto) de 138 kV por falla monofásica en la fase "S" a 11.29 km desde la S.E. Tarapoto, cuya causa no fue informada por Electro Oriente, titular de la línea. Asimismo, la línea L-1019 desconectó en el extremo de la S.E. Juanjuí. Como consecuencia se interrumpió el suministro de la S.E. Bellavista con un total de 11.835 MW. A las 12:56 h, se conectaron las líneas L-1017 y L-1019,y se procedió a recuperar los suministros interrumpidos.</t>
  </si>
  <si>
    <t>Desconectaron las líneas L-6515/L-6517 (Carhuamayo - Shelby - Excelsior) de 50 kV, por falla monofásica en la fase "R" en la S.E. Fundición de titularidad de Electrocentro, debido a calcinación de un cartucho portafusible, según lo informado por STATKRAFT S.A. titular de las líneas L-6515/6517. Como consecuencia se interrumpió el suministro en las SS.EE. Shelby y Fundición con un total de 0.566 MW. Las líneas quedaron indisponible por inspección. A las 20:10 h las líneas L-6515/L-6517 entraron en servicio y se inició la normalización del suministro interrumpido.</t>
  </si>
  <si>
    <t>L. CARHUAMAYO - HUARÓN - LINEA L-6514</t>
  </si>
  <si>
    <t>Desconectaron las líneas L-6514 / L-6516 (Carhumayo - Shelby - Excelsior) de 50 kV de 50kV por falla cuya causa no ha sido informada por Statkraft, titular de las líneas. Como consecuencia se interrumpió el suministro de la S.E. Shelby con un total de 6.5 MW. A las 17:49 h se procedió a normalizar las líneas y a recuperar el suministro interrumpido.</t>
  </si>
  <si>
    <t>L. EL ARENAL - LA HUACA - LINEA L-6662-B</t>
  </si>
  <si>
    <t>Desconectó la línea L-6662B (La Huaca – El Arenal) de 60 kV en el lado de la S.E. La Huaca cuya causa se encuentra en investigación, según lo informado por Electronoroeste, titular de la línea. El evento ocurrió cuando se realizaba la desconexión de la línea L-6758 (Paita – Paita Industrial) de 60 kV en la S.E. Paita por mantenimiento programado. Como consecuencia se interrumpió el suministro en las SS.EE. El Arenal y Paita Industrial con un total de 6.54 MW. Asimismo, se produjo la desconexión de las C.T Tablazo y Tallanca con un total de 38.88 MW. A las 07:57 h y 08:04 h, se conectaron las líneas L-6758 y L-6662B respectivamente y se procedió a normalizar el suministro interrumpido. A las 09:10 h y 09:50 h, la C.T. Tallanca y C.T Tablazo respectivamente, sincronizaron con el SEIN.</t>
  </si>
  <si>
    <t>S.E. CHIMBOTE NORTE - TRAFO3D TP-A058</t>
  </si>
  <si>
    <t>Se produjo la desconexión del transformador TP-A58 de 138/13.8, 40 MVA de la S.E. Chimbote Norte, por actuación de su protección de sobre corriente por falla en el alimentador AMT-CHN021 de 13,8 kV, en el cual se registró falla monofásica en la fase "S" , según lo informado por Hidrandina, titular del equipo. Como consecuencia se interrumpió el suministro de la S.E. Chimbote Norte con un total de 10 MW. A las 10:16 h, se conectó el transformador y se procedió a normalizar el suministro interrumpido.</t>
  </si>
  <si>
    <t>L. COMBAPATA - SICUANI - LINEA L-6001</t>
  </si>
  <si>
    <t>Se produjo la desconexión de la línea de 60 kV L-6001 (Combapata - Sicuani) por falla monofásica en la fase "T" a 5.9 km desde la S.E. Combapata, cuya causa no fue informada por Electro Sur Este, titular de la línea. Como consecuencia se interrumpió el suministro de la S.E. Sicuani en 0.9 MW aproximadamente. A las 17:33 h, se puso en servicio la línea y se procedió a recuperar el suministro interrumpido.</t>
  </si>
  <si>
    <t>ELECTRO DUNAS</t>
  </si>
  <si>
    <t>L. INDEPENDENCIA - PARACAS - LINEA L-6606</t>
  </si>
  <si>
    <t>Desconectó el transformador 60/22.9/10 kVde la S.E. Paracas, por falla monofásica en la fase "R", debido a la apertura de conductor de la línea L-6606 en la S.E. Paracas, según lo informado por ELECTRO DUNAS, titular del transformador. Como consecuencia se interrumpió el suministro de la S.E. Paracas con un total de 18.20 MW. A las 00:26 h, se desconectó la línea L-6606 (Independencia - Paracas) de 60 kV para realizar trabajos correctivos al transformador. A las 01:26 h, se conectó la línea L-6606. A las 01:27 h, se conectó el transformador de la S.E. Paracas y se inició la recuperación del suministro interrumpido.</t>
  </si>
  <si>
    <t>L. POECHOS - SULLANA - LINEA L-6668</t>
  </si>
  <si>
    <t>Se produjo la desconexión de la línea L-6668 (Poechos - Sullana) de 60 kV por falla cuya causa no fue informada por Sinersa, titular de la línea. Como consecuencia se interrumpió el suministro de la S.E. Poechos con un total de 9.10 MW y desconectó las CC.HH. Poechos I y II con un total de 24,0 MW. A las 18:25 h, se conectó la línea con lo cual se inició el restablecimiento del suministro interrumpido. A las 18:41 h y 19:11 h, las CC.HH. Poechos I y II respectivamente, sincronizaron con el SEIN.</t>
  </si>
  <si>
    <t>RED DE ENERGIA DEL PERU S.A.</t>
  </si>
  <si>
    <t>L. TRUJILLO NORTE - CHIMBOTE 1 - LINEA L-2232</t>
  </si>
  <si>
    <t>Se produjo la desconexión de la línea L-2232 (Chimbote 1 - Trujillo Norte) de 220 kV por falla bifásica entre las fases "T" y "S" a 16.1 km desde la S.E. Trujillo Norte, cuya causa no fue informada por Red de Energía del Perú, titular de la línea. Como consecuencia, Cementos Pacasmayo y Sider Perú redujeron su carga en 0.7 y 5.4 MW, respectivamente. La línea quedó fuera de servicio para inspección. A las 18:19 h, se conectó la línea L-2232.</t>
  </si>
  <si>
    <t>L. ARICOTA 2 - TOMASIRI - LINEA L-6620</t>
  </si>
  <si>
    <t>Se produjo la desconexión de las líneas L-6620 (Aricota 2 - Tomasiri) y L-6637 (Los Héroes - Tomasiri) de 60 kV por falla bifásica entre las fases "S" Y "T" debido a caída de la línea L-6620 en las torres T77, T78 y T79 por un incendio de gran magnitud, según lo informado por Egesur, titular de la línea. Como consecuencia se interrumpió el suministro de la S.E. Tomasiri en 0.9 MW. A las 10:13 h, se puso en servicio la línea L-6637 y se procedió a recuperar la carga interrumpida.</t>
  </si>
  <si>
    <t>TRANSMANTARO</t>
  </si>
  <si>
    <t>S.E. LA BREA - TRAFO3D T121-261</t>
  </si>
  <si>
    <t>Se produjo la desconexión del transformador T121-261 de 220/66 kV de la S.E. La Brea en el lado de 66 kV por falla cuya causa no fue informada por Transmantaro, titular del equipo. El transformador paralelo T122-261 se encontraba fuera de servicio por mantenimiento programado. Como consecuencia se interrumpió el suministro de Petroperú con un total de 12 MW. A las 21:18 h, se energizó el transformador T122 y las barras A y B de 66 KV de la S.E. La Brea por lo que se inicio el restablecimiento de la carga interrumpida. El transformador T121 quedó energizado desde 220 KV y quedó abierto en el lado de 66 KV. A las 23.34 h, se cerró el interruptor de 66 kV del T121.</t>
  </si>
  <si>
    <t>L. PARAMONGA N. - CHIMBOTE 1 - LINEA L-2215</t>
  </si>
  <si>
    <t>Se produjo la desconexión de la línea L-2215 (Paramonga Nueva - Chimbote 1) de 220 kV en el extremo de la S.E. Chimbote 1 por causa noinformada por Red de Energía del Perú, titular de la línea. El evento ocurrió al momento de energizar el transformador AT11-211 de 220/138 kV con resultado negativo luego de su mantenimiento. En la S.E. Paramonga Nueva se registró el recierre monofásica en la fase "S". Como consecuencia el usuario libre Sider Perú redujo su carga en 3 MW. A las 18:01 h, se conectó la línea en la S.E. Chimbote 1. A las 18:07 h, se coordinó recuperar la carga reducida de Sider Perú.</t>
  </si>
  <si>
    <t xml:space="preserve">Se produjo la desconexión de la línea L-1014 (San Gabán - Mazuco) de 138 kV por falla bifásica entre las fases "R" y "S" a 43 km desde la S.E. San Gabán, debido a descargas atmosféricas, según lo informado por Electro Sur Este, titular de la línea. Como consecuencia se interrumpió el suministro en las SS.EE. Mazuco y Puerto Maldonado con un total de 17.185 MW. A las 09:07 h, se conectó la línea L-1014 y se energizó la barra de 138 kV de la S.E. Mazuco. A las 09:08 h, se conectó el transformador T01 de la S.E. Mazuco y se recuperó su carga interrumpida. A las 09:08 h, se conectó la línea L-1015. A las 09:09 h, se conectó el transformador T23-121 de la S.E. Puerto Maldonado y se recuperó todo el suministro interrumpido. </t>
  </si>
  <si>
    <t>31/05/2022</t>
  </si>
  <si>
    <t>01/05/2022</t>
  </si>
  <si>
    <t>00:30</t>
  </si>
  <si>
    <t>02/05/2022</t>
  </si>
  <si>
    <t>03/05/2022</t>
  </si>
  <si>
    <t>04/05/2022</t>
  </si>
  <si>
    <t>05/05/2022</t>
  </si>
  <si>
    <t>06/05/2022</t>
  </si>
  <si>
    <t>07/05/2022</t>
  </si>
  <si>
    <t>08/05/2022</t>
  </si>
  <si>
    <t>09/05/2022</t>
  </si>
  <si>
    <t>10/05/2022</t>
  </si>
  <si>
    <t>11/05/2022</t>
  </si>
  <si>
    <t>12/05/2022</t>
  </si>
  <si>
    <t>13/05/2022</t>
  </si>
  <si>
    <t>14/05/2022</t>
  </si>
  <si>
    <t>15/05/2022</t>
  </si>
  <si>
    <t>20:00</t>
  </si>
  <si>
    <t>16/05/2022</t>
  </si>
  <si>
    <t>17/05/2022</t>
  </si>
  <si>
    <t>18/05/2022</t>
  </si>
  <si>
    <t>19/05/2022</t>
  </si>
  <si>
    <t>20/05/2022</t>
  </si>
  <si>
    <t>21/05/2022</t>
  </si>
  <si>
    <t>22/05/2022</t>
  </si>
  <si>
    <t>23/05/2022</t>
  </si>
  <si>
    <t>24/05/2022</t>
  </si>
  <si>
    <t>25/05/2022</t>
  </si>
  <si>
    <t>26/05/2022</t>
  </si>
  <si>
    <t>15:15</t>
  </si>
  <si>
    <t>21:30</t>
  </si>
  <si>
    <t>27/05/2022</t>
  </si>
  <si>
    <t>28/05/2022</t>
  </si>
  <si>
    <t>29/05/2022</t>
  </si>
  <si>
    <t>30/05/2022</t>
  </si>
  <si>
    <t>VOLUMEN ÚTIL
31-05-2022</t>
  </si>
  <si>
    <t>VOLUMEN ÚTIL
31-05-2021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</si>
</sst>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5"/>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3">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style="thin">
        <color indexed="64"/>
      </bottom>
      <diagonal/>
    </border>
  </borders>
  <cellStyleXfs count="11">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912">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0" fontId="49"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1"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1"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1"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1"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1"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1"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1" applyNumberFormat="1" applyFont="1" applyFill="1" applyBorder="1"/>
    <xf numFmtId="0" fontId="51" fillId="0" borderId="0" xfId="0" applyFont="1"/>
    <xf numFmtId="0" fontId="52" fillId="0" borderId="0" xfId="0" applyFont="1" applyAlignment="1">
      <alignment vertical="center"/>
    </xf>
    <xf numFmtId="49" fontId="51" fillId="0" borderId="0" xfId="0" applyNumberFormat="1" applyFont="1" applyAlignment="1">
      <alignment horizontal="center"/>
    </xf>
    <xf numFmtId="1" fontId="51" fillId="0" borderId="0" xfId="0" applyNumberFormat="1" applyFont="1" applyAlignment="1">
      <alignment horizontal="center"/>
    </xf>
    <xf numFmtId="49" fontId="51" fillId="0" borderId="0" xfId="0" applyNumberFormat="1" applyFont="1" applyAlignment="1">
      <alignment horizontal="left"/>
    </xf>
    <xf numFmtId="1" fontId="51" fillId="0" borderId="0" xfId="0" applyNumberFormat="1" applyFont="1" applyAlignment="1">
      <alignment horizontal="left"/>
    </xf>
    <xf numFmtId="165" fontId="51" fillId="0" borderId="0" xfId="0" applyNumberFormat="1" applyFont="1" applyAlignment="1">
      <alignment horizontal="center"/>
    </xf>
    <xf numFmtId="10" fontId="51"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3" xfId="0" applyNumberFormat="1" applyFont="1" applyFill="1" applyBorder="1" applyAlignment="1">
      <alignment horizontal="center" vertical="center"/>
    </xf>
    <xf numFmtId="0" fontId="35" fillId="8" borderId="115" xfId="4" applyFont="1" applyFill="1" applyBorder="1" applyAlignment="1">
      <alignment horizontal="center" vertical="center"/>
    </xf>
    <xf numFmtId="0" fontId="35" fillId="8" borderId="117" xfId="4" applyFont="1" applyFill="1" applyBorder="1" applyAlignment="1">
      <alignment horizontal="center" vertical="center"/>
    </xf>
    <xf numFmtId="4" fontId="35" fillId="8" borderId="120" xfId="0" applyNumberFormat="1" applyFont="1" applyFill="1" applyBorder="1" applyAlignment="1">
      <alignment vertical="center"/>
    </xf>
    <xf numFmtId="4" fontId="48"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5" applyFont="1" applyFill="1" applyBorder="1" applyAlignment="1">
      <alignment horizontal="center" vertical="center" wrapText="1"/>
    </xf>
    <xf numFmtId="0" fontId="35" fillId="10" borderId="125" xfId="5" applyFont="1" applyFill="1" applyBorder="1" applyAlignment="1">
      <alignment horizontal="center" vertical="center"/>
    </xf>
    <xf numFmtId="0" fontId="35" fillId="10" borderId="127" xfId="5" applyFont="1" applyFill="1" applyBorder="1" applyAlignment="1">
      <alignment horizontal="center" vertical="center"/>
    </xf>
    <xf numFmtId="20" fontId="35" fillId="10" borderId="129" xfId="5" applyNumberFormat="1" applyFont="1" applyFill="1" applyBorder="1" applyAlignment="1">
      <alignment horizontal="center" vertical="center"/>
    </xf>
    <xf numFmtId="0" fontId="35" fillId="10" borderId="130" xfId="5" applyFont="1" applyFill="1" applyBorder="1" applyAlignment="1">
      <alignment horizontal="center" vertical="center"/>
    </xf>
    <xf numFmtId="10" fontId="35" fillId="8" borderId="120" xfId="1" applyNumberFormat="1" applyFont="1" applyFill="1" applyBorder="1" applyAlignment="1">
      <alignment vertical="center"/>
    </xf>
    <xf numFmtId="10" fontId="48" fillId="8" borderId="120" xfId="1" applyNumberFormat="1" applyFont="1" applyFill="1" applyBorder="1" applyAlignment="1">
      <alignment vertical="center"/>
    </xf>
    <xf numFmtId="0" fontId="48"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3" fillId="2" borderId="0" xfId="0" applyFont="1" applyFill="1" applyAlignment="1">
      <alignment horizontal="left" vertical="center" wrapText="1"/>
    </xf>
    <xf numFmtId="0" fontId="47" fillId="0" borderId="30" xfId="0" applyFont="1" applyBorder="1"/>
    <xf numFmtId="0" fontId="47" fillId="4" borderId="133" xfId="0" applyFont="1" applyFill="1" applyBorder="1"/>
    <xf numFmtId="43" fontId="30" fillId="0" borderId="31" xfId="10" applyFont="1" applyBorder="1"/>
    <xf numFmtId="43" fontId="47" fillId="4" borderId="134" xfId="10" applyFont="1" applyFill="1" applyBorder="1"/>
    <xf numFmtId="43" fontId="30" fillId="0" borderId="136" xfId="10" applyFont="1" applyBorder="1"/>
    <xf numFmtId="0" fontId="47" fillId="0" borderId="135"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5" fillId="4" borderId="141" xfId="0" applyFont="1" applyFill="1" applyBorder="1" applyAlignment="1">
      <alignment horizontal="center" vertical="center"/>
    </xf>
    <xf numFmtId="0" fontId="30" fillId="0" borderId="0" xfId="0" applyFont="1" applyAlignment="1">
      <alignment vertical="center"/>
    </xf>
    <xf numFmtId="0" fontId="54" fillId="4" borderId="140" xfId="0" applyFont="1" applyFill="1" applyBorder="1" applyAlignment="1">
      <alignment vertical="center"/>
    </xf>
    <xf numFmtId="0" fontId="54" fillId="0" borderId="140" xfId="0" applyFont="1" applyBorder="1" applyAlignment="1">
      <alignment vertical="center" wrapText="1"/>
    </xf>
    <xf numFmtId="0" fontId="46" fillId="0" borderId="141" xfId="0" applyFont="1" applyBorder="1" applyAlignment="1">
      <alignment horizontal="center" vertical="center"/>
    </xf>
    <xf numFmtId="0" fontId="45" fillId="0" borderId="141" xfId="0" applyFont="1" applyBorder="1" applyAlignment="1">
      <alignment horizontal="center" vertical="center"/>
    </xf>
    <xf numFmtId="4" fontId="46" fillId="0" borderId="142"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1" applyFont="1" applyFill="1" applyBorder="1" applyAlignment="1">
      <alignment horizontal="center" vertical="center"/>
    </xf>
    <xf numFmtId="4" fontId="0" fillId="2" borderId="102" xfId="0" applyNumberFormat="1" applyFill="1" applyBorder="1" applyAlignment="1">
      <alignment vertical="center"/>
    </xf>
    <xf numFmtId="0" fontId="55" fillId="0" borderId="0" xfId="0" applyFont="1"/>
    <xf numFmtId="0" fontId="56" fillId="0" borderId="0" xfId="0" applyFont="1" applyAlignment="1">
      <alignment vertical="center"/>
    </xf>
    <xf numFmtId="0" fontId="56"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1"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54" fillId="0" borderId="143" xfId="0" applyFont="1" applyBorder="1" applyAlignment="1">
      <alignment vertical="center" wrapText="1"/>
    </xf>
    <xf numFmtId="0" fontId="46" fillId="0" borderId="144" xfId="0" applyFont="1" applyBorder="1" applyAlignment="1">
      <alignment horizontal="center" vertical="center"/>
    </xf>
    <xf numFmtId="4" fontId="46" fillId="0" borderId="145" xfId="0" applyNumberFormat="1" applyFont="1" applyBorder="1" applyAlignment="1">
      <alignment horizontal="center" vertical="center"/>
    </xf>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30" fillId="0" borderId="86" xfId="1" applyNumberFormat="1" applyFont="1" applyBorder="1"/>
    <xf numFmtId="10" fontId="47" fillId="4" borderId="87" xfId="1" applyNumberFormat="1" applyFont="1" applyFill="1" applyBorder="1"/>
    <xf numFmtId="10" fontId="30" fillId="0" borderId="0" xfId="1" applyNumberFormat="1" applyFont="1" applyBorder="1"/>
    <xf numFmtId="10" fontId="29" fillId="0" borderId="0" xfId="1" applyNumberFormat="1" applyFont="1"/>
    <xf numFmtId="171" fontId="58" fillId="6" borderId="0" xfId="2" applyFont="1" applyFill="1"/>
    <xf numFmtId="1" fontId="59" fillId="0" borderId="0" xfId="2" applyNumberFormat="1" applyFont="1" applyAlignment="1">
      <alignment horizontal="center"/>
    </xf>
    <xf numFmtId="172" fontId="59" fillId="0" borderId="0" xfId="2" applyNumberFormat="1" applyFont="1" applyAlignment="1">
      <alignment horizontal="center"/>
    </xf>
    <xf numFmtId="2" fontId="60" fillId="0" borderId="0" xfId="2" applyNumberFormat="1" applyFont="1"/>
    <xf numFmtId="43" fontId="41" fillId="0" borderId="0" xfId="10" applyFont="1" applyAlignment="1">
      <alignment vertical="center"/>
    </xf>
    <xf numFmtId="2" fontId="60" fillId="2" borderId="0" xfId="2" applyNumberFormat="1" applyFont="1" applyFill="1"/>
    <xf numFmtId="2" fontId="61" fillId="0" borderId="0" xfId="0" applyNumberFormat="1" applyFont="1"/>
    <xf numFmtId="166" fontId="41" fillId="0" borderId="0" xfId="0" applyNumberFormat="1" applyFont="1" applyAlignment="1">
      <alignment vertical="center"/>
    </xf>
    <xf numFmtId="2" fontId="56" fillId="0" borderId="0" xfId="0" applyNumberFormat="1" applyFont="1" applyAlignment="1">
      <alignment horizontal="center" vertical="center" wrapText="1"/>
    </xf>
    <xf numFmtId="2" fontId="56" fillId="0" borderId="0" xfId="0" quotePrefix="1" applyNumberFormat="1" applyFont="1" applyAlignment="1">
      <alignment horizontal="center" vertical="center" wrapText="1"/>
    </xf>
    <xf numFmtId="17" fontId="56" fillId="0" borderId="0" xfId="0" quotePrefix="1" applyNumberFormat="1" applyFont="1" applyAlignment="1">
      <alignment horizontal="center" vertical="center" wrapText="1"/>
    </xf>
    <xf numFmtId="0" fontId="56" fillId="0" borderId="0" xfId="0" quotePrefix="1" applyFont="1" applyAlignment="1">
      <alignment horizontal="center" vertical="center" wrapText="1"/>
    </xf>
    <xf numFmtId="0" fontId="56" fillId="0" borderId="0" xfId="0" applyFont="1" applyAlignment="1">
      <alignment horizontal="center"/>
    </xf>
    <xf numFmtId="2" fontId="56" fillId="0" borderId="0" xfId="0" applyNumberFormat="1" applyFont="1" applyAlignment="1">
      <alignment horizontal="left"/>
    </xf>
    <xf numFmtId="2" fontId="53" fillId="0" borderId="0" xfId="0" applyNumberFormat="1" applyFont="1" applyAlignment="1">
      <alignment horizontal="center"/>
    </xf>
    <xf numFmtId="2" fontId="56" fillId="0" borderId="0" xfId="0" applyNumberFormat="1" applyFont="1" applyAlignment="1">
      <alignment horizontal="center"/>
    </xf>
    <xf numFmtId="175" fontId="56" fillId="0" borderId="0" xfId="0" applyNumberFormat="1" applyFont="1"/>
    <xf numFmtId="175" fontId="56" fillId="0" borderId="0" xfId="0" applyNumberFormat="1" applyFont="1" applyAlignment="1">
      <alignment horizontal="center"/>
    </xf>
    <xf numFmtId="43" fontId="56" fillId="0" borderId="0" xfId="10" applyFont="1" applyAlignment="1">
      <alignment horizontal="left"/>
    </xf>
    <xf numFmtId="0" fontId="56"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3" fillId="0" borderId="0" xfId="0" applyFont="1" applyAlignment="1">
      <alignment vertical="center"/>
    </xf>
    <xf numFmtId="49" fontId="56" fillId="0" borderId="0" xfId="0" applyNumberFormat="1" applyFont="1" applyAlignment="1">
      <alignment horizontal="right"/>
    </xf>
    <xf numFmtId="1" fontId="56" fillId="0" borderId="0" xfId="0" applyNumberFormat="1" applyFont="1" applyAlignment="1">
      <alignment horizontal="right"/>
    </xf>
    <xf numFmtId="0" fontId="56" fillId="0" borderId="0" xfId="0" applyFont="1" applyAlignment="1">
      <alignment horizontal="right"/>
    </xf>
    <xf numFmtId="1" fontId="56" fillId="0" borderId="0" xfId="0" applyNumberFormat="1" applyFont="1"/>
    <xf numFmtId="1" fontId="62"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10" fontId="30" fillId="0" borderId="0" xfId="1" applyNumberFormat="1"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1" fillId="0" borderId="0" xfId="0" applyFont="1" applyAlignment="1">
      <alignment vertical="center"/>
    </xf>
    <xf numFmtId="0" fontId="51" fillId="0" borderId="0" xfId="0" applyFont="1" applyAlignment="1">
      <alignment vertical="center" wrapText="1"/>
    </xf>
    <xf numFmtId="0" fontId="41" fillId="2" borderId="0" xfId="0" applyFont="1" applyFill="1" applyAlignment="1">
      <alignment horizontal="right"/>
    </xf>
    <xf numFmtId="0" fontId="63" fillId="0" borderId="0" xfId="0" applyFont="1"/>
    <xf numFmtId="43" fontId="56" fillId="0" borderId="0" xfId="10" applyFont="1"/>
    <xf numFmtId="0" fontId="64" fillId="0" borderId="0" xfId="0" applyFont="1" applyAlignment="1">
      <alignment vertical="center"/>
    </xf>
    <xf numFmtId="0" fontId="63" fillId="0" borderId="0" xfId="0" applyFont="1" applyAlignment="1">
      <alignment vertical="center"/>
    </xf>
    <xf numFmtId="0" fontId="47" fillId="0" borderId="30" xfId="0" applyFont="1" applyBorder="1" applyAlignment="1">
      <alignment vertical="center"/>
    </xf>
    <xf numFmtId="0" fontId="47" fillId="4" borderId="133"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47" fillId="4" borderId="87" xfId="1" applyNumberFormat="1" applyFont="1" applyFill="1" applyBorder="1" applyAlignment="1">
      <alignment vertical="center"/>
    </xf>
    <xf numFmtId="10" fontId="29" fillId="0" borderId="0" xfId="1" applyNumberFormat="1" applyFont="1" applyAlignment="1">
      <alignment vertical="center"/>
    </xf>
    <xf numFmtId="0" fontId="30" fillId="0" borderId="152" xfId="8" applyFont="1" applyBorder="1" applyAlignment="1">
      <alignment horizontal="center" vertical="center" wrapText="1"/>
    </xf>
    <xf numFmtId="22" fontId="30" fillId="0" borderId="152" xfId="8" applyNumberFormat="1" applyFont="1" applyBorder="1" applyAlignment="1">
      <alignment horizontal="center" vertical="center" wrapText="1"/>
    </xf>
    <xf numFmtId="0" fontId="44" fillId="0" borderId="152" xfId="8" applyFont="1" applyBorder="1" applyAlignment="1">
      <alignment horizontal="justify" vertical="center" wrapText="1"/>
    </xf>
    <xf numFmtId="0" fontId="44" fillId="0" borderId="152" xfId="8" applyFont="1" applyBorder="1" applyAlignment="1">
      <alignment horizontal="center" vertical="center" wrapText="1"/>
    </xf>
    <xf numFmtId="0" fontId="65" fillId="0" borderId="0" xfId="0" applyFont="1" applyAlignment="1">
      <alignment vertical="center"/>
    </xf>
    <xf numFmtId="0" fontId="66" fillId="0" borderId="0" xfId="0" applyFont="1" applyAlignment="1">
      <alignment vertical="center"/>
    </xf>
    <xf numFmtId="0" fontId="66" fillId="0" borderId="0" xfId="0" applyFont="1" applyAlignment="1">
      <alignment horizontal="right" vertical="center"/>
    </xf>
    <xf numFmtId="14" fontId="65" fillId="0" borderId="0" xfId="0" applyNumberFormat="1" applyFont="1" applyAlignment="1">
      <alignment vertical="center"/>
    </xf>
    <xf numFmtId="0" fontId="65" fillId="0" borderId="0" xfId="0" applyFont="1" applyAlignment="1">
      <alignment horizontal="center" vertical="center"/>
    </xf>
    <xf numFmtId="0" fontId="66" fillId="0" borderId="0" xfId="0" applyFont="1" applyAlignment="1">
      <alignment horizontal="justify" vertical="center"/>
    </xf>
    <xf numFmtId="0" fontId="67" fillId="0" borderId="0" xfId="0" applyFont="1" applyAlignment="1">
      <alignment vertical="center"/>
    </xf>
    <xf numFmtId="17" fontId="67" fillId="0" borderId="0" xfId="0" applyNumberFormat="1" applyFont="1" applyAlignment="1">
      <alignment horizontal="center" vertical="center"/>
    </xf>
    <xf numFmtId="2" fontId="67" fillId="0" borderId="0" xfId="0" applyNumberFormat="1" applyFont="1" applyAlignment="1">
      <alignment horizontal="center" vertical="center"/>
    </xf>
    <xf numFmtId="0" fontId="67" fillId="0" borderId="0" xfId="0" quotePrefix="1" applyFont="1" applyAlignment="1">
      <alignment vertical="center" wrapText="1"/>
    </xf>
    <xf numFmtId="2" fontId="67" fillId="0" borderId="0" xfId="0" quotePrefix="1" applyNumberFormat="1" applyFont="1" applyAlignment="1">
      <alignment horizontal="center" vertical="center" wrapText="1"/>
    </xf>
    <xf numFmtId="2" fontId="67" fillId="0" borderId="0" xfId="0" applyNumberFormat="1" applyFont="1" applyAlignment="1">
      <alignment vertical="center"/>
    </xf>
    <xf numFmtId="2" fontId="66" fillId="0" borderId="0" xfId="0" applyNumberFormat="1" applyFont="1" applyAlignment="1">
      <alignment vertical="center"/>
    </xf>
    <xf numFmtId="0" fontId="68" fillId="0" borderId="0" xfId="0" applyFont="1" applyAlignment="1">
      <alignment vertical="center"/>
    </xf>
    <xf numFmtId="0" fontId="69" fillId="2" borderId="0" xfId="0" applyFont="1" applyFill="1" applyAlignment="1">
      <alignment vertical="center" wrapText="1"/>
    </xf>
    <xf numFmtId="1" fontId="63" fillId="0" borderId="0" xfId="0" applyNumberFormat="1" applyFont="1" applyAlignment="1">
      <alignment horizontal="right" vertical="center" wrapText="1"/>
    </xf>
    <xf numFmtId="0" fontId="63" fillId="0" borderId="0" xfId="0" applyFont="1" applyAlignment="1">
      <alignment vertical="center" wrapText="1"/>
    </xf>
    <xf numFmtId="49" fontId="63" fillId="0" borderId="0" xfId="0" applyNumberFormat="1" applyFont="1" applyAlignment="1">
      <alignment horizontal="center" vertical="center"/>
    </xf>
    <xf numFmtId="0" fontId="63"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71" fillId="0" borderId="0" xfId="0" applyNumberFormat="1" applyFont="1" applyAlignment="1">
      <alignment horizontal="center" vertical="center"/>
    </xf>
    <xf numFmtId="165" fontId="71" fillId="0" borderId="0" xfId="0" applyNumberFormat="1" applyFont="1" applyAlignment="1">
      <alignment horizontal="right" vertical="center"/>
    </xf>
    <xf numFmtId="166" fontId="71" fillId="0" borderId="0" xfId="0" applyNumberFormat="1" applyFont="1" applyAlignment="1">
      <alignment horizontal="right" vertical="center"/>
    </xf>
    <xf numFmtId="167" fontId="71" fillId="0" borderId="0" xfId="1" applyNumberFormat="1" applyFont="1" applyAlignment="1">
      <alignment horizontal="right" vertical="center"/>
    </xf>
    <xf numFmtId="0" fontId="71" fillId="0" borderId="0" xfId="0" applyFont="1" applyAlignment="1">
      <alignment vertical="center"/>
    </xf>
    <xf numFmtId="175" fontId="72" fillId="0" borderId="0" xfId="0" applyNumberFormat="1" applyFont="1"/>
    <xf numFmtId="172" fontId="58" fillId="6" borderId="0" xfId="2" applyNumberFormat="1" applyFont="1" applyFill="1"/>
    <xf numFmtId="2" fontId="60" fillId="0" borderId="0" xfId="2" applyNumberFormat="1" applyFont="1" applyAlignment="1">
      <alignment horizontal="center"/>
    </xf>
    <xf numFmtId="43" fontId="41" fillId="0" borderId="0" xfId="10" applyFont="1"/>
    <xf numFmtId="172" fontId="59" fillId="7" borderId="0" xfId="2" applyNumberFormat="1" applyFont="1" applyFill="1" applyAlignment="1">
      <alignment horizontal="center"/>
    </xf>
    <xf numFmtId="0" fontId="73" fillId="0" borderId="0" xfId="0" applyFont="1"/>
    <xf numFmtId="175" fontId="41" fillId="0" borderId="0" xfId="0" applyNumberFormat="1" applyFont="1" applyAlignment="1">
      <alignment vertical="center"/>
    </xf>
    <xf numFmtId="2" fontId="74" fillId="0" borderId="0" xfId="3" applyNumberFormat="1" applyFont="1"/>
    <xf numFmtId="0" fontId="30" fillId="0" borderId="0" xfId="0" applyFont="1" applyAlignment="1">
      <alignment horizontal="left" vertical="center"/>
    </xf>
    <xf numFmtId="0" fontId="75" fillId="0" borderId="0" xfId="0" applyFont="1" applyAlignment="1">
      <alignment vertical="center"/>
    </xf>
    <xf numFmtId="49" fontId="76" fillId="0" borderId="0" xfId="0" applyNumberFormat="1" applyFont="1" applyAlignment="1">
      <alignment horizontal="center"/>
    </xf>
    <xf numFmtId="0" fontId="76" fillId="0" borderId="0" xfId="0" applyFont="1"/>
    <xf numFmtId="49" fontId="76" fillId="0" borderId="0" xfId="0" applyNumberFormat="1" applyFont="1" applyAlignment="1">
      <alignment horizontal="right"/>
    </xf>
    <xf numFmtId="0" fontId="76" fillId="0" borderId="0" xfId="0" applyFont="1" applyAlignment="1">
      <alignment horizontal="right"/>
    </xf>
    <xf numFmtId="165" fontId="76" fillId="0" borderId="0" xfId="0" applyNumberFormat="1" applyFont="1" applyAlignment="1">
      <alignment horizontal="right"/>
    </xf>
    <xf numFmtId="1" fontId="76" fillId="0" borderId="0" xfId="0" applyNumberFormat="1" applyFont="1" applyAlignment="1">
      <alignment horizontal="right"/>
    </xf>
    <xf numFmtId="0" fontId="70" fillId="0" borderId="0" xfId="0" applyFont="1" applyAlignment="1">
      <alignment horizontal="center"/>
    </xf>
    <xf numFmtId="175" fontId="70" fillId="0" borderId="0" xfId="0" applyNumberFormat="1" applyFont="1" applyAlignment="1">
      <alignment horizontal="center"/>
    </xf>
    <xf numFmtId="1" fontId="63" fillId="0" borderId="0" xfId="0" applyNumberFormat="1" applyFont="1"/>
    <xf numFmtId="165" fontId="63" fillId="0" borderId="0" xfId="0" applyNumberFormat="1" applyFont="1" applyAlignment="1">
      <alignment horizontal="right"/>
    </xf>
    <xf numFmtId="167" fontId="63" fillId="0" borderId="0" xfId="1" applyNumberFormat="1" applyFont="1" applyAlignment="1">
      <alignment horizontal="right"/>
    </xf>
    <xf numFmtId="166" fontId="63" fillId="0" borderId="0" xfId="0" applyNumberFormat="1" applyFont="1" applyAlignment="1">
      <alignment horizontal="right"/>
    </xf>
    <xf numFmtId="0" fontId="63" fillId="0" borderId="0" xfId="0" applyFont="1" applyAlignment="1">
      <alignment horizontal="right"/>
    </xf>
    <xf numFmtId="0" fontId="63" fillId="0" borderId="0" xfId="0" applyFont="1" applyAlignment="1">
      <alignment horizontal="center"/>
    </xf>
    <xf numFmtId="49" fontId="71" fillId="0" borderId="0" xfId="0" applyNumberFormat="1" applyFont="1" applyAlignment="1">
      <alignment horizontal="right"/>
    </xf>
    <xf numFmtId="49" fontId="71" fillId="0" borderId="0" xfId="0" applyNumberFormat="1" applyFont="1" applyAlignment="1">
      <alignment horizontal="center"/>
    </xf>
    <xf numFmtId="1" fontId="71" fillId="0" borderId="0" xfId="0" applyNumberFormat="1" applyFont="1" applyAlignment="1">
      <alignment horizontal="center"/>
    </xf>
    <xf numFmtId="49" fontId="63" fillId="0" borderId="0" xfId="0" applyNumberFormat="1" applyFont="1" applyAlignment="1">
      <alignment horizontal="center"/>
    </xf>
    <xf numFmtId="1" fontId="63" fillId="0" borderId="0" xfId="0" applyNumberFormat="1" applyFont="1" applyAlignment="1">
      <alignment horizontal="center"/>
    </xf>
    <xf numFmtId="165" fontId="63" fillId="0" borderId="0" xfId="0" applyNumberFormat="1" applyFont="1" applyAlignment="1">
      <alignment horizontal="center"/>
    </xf>
    <xf numFmtId="165" fontId="71" fillId="0" borderId="0" xfId="0" applyNumberFormat="1" applyFont="1" applyAlignment="1">
      <alignment horizontal="center"/>
    </xf>
    <xf numFmtId="0" fontId="71"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72" fillId="0" borderId="0" xfId="0" applyFont="1"/>
    <xf numFmtId="2" fontId="60"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7" fillId="0" borderId="0" xfId="0" applyFont="1"/>
    <xf numFmtId="0" fontId="77" fillId="0" borderId="0" xfId="0" applyFont="1" applyAlignment="1">
      <alignment horizontal="right"/>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0" fontId="12" fillId="0" borderId="0" xfId="0" applyFont="1" applyAlignment="1">
      <alignment horizontal="center" vertical="center"/>
    </xf>
    <xf numFmtId="0" fontId="5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17" fontId="1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0" fillId="2" borderId="0" xfId="0" applyFont="1" applyFill="1" applyAlignment="1">
      <alignment horizontal="left" vertical="center"/>
    </xf>
    <xf numFmtId="43" fontId="46" fillId="0" borderId="78" xfId="10" applyFont="1" applyBorder="1" applyAlignment="1">
      <alignmen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0" applyFont="1" applyFill="1" applyBorder="1" applyAlignment="1">
      <alignment horizontal="center" vertical="center" wrapText="1"/>
    </xf>
    <xf numFmtId="43" fontId="35" fillId="8" borderId="137"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116"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8"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128"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129" xfId="5" applyFont="1" applyFill="1" applyBorder="1" applyAlignment="1">
      <alignment horizontal="center" vertical="center"/>
    </xf>
    <xf numFmtId="0" fontId="35" fillId="10" borderId="123" xfId="5" applyFont="1" applyFill="1" applyBorder="1" applyAlignment="1">
      <alignment horizontal="center" vertical="center"/>
    </xf>
    <xf numFmtId="0" fontId="35" fillId="10" borderId="13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32" xfId="5" applyFont="1" applyFill="1" applyBorder="1" applyAlignment="1">
      <alignment horizontal="center" vertical="center"/>
    </xf>
    <xf numFmtId="0" fontId="30" fillId="0" borderId="0" xfId="0" applyFont="1" applyAlignment="1">
      <alignment horizontal="left" vertical="center"/>
    </xf>
    <xf numFmtId="0" fontId="39" fillId="8" borderId="149" xfId="0" applyFont="1" applyFill="1" applyBorder="1" applyAlignment="1">
      <alignment horizontal="center" vertical="center"/>
    </xf>
    <xf numFmtId="0" fontId="39" fillId="8" borderId="150" xfId="0" applyFont="1" applyFill="1" applyBorder="1" applyAlignment="1">
      <alignment horizontal="center" vertical="center"/>
    </xf>
    <xf numFmtId="0" fontId="39" fillId="8" borderId="151" xfId="0" applyFont="1" applyFill="1" applyBorder="1" applyAlignment="1">
      <alignment horizontal="center" vertical="center"/>
    </xf>
    <xf numFmtId="174" fontId="39" fillId="8" borderId="146" xfId="0" applyNumberFormat="1" applyFont="1" applyFill="1" applyBorder="1" applyAlignment="1">
      <alignment horizontal="center"/>
    </xf>
    <xf numFmtId="174" fontId="39" fillId="8" borderId="147" xfId="0" applyNumberFormat="1" applyFont="1" applyFill="1" applyBorder="1" applyAlignment="1">
      <alignment horizontal="center"/>
    </xf>
    <xf numFmtId="174" fontId="39" fillId="8" borderId="148" xfId="0" applyNumberFormat="1" applyFont="1" applyFill="1" applyBorder="1" applyAlignment="1">
      <alignment horizontal="center"/>
    </xf>
  </cellXfs>
  <cellStyles count="11">
    <cellStyle name="Comma" xfId="10" xr:uid="{9BCC24FE-5DE2-45CE-B0FE-4BFB8519D0F5}"/>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2616.8815129024993</c:v>
                </c:pt>
                <c:pt idx="1">
                  <c:v>1717.6699561725002</c:v>
                </c:pt>
                <c:pt idx="2">
                  <c:v>0</c:v>
                </c:pt>
                <c:pt idx="3">
                  <c:v>1.9145844374999998</c:v>
                </c:pt>
                <c:pt idx="4">
                  <c:v>24.512633592500002</c:v>
                </c:pt>
                <c:pt idx="5">
                  <c:v>171.76328389</c:v>
                </c:pt>
                <c:pt idx="6">
                  <c:v>62.212973372500002</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1717.6699561725002</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1.9145844374999998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24.512633592500002</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171.76328389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62.212973372500002</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RER'!$L$42:$L$48</c:f>
              <c:strCache>
                <c:ptCount val="7"/>
                <c:pt idx="0">
                  <c:v>C.S. RUBI</c:v>
                </c:pt>
                <c:pt idx="1">
                  <c:v>C.S. INTIPAMPA</c:v>
                </c:pt>
                <c:pt idx="2">
                  <c:v>C.S. PANAMERICANA SOLAR</c:v>
                </c:pt>
                <c:pt idx="3">
                  <c:v>C.S. TACNA SOLAR</c:v>
                </c:pt>
                <c:pt idx="4">
                  <c:v>C.S. MAJES SOLAR</c:v>
                </c:pt>
                <c:pt idx="5">
                  <c:v>C.S. REPARTICION</c:v>
                </c:pt>
                <c:pt idx="6">
                  <c:v>C.S. MOQUEGUA FV</c:v>
                </c:pt>
              </c:strCache>
            </c:strRef>
          </c:cat>
          <c:val>
            <c:numRef>
              <c:f>'6. FP RER'!$O$42:$O$48</c:f>
              <c:numCache>
                <c:formatCode>0.00</c:formatCode>
                <c:ptCount val="7"/>
                <c:pt idx="0">
                  <c:v>33.996906249999995</c:v>
                </c:pt>
                <c:pt idx="1">
                  <c:v>8.5170122124999992</c:v>
                </c:pt>
                <c:pt idx="2">
                  <c:v>4.3961172500000005</c:v>
                </c:pt>
                <c:pt idx="3">
                  <c:v>3.8505087499999999</c:v>
                </c:pt>
                <c:pt idx="4">
                  <c:v>3.8187446</c:v>
                </c:pt>
                <c:pt idx="5">
                  <c:v>3.6931134025000003</c:v>
                </c:pt>
                <c:pt idx="6">
                  <c:v>3.6861812500000002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RER'!$L$42:$L$48</c:f>
              <c:strCache>
                <c:ptCount val="7"/>
                <c:pt idx="0">
                  <c:v>C.S. RUBI</c:v>
                </c:pt>
                <c:pt idx="1">
                  <c:v>C.S. INTIPAMPA</c:v>
                </c:pt>
                <c:pt idx="2">
                  <c:v>C.S. PANAMERICANA SOLAR</c:v>
                </c:pt>
                <c:pt idx="3">
                  <c:v>C.S. TACNA SOLAR</c:v>
                </c:pt>
                <c:pt idx="4">
                  <c:v>C.S. MAJES SOLAR</c:v>
                </c:pt>
                <c:pt idx="5">
                  <c:v>C.S. REPARTICION</c:v>
                </c:pt>
                <c:pt idx="6">
                  <c:v>C.S. MOQUEGUA FV</c:v>
                </c:pt>
              </c:strCache>
            </c:strRef>
          </c:cat>
          <c:val>
            <c:numRef>
              <c:f>'6. FP RER'!$P$42:$P$48</c:f>
              <c:numCache>
                <c:formatCode>0.00</c:formatCode>
                <c:ptCount val="7"/>
                <c:pt idx="0">
                  <c:v>0.31627053201172317</c:v>
                </c:pt>
                <c:pt idx="1">
                  <c:v>0.2570183444052947</c:v>
                </c:pt>
                <c:pt idx="2">
                  <c:v>0.29543798723118281</c:v>
                </c:pt>
                <c:pt idx="3">
                  <c:v>0.25877074932795696</c:v>
                </c:pt>
                <c:pt idx="4">
                  <c:v>0.25663606182795701</c:v>
                </c:pt>
                <c:pt idx="5">
                  <c:v>0.24819310500672043</c:v>
                </c:pt>
                <c:pt idx="6">
                  <c:v>0.30965904317876347</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RER'!$L$49:$L$53</c:f>
              <c:strCache>
                <c:ptCount val="5"/>
                <c:pt idx="0">
                  <c:v>C.T. HUAYCOLORO</c:v>
                </c:pt>
                <c:pt idx="1">
                  <c:v>C.T. LA GRINGA</c:v>
                </c:pt>
                <c:pt idx="2">
                  <c:v>C.T. DOÑA CATALINA</c:v>
                </c:pt>
                <c:pt idx="3">
                  <c:v>C.T. CALLAO</c:v>
                </c:pt>
                <c:pt idx="4">
                  <c:v>C.T. PARAMONGA</c:v>
                </c:pt>
              </c:strCache>
            </c:strRef>
          </c:cat>
          <c:val>
            <c:numRef>
              <c:f>'6. FP RER'!$O$49:$O$53</c:f>
              <c:numCache>
                <c:formatCode>0.00</c:formatCode>
                <c:ptCount val="5"/>
                <c:pt idx="0">
                  <c:v>2.2479158725000001</c:v>
                </c:pt>
                <c:pt idx="1">
                  <c:v>1.4853372400000002</c:v>
                </c:pt>
                <c:pt idx="2">
                  <c:v>0.66827041249999997</c:v>
                </c:pt>
                <c:pt idx="3">
                  <c:v>0.50917642500000004</c:v>
                </c:pt>
                <c:pt idx="4">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RER'!$L$49:$L$53</c:f>
              <c:strCache>
                <c:ptCount val="5"/>
                <c:pt idx="0">
                  <c:v>C.T. HUAYCOLORO</c:v>
                </c:pt>
                <c:pt idx="1">
                  <c:v>C.T. LA GRINGA</c:v>
                </c:pt>
                <c:pt idx="2">
                  <c:v>C.T. DOÑA CATALINA</c:v>
                </c:pt>
                <c:pt idx="3">
                  <c:v>C.T. CALLAO</c:v>
                </c:pt>
                <c:pt idx="4">
                  <c:v>C.T. PARAMONGA</c:v>
                </c:pt>
              </c:strCache>
            </c:strRef>
          </c:cat>
          <c:val>
            <c:numRef>
              <c:f>'6. FP RER'!$P$49:$P$53</c:f>
              <c:numCache>
                <c:formatCode>0.00</c:formatCode>
                <c:ptCount val="5"/>
                <c:pt idx="0">
                  <c:v>0.7088310385330937</c:v>
                </c:pt>
                <c:pt idx="1">
                  <c:v>0.67590514321203132</c:v>
                </c:pt>
                <c:pt idx="2">
                  <c:v>0.37425538334453406</c:v>
                </c:pt>
                <c:pt idx="3">
                  <c:v>0.28515704805107533</c:v>
                </c:pt>
                <c:pt idx="4">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2022</c:v>
                </c:pt>
              </c:strCache>
            </c:strRef>
          </c:tx>
          <c:spPr>
            <a:solidFill>
              <a:srgbClr val="0077A5"/>
            </a:solidFill>
          </c:spPr>
          <c:invertIfNegative val="0"/>
          <c:cat>
            <c:multiLvlStrRef>
              <c:f>'6. FP RER'!$S$6:$T$53</c:f>
              <c:multiLvlStrCache>
                <c:ptCount val="48"/>
                <c:lvl>
                  <c:pt idx="0">
                    <c:v>C.H. CHANCAY</c:v>
                  </c:pt>
                  <c:pt idx="1">
                    <c:v>C.H. 8 DE AGOSTO</c:v>
                  </c:pt>
                  <c:pt idx="2">
                    <c:v>C.H. RUCUY</c:v>
                  </c:pt>
                  <c:pt idx="3">
                    <c:v>C.H. RENOVANDES H1</c:v>
                  </c:pt>
                  <c:pt idx="4">
                    <c:v>C.H. RUNATULLO III</c:v>
                  </c:pt>
                  <c:pt idx="5">
                    <c:v>C.H. ÁNGEL II</c:v>
                  </c:pt>
                  <c:pt idx="6">
                    <c:v>C.H. ÁNGEL III</c:v>
                  </c:pt>
                  <c:pt idx="7">
                    <c:v>C.H. ÁNGEL I</c:v>
                  </c:pt>
                  <c:pt idx="8">
                    <c:v>C.H. POTRERO</c:v>
                  </c:pt>
                  <c:pt idx="9">
                    <c:v>C.H. LAS PIZARRAS</c:v>
                  </c:pt>
                  <c:pt idx="10">
                    <c:v>C.H. YARUCAYA</c:v>
                  </c:pt>
                  <c:pt idx="11">
                    <c:v>C.H. RUNATULLO II</c:v>
                  </c:pt>
                  <c:pt idx="12">
                    <c:v>C.H. CARHUAC</c:v>
                  </c:pt>
                  <c:pt idx="13">
                    <c:v>C.H. MANTA I</c:v>
                  </c:pt>
                  <c:pt idx="14">
                    <c:v>C.H. CARHUAQUERO IV</c:v>
                  </c:pt>
                  <c:pt idx="15">
                    <c:v>C.H. HUASAHUASI II</c:v>
                  </c:pt>
                  <c:pt idx="16">
                    <c:v>C.H. HUASAHUASI I</c:v>
                  </c:pt>
                  <c:pt idx="17">
                    <c:v>C.H. POECHOS II</c:v>
                  </c:pt>
                  <c:pt idx="18">
                    <c:v>C.H. EL CARMEN</c:v>
                  </c:pt>
                  <c:pt idx="19">
                    <c:v>C.H. LA JOYA</c:v>
                  </c:pt>
                  <c:pt idx="20">
                    <c:v>C.H. SANTA CRUZ II</c:v>
                  </c:pt>
                  <c:pt idx="21">
                    <c:v>C.H. CAÑA BRAVA</c:v>
                  </c:pt>
                  <c:pt idx="22">
                    <c:v>C.H. SANTA CRUZ I</c:v>
                  </c:pt>
                  <c:pt idx="23">
                    <c:v>C.H. YANAPAMPA</c:v>
                  </c:pt>
                  <c:pt idx="24">
                    <c:v>C.H. CANCHAYLLO</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RER'!$U$6:$U$53</c:f>
              <c:numCache>
                <c:formatCode>0.000</c:formatCode>
                <c:ptCount val="48"/>
                <c:pt idx="0">
                  <c:v>0.94964801497984364</c:v>
                </c:pt>
                <c:pt idx="1">
                  <c:v>0.88870226296131827</c:v>
                </c:pt>
                <c:pt idx="2">
                  <c:v>0.88624160243310246</c:v>
                </c:pt>
                <c:pt idx="3">
                  <c:v>0.85633062849228092</c:v>
                </c:pt>
                <c:pt idx="4">
                  <c:v>0.87896001106129862</c:v>
                </c:pt>
                <c:pt idx="5">
                  <c:v>0.86058488777725306</c:v>
                </c:pt>
                <c:pt idx="6">
                  <c:v>0.85058278542454935</c:v>
                </c:pt>
                <c:pt idx="7">
                  <c:v>0.84726949714365718</c:v>
                </c:pt>
                <c:pt idx="8">
                  <c:v>0.80213309440544533</c:v>
                </c:pt>
                <c:pt idx="9">
                  <c:v>0.83741832498339874</c:v>
                </c:pt>
                <c:pt idx="10">
                  <c:v>0.86184249485223541</c:v>
                </c:pt>
                <c:pt idx="11">
                  <c:v>0.7741807804967048</c:v>
                </c:pt>
                <c:pt idx="12">
                  <c:v>0.69048767786564813</c:v>
                </c:pt>
                <c:pt idx="13">
                  <c:v>0.63843829879418423</c:v>
                </c:pt>
                <c:pt idx="14">
                  <c:v>0.97225573714000324</c:v>
                </c:pt>
                <c:pt idx="15">
                  <c:v>0.79242135166060068</c:v>
                </c:pt>
                <c:pt idx="16">
                  <c:v>0.77739131922266691</c:v>
                </c:pt>
                <c:pt idx="17">
                  <c:v>0.79491296891896379</c:v>
                </c:pt>
                <c:pt idx="18">
                  <c:v>0.7625363726252592</c:v>
                </c:pt>
                <c:pt idx="19">
                  <c:v>0.68954938649358455</c:v>
                </c:pt>
                <c:pt idx="20">
                  <c:v>0.83070491756908893</c:v>
                </c:pt>
                <c:pt idx="21">
                  <c:v>0.93189133729282747</c:v>
                </c:pt>
                <c:pt idx="22">
                  <c:v>0.74404148622155297</c:v>
                </c:pt>
                <c:pt idx="23">
                  <c:v>0.90156376828053775</c:v>
                </c:pt>
                <c:pt idx="24">
                  <c:v>0.66124276400089854</c:v>
                </c:pt>
                <c:pt idx="25">
                  <c:v>0.83782974370599772</c:v>
                </c:pt>
                <c:pt idx="26">
                  <c:v>0.64734967025771784</c:v>
                </c:pt>
                <c:pt idx="27">
                  <c:v>0.1717787164459785</c:v>
                </c:pt>
                <c:pt idx="28">
                  <c:v>0.43786656204026742</c:v>
                </c:pt>
                <c:pt idx="29">
                  <c:v>0.51500016320607211</c:v>
                </c:pt>
                <c:pt idx="30">
                  <c:v>0.62327571910088742</c:v>
                </c:pt>
                <c:pt idx="31">
                  <c:v>0.44797744939529216</c:v>
                </c:pt>
                <c:pt idx="32">
                  <c:v>0.67130427844319129</c:v>
                </c:pt>
                <c:pt idx="33">
                  <c:v>0.41164742655001074</c:v>
                </c:pt>
                <c:pt idx="34">
                  <c:v>0.36311814506898299</c:v>
                </c:pt>
                <c:pt idx="35">
                  <c:v>0.27114464005462879</c:v>
                </c:pt>
                <c:pt idx="36">
                  <c:v>0.3383795840155393</c:v>
                </c:pt>
                <c:pt idx="37">
                  <c:v>0.26734579359364952</c:v>
                </c:pt>
                <c:pt idx="38">
                  <c:v>0.32652902714541943</c:v>
                </c:pt>
                <c:pt idx="39">
                  <c:v>0.32498136541114792</c:v>
                </c:pt>
                <c:pt idx="40">
                  <c:v>0.3344978093956954</c:v>
                </c:pt>
                <c:pt idx="41">
                  <c:v>0.26178993584437088</c:v>
                </c:pt>
                <c:pt idx="42">
                  <c:v>0.24662783992135764</c:v>
                </c:pt>
                <c:pt idx="43" formatCode="_(* #,##0.00_);_(* \(#,##0.00\);_(* &quot;-&quot;??_);_(@_)">
                  <c:v>0.73787272874480148</c:v>
                </c:pt>
                <c:pt idx="44" formatCode="_(* #,##0.00_);_(* \(#,##0.00\);_(* &quot;-&quot;??_);_(@_)">
                  <c:v>0.72214144526875246</c:v>
                </c:pt>
                <c:pt idx="45" formatCode="_(* #,##0.00_);_(* \(#,##0.00\);_(* &quot;-&quot;??_);_(@_)">
                  <c:v>0.70727397572812656</c:v>
                </c:pt>
                <c:pt idx="46" formatCode="_(* #,##0.00_);_(* \(#,##0.00\);_(* &quot;-&quot;??_);_(@_)">
                  <c:v>0.67067745843681026</c:v>
                </c:pt>
                <c:pt idx="47" formatCode="_(* #,##0.00_);_(* \(#,##0.00\);_(* &quot;-&quot;??_);_(@_)">
                  <c:v>0.62968120803440042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2021</c:v>
                </c:pt>
              </c:strCache>
            </c:strRef>
          </c:tx>
          <c:spPr>
            <a:solidFill>
              <a:schemeClr val="accent2"/>
            </a:solidFill>
          </c:spPr>
          <c:invertIfNegative val="0"/>
          <c:cat>
            <c:multiLvlStrRef>
              <c:f>'6. FP RER'!$S$6:$T$53</c:f>
              <c:multiLvlStrCache>
                <c:ptCount val="48"/>
                <c:lvl>
                  <c:pt idx="0">
                    <c:v>C.H. CHANCAY</c:v>
                  </c:pt>
                  <c:pt idx="1">
                    <c:v>C.H. 8 DE AGOSTO</c:v>
                  </c:pt>
                  <c:pt idx="2">
                    <c:v>C.H. RUCUY</c:v>
                  </c:pt>
                  <c:pt idx="3">
                    <c:v>C.H. RENOVANDES H1</c:v>
                  </c:pt>
                  <c:pt idx="4">
                    <c:v>C.H. RUNATULLO III</c:v>
                  </c:pt>
                  <c:pt idx="5">
                    <c:v>C.H. ÁNGEL II</c:v>
                  </c:pt>
                  <c:pt idx="6">
                    <c:v>C.H. ÁNGEL III</c:v>
                  </c:pt>
                  <c:pt idx="7">
                    <c:v>C.H. ÁNGEL I</c:v>
                  </c:pt>
                  <c:pt idx="8">
                    <c:v>C.H. POTRERO</c:v>
                  </c:pt>
                  <c:pt idx="9">
                    <c:v>C.H. LAS PIZARRAS</c:v>
                  </c:pt>
                  <c:pt idx="10">
                    <c:v>C.H. YARUCAYA</c:v>
                  </c:pt>
                  <c:pt idx="11">
                    <c:v>C.H. RUNATULLO II</c:v>
                  </c:pt>
                  <c:pt idx="12">
                    <c:v>C.H. CARHUAC</c:v>
                  </c:pt>
                  <c:pt idx="13">
                    <c:v>C.H. MANTA I</c:v>
                  </c:pt>
                  <c:pt idx="14">
                    <c:v>C.H. CARHUAQUERO IV</c:v>
                  </c:pt>
                  <c:pt idx="15">
                    <c:v>C.H. HUASAHUASI II</c:v>
                  </c:pt>
                  <c:pt idx="16">
                    <c:v>C.H. HUASAHUASI I</c:v>
                  </c:pt>
                  <c:pt idx="17">
                    <c:v>C.H. POECHOS II</c:v>
                  </c:pt>
                  <c:pt idx="18">
                    <c:v>C.H. EL CARMEN</c:v>
                  </c:pt>
                  <c:pt idx="19">
                    <c:v>C.H. LA JOYA</c:v>
                  </c:pt>
                  <c:pt idx="20">
                    <c:v>C.H. SANTA CRUZ II</c:v>
                  </c:pt>
                  <c:pt idx="21">
                    <c:v>C.H. CAÑA BRAVA</c:v>
                  </c:pt>
                  <c:pt idx="22">
                    <c:v>C.H. SANTA CRUZ I</c:v>
                  </c:pt>
                  <c:pt idx="23">
                    <c:v>C.H. YANAPAMPA</c:v>
                  </c:pt>
                  <c:pt idx="24">
                    <c:v>C.H. CANCHAYLLO</c:v>
                  </c:pt>
                  <c:pt idx="25">
                    <c:v>C.H. IMPERIAL</c:v>
                  </c:pt>
                  <c:pt idx="26">
                    <c:v>C.H. RONCADOR</c:v>
                  </c:pt>
                  <c:pt idx="27">
                    <c:v>C.H. PURMACANA</c:v>
                  </c:pt>
                  <c:pt idx="28">
                    <c:v>C.H. HER 1</c:v>
                  </c:pt>
                  <c:pt idx="29">
                    <c:v>C.E. WAYRA I</c:v>
                  </c:pt>
                  <c:pt idx="30">
                    <c:v>C.E. TRES HERMANAS</c:v>
                  </c:pt>
                  <c:pt idx="31">
                    <c:v>C.E. CUPISNIQUE</c:v>
                  </c:pt>
                  <c:pt idx="32">
                    <c:v>C.E. MARCONA</c:v>
                  </c:pt>
                  <c:pt idx="33">
                    <c:v>C.E. TALARA</c:v>
                  </c:pt>
                  <c:pt idx="34">
                    <c:v>C.E. DUNA</c:v>
                  </c:pt>
                  <c:pt idx="35">
                    <c:v>C.E. HUAMBOS</c:v>
                  </c:pt>
                  <c:pt idx="36">
                    <c:v>C.S. RUBI</c:v>
                  </c:pt>
                  <c:pt idx="37">
                    <c:v>C.S. INTIPAMPA</c:v>
                  </c:pt>
                  <c:pt idx="38">
                    <c:v>C.S. TACNA SOLAR</c:v>
                  </c:pt>
                  <c:pt idx="39">
                    <c:v>C.S. PANAMERICANA SOLAR</c:v>
                  </c:pt>
                  <c:pt idx="40">
                    <c:v>C.S. MOQUEGUA FV</c:v>
                  </c:pt>
                  <c:pt idx="41">
                    <c:v>C.S. MAJES SOLAR</c:v>
                  </c:pt>
                  <c:pt idx="42">
                    <c:v>C.S. REPARTICION</c:v>
                  </c:pt>
                  <c:pt idx="43">
                    <c:v>C.T. PARAMONGA</c:v>
                  </c:pt>
                  <c:pt idx="44">
                    <c:v>C.T. HUAYCOLORO</c:v>
                  </c:pt>
                  <c:pt idx="45">
                    <c:v>C.T. LA GRINGA</c:v>
                  </c:pt>
                  <c:pt idx="46">
                    <c:v>C.T. DOÑA CATALINA</c:v>
                  </c:pt>
                  <c:pt idx="47">
                    <c:v>C.T. CALLAO</c:v>
                  </c:pt>
                </c:lvl>
                <c:lvl>
                  <c:pt idx="0">
                    <c:v>HIDROELÉCTRICAS</c:v>
                  </c:pt>
                  <c:pt idx="29">
                    <c:v>EÓLICAS</c:v>
                  </c:pt>
                  <c:pt idx="36">
                    <c:v>SOLARES</c:v>
                  </c:pt>
                  <c:pt idx="43">
                    <c:v>TERMOELÉCTRICAS</c:v>
                  </c:pt>
                </c:lvl>
              </c:multiLvlStrCache>
            </c:multiLvlStrRef>
          </c:cat>
          <c:val>
            <c:numRef>
              <c:f>'6. FP RER'!$V$6:$V$53</c:f>
              <c:numCache>
                <c:formatCode>0.000</c:formatCode>
                <c:ptCount val="48"/>
                <c:pt idx="0">
                  <c:v>0.97687179270143465</c:v>
                </c:pt>
                <c:pt idx="1">
                  <c:v>0.72388712713483361</c:v>
                </c:pt>
                <c:pt idx="2">
                  <c:v>0.96351806298289178</c:v>
                </c:pt>
                <c:pt idx="3">
                  <c:v>0.95233342232181639</c:v>
                </c:pt>
                <c:pt idx="4">
                  <c:v>0.91848482178948143</c:v>
                </c:pt>
                <c:pt idx="5">
                  <c:v>0.92253118111903287</c:v>
                </c:pt>
                <c:pt idx="6">
                  <c:v>0.90808051894931319</c:v>
                </c:pt>
                <c:pt idx="7">
                  <c:v>0.89012340213896812</c:v>
                </c:pt>
                <c:pt idx="8">
                  <c:v>0.94499789375270415</c:v>
                </c:pt>
                <c:pt idx="9">
                  <c:v>0.90014042996716193</c:v>
                </c:pt>
                <c:pt idx="10">
                  <c:v>1</c:v>
                </c:pt>
                <c:pt idx="11">
                  <c:v>0.79713823258846206</c:v>
                </c:pt>
                <c:pt idx="12">
                  <c:v>0.78346565583609273</c:v>
                </c:pt>
                <c:pt idx="13">
                  <c:v>0.56402234871688739</c:v>
                </c:pt>
                <c:pt idx="14">
                  <c:v>0.87435144795821773</c:v>
                </c:pt>
                <c:pt idx="15">
                  <c:v>0.88008714685505796</c:v>
                </c:pt>
                <c:pt idx="16">
                  <c:v>0.85827154222834812</c:v>
                </c:pt>
                <c:pt idx="17">
                  <c:v>0.70586771346931421</c:v>
                </c:pt>
                <c:pt idx="18">
                  <c:v>0.77351834498512895</c:v>
                </c:pt>
                <c:pt idx="19">
                  <c:v>0.80449943998542128</c:v>
                </c:pt>
                <c:pt idx="20">
                  <c:v>0.76189919179547749</c:v>
                </c:pt>
                <c:pt idx="21">
                  <c:v>0.84236796722613505</c:v>
                </c:pt>
                <c:pt idx="22">
                  <c:v>0.75427654879926043</c:v>
                </c:pt>
                <c:pt idx="23">
                  <c:v>0.91946992785344528</c:v>
                </c:pt>
                <c:pt idx="24">
                  <c:v>0.6864335795931451</c:v>
                </c:pt>
                <c:pt idx="25">
                  <c:v>0.79516698854814738</c:v>
                </c:pt>
                <c:pt idx="26">
                  <c:v>0.71989216684428214</c:v>
                </c:pt>
                <c:pt idx="27">
                  <c:v>0.25079207662967745</c:v>
                </c:pt>
                <c:pt idx="28">
                  <c:v>0.44559750473036902</c:v>
                </c:pt>
                <c:pt idx="29">
                  <c:v>0.50803505645574387</c:v>
                </c:pt>
                <c:pt idx="30">
                  <c:v>0.62223926140307817</c:v>
                </c:pt>
                <c:pt idx="31">
                  <c:v>0.42591032525695599</c:v>
                </c:pt>
                <c:pt idx="32">
                  <c:v>0.65880434943260202</c:v>
                </c:pt>
                <c:pt idx="33">
                  <c:v>0.37256993097253288</c:v>
                </c:pt>
                <c:pt idx="34">
                  <c:v>0.49630021042958072</c:v>
                </c:pt>
                <c:pt idx="35">
                  <c:v>0.30246043177574472</c:v>
                </c:pt>
                <c:pt idx="36">
                  <c:v>0.33561772864767836</c:v>
                </c:pt>
                <c:pt idx="37">
                  <c:v>0.26103761601608688</c:v>
                </c:pt>
                <c:pt idx="38">
                  <c:v>0.32758004856512146</c:v>
                </c:pt>
                <c:pt idx="39">
                  <c:v>0.33108225538079467</c:v>
                </c:pt>
                <c:pt idx="40">
                  <c:v>0.34155192548806562</c:v>
                </c:pt>
                <c:pt idx="41">
                  <c:v>0.23791210954746136</c:v>
                </c:pt>
                <c:pt idx="42">
                  <c:v>0.2389600539804084</c:v>
                </c:pt>
                <c:pt idx="43">
                  <c:v>0.81493614402554293</c:v>
                </c:pt>
                <c:pt idx="44">
                  <c:v>0.89811038644293817</c:v>
                </c:pt>
                <c:pt idx="45">
                  <c:v>0.89463862476225231</c:v>
                </c:pt>
                <c:pt idx="46">
                  <c:v>0.77639503512463226</c:v>
                </c:pt>
                <c:pt idx="47">
                  <c:v>0.59347371545023919</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2022</c:v>
                </c:pt>
              </c:strCache>
            </c:strRef>
          </c:tx>
          <c:spPr>
            <a:solidFill>
              <a:srgbClr val="0077A5"/>
            </a:solidFill>
          </c:spPr>
          <c:invertIfNegative val="0"/>
          <c:cat>
            <c:strRef>
              <c:f>'7. Generacion empresa'!$L$4:$L$67</c:f>
              <c:strCache>
                <c:ptCount val="64"/>
                <c:pt idx="0">
                  <c:v>ELECTRO ZAÑA</c:v>
                </c:pt>
                <c:pt idx="1">
                  <c:v>SDF ENERGIA</c:v>
                </c:pt>
                <c:pt idx="2">
                  <c:v>CERRO VERDE</c:v>
                </c:pt>
                <c:pt idx="3">
                  <c:v>ATRIA</c:v>
                </c:pt>
                <c:pt idx="4">
                  <c:v>AIPSA</c:v>
                </c:pt>
                <c:pt idx="5">
                  <c:v>IYEPSA</c:v>
                </c:pt>
                <c:pt idx="6">
                  <c:v>PLANTA  ETEN</c:v>
                </c:pt>
                <c:pt idx="7">
                  <c:v>SAMAY I</c:v>
                </c:pt>
                <c:pt idx="8">
                  <c:v>HYDRO PATAPO</c:v>
                </c:pt>
                <c:pt idx="9">
                  <c:v>COLCA SOLAR</c:v>
                </c:pt>
                <c:pt idx="10">
                  <c:v>MAJA ENERGIA</c:v>
                </c:pt>
                <c:pt idx="11">
                  <c:v>SHOUGESA</c:v>
                </c:pt>
                <c:pt idx="12">
                  <c:v>CENTRALES SANTA ROSA</c:v>
                </c:pt>
                <c:pt idx="13">
                  <c:v>EGECSAC</c:v>
                </c:pt>
                <c:pt idx="14">
                  <c:v>HIDROCAÑETE</c:v>
                </c:pt>
                <c:pt idx="15">
                  <c:v>ELECTRICA YANAPAMPA</c:v>
                </c:pt>
                <c:pt idx="16">
                  <c:v>INVERSION DE ENERGÍA RENOVABLES</c:v>
                </c:pt>
                <c:pt idx="17">
                  <c:v>MOQUEGUA FV</c:v>
                </c:pt>
                <c:pt idx="18">
                  <c:v>REPARTICION</c:v>
                </c:pt>
                <c:pt idx="19">
                  <c:v>MAJES</c:v>
                </c:pt>
                <c:pt idx="20">
                  <c:v>TACNA SOLAR</c:v>
                </c:pt>
                <c:pt idx="21">
                  <c:v>PANAMERICANA SOLAR</c:v>
                </c:pt>
                <c:pt idx="22">
                  <c:v>SAN JACINTO</c:v>
                </c:pt>
                <c:pt idx="23">
                  <c:v>GR PAINO</c:v>
                </c:pt>
                <c:pt idx="24">
                  <c:v>PETRAMAS</c:v>
                </c:pt>
                <c:pt idx="25">
                  <c:v>ANDEAN POWER</c:v>
                </c:pt>
                <c:pt idx="26">
                  <c:v>BIOENERGIA</c:v>
                </c:pt>
                <c:pt idx="27">
                  <c:v>GR TARUCA</c:v>
                </c:pt>
                <c:pt idx="28">
                  <c:v>AGROAURORA</c:v>
                </c:pt>
                <c:pt idx="29">
                  <c:v>TERMOSELVA</c:v>
                </c:pt>
                <c:pt idx="30">
                  <c:v>RIO DOBLE</c:v>
                </c:pt>
                <c:pt idx="31">
                  <c:v>AGUA AZUL</c:v>
                </c:pt>
                <c:pt idx="32">
                  <c:v>RIO BAÑOS</c:v>
                </c:pt>
                <c:pt idx="33">
                  <c:v>HUAURA POWER</c:v>
                </c:pt>
                <c:pt idx="34">
                  <c:v>HIDROELECTRICA HUANCHOR</c:v>
                </c:pt>
                <c:pt idx="35">
                  <c:v>SANTA ANA</c:v>
                </c:pt>
                <c:pt idx="36">
                  <c:v>CELEPSA RENOVABLES</c:v>
                </c:pt>
                <c:pt idx="37">
                  <c:v>P.E. MARCONA</c:v>
                </c:pt>
                <c:pt idx="38">
                  <c:v>GENERACIÓN ANDINA</c:v>
                </c:pt>
                <c:pt idx="39">
                  <c:v>EGESUR</c:v>
                </c:pt>
                <c:pt idx="40">
                  <c:v>SINERSA</c:v>
                </c:pt>
                <c:pt idx="41">
                  <c:v>GEPSA</c:v>
                </c:pt>
                <c:pt idx="42">
                  <c:v>EMGE HUANZA</c:v>
                </c:pt>
                <c:pt idx="43">
                  <c:v>EMGE JUNÍN</c:v>
                </c:pt>
                <c:pt idx="44">
                  <c:v>TERMOCHILCA</c:v>
                </c:pt>
                <c:pt idx="45">
                  <c:v>LA VIRGEN</c:v>
                </c:pt>
                <c:pt idx="46">
                  <c:v>P.E. TRES HERMANAS</c:v>
                </c:pt>
                <c:pt idx="47">
                  <c:v>ENERGÍA EÓLICA</c:v>
                </c:pt>
                <c:pt idx="48">
                  <c:v>SAN GABAN</c:v>
                </c:pt>
                <c:pt idx="49">
                  <c:v>ENEL GENERACION PIURA</c:v>
                </c:pt>
                <c:pt idx="50">
                  <c:v>INLAND</c:v>
                </c:pt>
                <c:pt idx="51">
                  <c:v>EGASA</c:v>
                </c:pt>
                <c:pt idx="52">
                  <c:v>ENEL GREEN POWER PERU</c:v>
                </c:pt>
                <c:pt idx="53">
                  <c:v>CELEPSA</c:v>
                </c:pt>
                <c:pt idx="54">
                  <c:v>CHINANGO</c:v>
                </c:pt>
                <c:pt idx="55">
                  <c:v>EGEMSA</c:v>
                </c:pt>
                <c:pt idx="56">
                  <c:v>EMGE HUALLAGA</c:v>
                </c:pt>
                <c:pt idx="57">
                  <c:v>STATKRAFT</c:v>
                </c:pt>
                <c:pt idx="58">
                  <c:v>ORAZUL ENERGY PERÚ</c:v>
                </c:pt>
                <c:pt idx="59">
                  <c:v>FENIX POWER</c:v>
                </c:pt>
                <c:pt idx="60">
                  <c:v>ENGIE</c:v>
                </c:pt>
                <c:pt idx="61">
                  <c:v>ENEL GENERACION PERU</c:v>
                </c:pt>
                <c:pt idx="62">
                  <c:v>ELECTROPERU</c:v>
                </c:pt>
                <c:pt idx="63">
                  <c:v>KALLPA</c:v>
                </c:pt>
              </c:strCache>
            </c:strRef>
          </c:cat>
          <c:val>
            <c:numRef>
              <c:f>'7. Generacion empresa'!$M$4:$M$67</c:f>
              <c:numCache>
                <c:formatCode>General</c:formatCode>
                <c:ptCount val="64"/>
                <c:pt idx="1">
                  <c:v>0</c:v>
                </c:pt>
                <c:pt idx="2">
                  <c:v>0</c:v>
                </c:pt>
                <c:pt idx="3">
                  <c:v>0</c:v>
                </c:pt>
                <c:pt idx="4">
                  <c:v>0</c:v>
                </c:pt>
                <c:pt idx="5">
                  <c:v>1.0664450000000001E-3</c:v>
                </c:pt>
                <c:pt idx="6">
                  <c:v>2.0167449999999999E-3</c:v>
                </c:pt>
                <c:pt idx="7">
                  <c:v>2.0572499999999997E-2</c:v>
                </c:pt>
                <c:pt idx="8">
                  <c:v>0.19607749999999999</c:v>
                </c:pt>
                <c:pt idx="9">
                  <c:v>0.25438965749999998</c:v>
                </c:pt>
                <c:pt idx="10">
                  <c:v>0.88898949999999999</c:v>
                </c:pt>
                <c:pt idx="11">
                  <c:v>0.93733993999999998</c:v>
                </c:pt>
                <c:pt idx="12">
                  <c:v>1.9232616025000002</c:v>
                </c:pt>
                <c:pt idx="13">
                  <c:v>1.9864998225000001</c:v>
                </c:pt>
                <c:pt idx="14">
                  <c:v>2.3294999999999999</c:v>
                </c:pt>
                <c:pt idx="15">
                  <c:v>2.6795507250000004</c:v>
                </c:pt>
                <c:pt idx="16">
                  <c:v>3.0608849125000002</c:v>
                </c:pt>
                <c:pt idx="17">
                  <c:v>3.6861812500000002</c:v>
                </c:pt>
                <c:pt idx="18">
                  <c:v>3.6931134025000003</c:v>
                </c:pt>
                <c:pt idx="19">
                  <c:v>3.8187446</c:v>
                </c:pt>
                <c:pt idx="20">
                  <c:v>3.8505087499999999</c:v>
                </c:pt>
                <c:pt idx="21">
                  <c:v>4.3961172500000005</c:v>
                </c:pt>
                <c:pt idx="22">
                  <c:v>4.7678055800000001</c:v>
                </c:pt>
                <c:pt idx="23">
                  <c:v>4.8271659575000001</c:v>
                </c:pt>
                <c:pt idx="24">
                  <c:v>4.9106999500000006</c:v>
                </c:pt>
                <c:pt idx="25">
                  <c:v>6.3175623700000001</c:v>
                </c:pt>
                <c:pt idx="26">
                  <c:v>6.396884375</c:v>
                </c:pt>
                <c:pt idx="27">
                  <c:v>7.3036391325000007</c:v>
                </c:pt>
                <c:pt idx="28">
                  <c:v>8.4372436875000005</c:v>
                </c:pt>
                <c:pt idx="29">
                  <c:v>9.7057670099999989</c:v>
                </c:pt>
                <c:pt idx="30">
                  <c:v>11.585898784999998</c:v>
                </c:pt>
                <c:pt idx="31">
                  <c:v>12.083802577499998</c:v>
                </c:pt>
                <c:pt idx="32">
                  <c:v>13.080604107500001</c:v>
                </c:pt>
                <c:pt idx="33">
                  <c:v>13.584064712500002</c:v>
                </c:pt>
                <c:pt idx="34">
                  <c:v>13.888063915</c:v>
                </c:pt>
                <c:pt idx="35">
                  <c:v>14.6079875</c:v>
                </c:pt>
                <c:pt idx="36">
                  <c:v>14.768044275000001</c:v>
                </c:pt>
                <c:pt idx="37">
                  <c:v>14.89197506</c:v>
                </c:pt>
                <c:pt idx="38">
                  <c:v>16.777196455000002</c:v>
                </c:pt>
                <c:pt idx="39">
                  <c:v>18.561354492500001</c:v>
                </c:pt>
                <c:pt idx="40">
                  <c:v>20.219000432500003</c:v>
                </c:pt>
                <c:pt idx="41">
                  <c:v>23.9135478275</c:v>
                </c:pt>
                <c:pt idx="42">
                  <c:v>24.059927612500001</c:v>
                </c:pt>
                <c:pt idx="43">
                  <c:v>27.255888474999999</c:v>
                </c:pt>
                <c:pt idx="44">
                  <c:v>31.047562005</c:v>
                </c:pt>
                <c:pt idx="45">
                  <c:v>38.949332497500002</c:v>
                </c:pt>
                <c:pt idx="46">
                  <c:v>40.466045890000004</c:v>
                </c:pt>
                <c:pt idx="47">
                  <c:v>52.720985349999999</c:v>
                </c:pt>
                <c:pt idx="48">
                  <c:v>61.9998369475</c:v>
                </c:pt>
                <c:pt idx="49">
                  <c:v>62.75949</c:v>
                </c:pt>
                <c:pt idx="50">
                  <c:v>65.70272180500001</c:v>
                </c:pt>
                <c:pt idx="51">
                  <c:v>72.3474614</c:v>
                </c:pt>
                <c:pt idx="52">
                  <c:v>85.550378749999993</c:v>
                </c:pt>
                <c:pt idx="53">
                  <c:v>96.643174674999997</c:v>
                </c:pt>
                <c:pt idx="54">
                  <c:v>98.50874675</c:v>
                </c:pt>
                <c:pt idx="55">
                  <c:v>119.12282750000001</c:v>
                </c:pt>
                <c:pt idx="56">
                  <c:v>155.8943597375</c:v>
                </c:pt>
                <c:pt idx="57">
                  <c:v>210.44621342500002</c:v>
                </c:pt>
                <c:pt idx="58">
                  <c:v>211.23782075</c:v>
                </c:pt>
                <c:pt idx="59">
                  <c:v>378.17861547749999</c:v>
                </c:pt>
                <c:pt idx="60">
                  <c:v>541.97623009500001</c:v>
                </c:pt>
                <c:pt idx="61">
                  <c:v>580.23964099999989</c:v>
                </c:pt>
                <c:pt idx="62">
                  <c:v>624.43300392000003</c:v>
                </c:pt>
                <c:pt idx="63">
                  <c:v>741.06155749999994</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2021</c:v>
                </c:pt>
              </c:strCache>
            </c:strRef>
          </c:tx>
          <c:spPr>
            <a:solidFill>
              <a:schemeClr val="accent2"/>
            </a:solidFill>
          </c:spPr>
          <c:invertIfNegative val="0"/>
          <c:cat>
            <c:strRef>
              <c:f>'7. Generacion empresa'!$L$4:$L$67</c:f>
              <c:strCache>
                <c:ptCount val="64"/>
                <c:pt idx="0">
                  <c:v>ELECTRO ZAÑA</c:v>
                </c:pt>
                <c:pt idx="1">
                  <c:v>SDF ENERGIA</c:v>
                </c:pt>
                <c:pt idx="2">
                  <c:v>CERRO VERDE</c:v>
                </c:pt>
                <c:pt idx="3">
                  <c:v>ATRIA</c:v>
                </c:pt>
                <c:pt idx="4">
                  <c:v>AIPSA</c:v>
                </c:pt>
                <c:pt idx="5">
                  <c:v>IYEPSA</c:v>
                </c:pt>
                <c:pt idx="6">
                  <c:v>PLANTA  ETEN</c:v>
                </c:pt>
                <c:pt idx="7">
                  <c:v>SAMAY I</c:v>
                </c:pt>
                <c:pt idx="8">
                  <c:v>HYDRO PATAPO</c:v>
                </c:pt>
                <c:pt idx="9">
                  <c:v>COLCA SOLAR</c:v>
                </c:pt>
                <c:pt idx="10">
                  <c:v>MAJA ENERGIA</c:v>
                </c:pt>
                <c:pt idx="11">
                  <c:v>SHOUGESA</c:v>
                </c:pt>
                <c:pt idx="12">
                  <c:v>CENTRALES SANTA ROSA</c:v>
                </c:pt>
                <c:pt idx="13">
                  <c:v>EGECSAC</c:v>
                </c:pt>
                <c:pt idx="14">
                  <c:v>HIDROCAÑETE</c:v>
                </c:pt>
                <c:pt idx="15">
                  <c:v>ELECTRICA YANAPAMPA</c:v>
                </c:pt>
                <c:pt idx="16">
                  <c:v>INVERSION DE ENERGÍA RENOVABLES</c:v>
                </c:pt>
                <c:pt idx="17">
                  <c:v>MOQUEGUA FV</c:v>
                </c:pt>
                <c:pt idx="18">
                  <c:v>REPARTICION</c:v>
                </c:pt>
                <c:pt idx="19">
                  <c:v>MAJES</c:v>
                </c:pt>
                <c:pt idx="20">
                  <c:v>TACNA SOLAR</c:v>
                </c:pt>
                <c:pt idx="21">
                  <c:v>PANAMERICANA SOLAR</c:v>
                </c:pt>
                <c:pt idx="22">
                  <c:v>SAN JACINTO</c:v>
                </c:pt>
                <c:pt idx="23">
                  <c:v>GR PAINO</c:v>
                </c:pt>
                <c:pt idx="24">
                  <c:v>PETRAMAS</c:v>
                </c:pt>
                <c:pt idx="25">
                  <c:v>ANDEAN POWER</c:v>
                </c:pt>
                <c:pt idx="26">
                  <c:v>BIOENERGIA</c:v>
                </c:pt>
                <c:pt idx="27">
                  <c:v>GR TARUCA</c:v>
                </c:pt>
                <c:pt idx="28">
                  <c:v>AGROAURORA</c:v>
                </c:pt>
                <c:pt idx="29">
                  <c:v>TERMOSELVA</c:v>
                </c:pt>
                <c:pt idx="30">
                  <c:v>RIO DOBLE</c:v>
                </c:pt>
                <c:pt idx="31">
                  <c:v>AGUA AZUL</c:v>
                </c:pt>
                <c:pt idx="32">
                  <c:v>RIO BAÑOS</c:v>
                </c:pt>
                <c:pt idx="33">
                  <c:v>HUAURA POWER</c:v>
                </c:pt>
                <c:pt idx="34">
                  <c:v>HIDROELECTRICA HUANCHOR</c:v>
                </c:pt>
                <c:pt idx="35">
                  <c:v>SANTA ANA</c:v>
                </c:pt>
                <c:pt idx="36">
                  <c:v>CELEPSA RENOVABLES</c:v>
                </c:pt>
                <c:pt idx="37">
                  <c:v>P.E. MARCONA</c:v>
                </c:pt>
                <c:pt idx="38">
                  <c:v>GENERACIÓN ANDINA</c:v>
                </c:pt>
                <c:pt idx="39">
                  <c:v>EGESUR</c:v>
                </c:pt>
                <c:pt idx="40">
                  <c:v>SINERSA</c:v>
                </c:pt>
                <c:pt idx="41">
                  <c:v>GEPSA</c:v>
                </c:pt>
                <c:pt idx="42">
                  <c:v>EMGE HUANZA</c:v>
                </c:pt>
                <c:pt idx="43">
                  <c:v>EMGE JUNÍN</c:v>
                </c:pt>
                <c:pt idx="44">
                  <c:v>TERMOCHILCA</c:v>
                </c:pt>
                <c:pt idx="45">
                  <c:v>LA VIRGEN</c:v>
                </c:pt>
                <c:pt idx="46">
                  <c:v>P.E. TRES HERMANAS</c:v>
                </c:pt>
                <c:pt idx="47">
                  <c:v>ENERGÍA EÓLICA</c:v>
                </c:pt>
                <c:pt idx="48">
                  <c:v>SAN GABAN</c:v>
                </c:pt>
                <c:pt idx="49">
                  <c:v>ENEL GENERACION PIURA</c:v>
                </c:pt>
                <c:pt idx="50">
                  <c:v>INLAND</c:v>
                </c:pt>
                <c:pt idx="51">
                  <c:v>EGASA</c:v>
                </c:pt>
                <c:pt idx="52">
                  <c:v>ENEL GREEN POWER PERU</c:v>
                </c:pt>
                <c:pt idx="53">
                  <c:v>CELEPSA</c:v>
                </c:pt>
                <c:pt idx="54">
                  <c:v>CHINANGO</c:v>
                </c:pt>
                <c:pt idx="55">
                  <c:v>EGEMSA</c:v>
                </c:pt>
                <c:pt idx="56">
                  <c:v>EMGE HUALLAGA</c:v>
                </c:pt>
                <c:pt idx="57">
                  <c:v>STATKRAFT</c:v>
                </c:pt>
                <c:pt idx="58">
                  <c:v>ORAZUL ENERGY PERÚ</c:v>
                </c:pt>
                <c:pt idx="59">
                  <c:v>FENIX POWER</c:v>
                </c:pt>
                <c:pt idx="60">
                  <c:v>ENGIE</c:v>
                </c:pt>
                <c:pt idx="61">
                  <c:v>ENEL GENERACION PERU</c:v>
                </c:pt>
                <c:pt idx="62">
                  <c:v>ELECTROPERU</c:v>
                </c:pt>
                <c:pt idx="63">
                  <c:v>KALLPA</c:v>
                </c:pt>
              </c:strCache>
            </c:strRef>
          </c:cat>
          <c:val>
            <c:numRef>
              <c:f>'7. Generacion empresa'!$N$4:$N$67</c:f>
              <c:numCache>
                <c:formatCode>General</c:formatCode>
                <c:ptCount val="64"/>
                <c:pt idx="0">
                  <c:v>9.7665309674999996</c:v>
                </c:pt>
                <c:pt idx="1">
                  <c:v>0.62750818749999993</c:v>
                </c:pt>
                <c:pt idx="2">
                  <c:v>0.38358560999999997</c:v>
                </c:pt>
                <c:pt idx="3">
                  <c:v>0.41467641999999999</c:v>
                </c:pt>
                <c:pt idx="4">
                  <c:v>4.7920555125000002</c:v>
                </c:pt>
                <c:pt idx="5">
                  <c:v>2.7302525E-3</c:v>
                </c:pt>
                <c:pt idx="6">
                  <c:v>2.2970072500000001E-2</c:v>
                </c:pt>
                <c:pt idx="7">
                  <c:v>0</c:v>
                </c:pt>
                <c:pt idx="8">
                  <c:v>2.3376999999999998E-2</c:v>
                </c:pt>
                <c:pt idx="10">
                  <c:v>1.7517523274999998</c:v>
                </c:pt>
                <c:pt idx="11">
                  <c:v>1.7214742324999999</c:v>
                </c:pt>
                <c:pt idx="13">
                  <c:v>2.0953566124999998</c:v>
                </c:pt>
                <c:pt idx="14">
                  <c:v>1.8019000000000001</c:v>
                </c:pt>
                <c:pt idx="15">
                  <c:v>2.7406058400000002</c:v>
                </c:pt>
                <c:pt idx="16">
                  <c:v>13.709198929999999</c:v>
                </c:pt>
                <c:pt idx="17">
                  <c:v>3.4601413525</c:v>
                </c:pt>
                <c:pt idx="18">
                  <c:v>3.4572158975000002</c:v>
                </c:pt>
                <c:pt idx="19">
                  <c:v>3.4916725</c:v>
                </c:pt>
                <c:pt idx="20">
                  <c:v>3.6118440125000002</c:v>
                </c:pt>
                <c:pt idx="21">
                  <c:v>4.1329311324999995</c:v>
                </c:pt>
                <c:pt idx="22">
                  <c:v>0.8851945</c:v>
                </c:pt>
                <c:pt idx="23">
                  <c:v>4.1338114099999999</c:v>
                </c:pt>
                <c:pt idx="24">
                  <c:v>6.346243125</c:v>
                </c:pt>
                <c:pt idx="25">
                  <c:v>7.4442561574999999</c:v>
                </c:pt>
                <c:pt idx="26">
                  <c:v>7.3781249999999998</c:v>
                </c:pt>
                <c:pt idx="27">
                  <c:v>6.7830739400000004</c:v>
                </c:pt>
                <c:pt idx="28">
                  <c:v>4.5157855775</c:v>
                </c:pt>
                <c:pt idx="29">
                  <c:v>17.322918357500001</c:v>
                </c:pt>
                <c:pt idx="30">
                  <c:v>13.17661249</c:v>
                </c:pt>
                <c:pt idx="31">
                  <c:v>13.426649415</c:v>
                </c:pt>
                <c:pt idx="32">
                  <c:v>13.484160844999998</c:v>
                </c:pt>
                <c:pt idx="33">
                  <c:v>13.6813272875</c:v>
                </c:pt>
                <c:pt idx="34">
                  <c:v>10.6356215125</c:v>
                </c:pt>
                <c:pt idx="35">
                  <c:v>14.8954067325</c:v>
                </c:pt>
                <c:pt idx="36">
                  <c:v>13.310267475</c:v>
                </c:pt>
                <c:pt idx="37">
                  <c:v>15.2816859275</c:v>
                </c:pt>
                <c:pt idx="38">
                  <c:v>9.1367877750000002</c:v>
                </c:pt>
                <c:pt idx="39">
                  <c:v>14.199676887500001</c:v>
                </c:pt>
                <c:pt idx="40">
                  <c:v>20.20575358</c:v>
                </c:pt>
                <c:pt idx="41">
                  <c:v>33.579966734999999</c:v>
                </c:pt>
                <c:pt idx="42">
                  <c:v>26.237275390000001</c:v>
                </c:pt>
                <c:pt idx="43">
                  <c:v>28.16706224</c:v>
                </c:pt>
                <c:pt idx="44">
                  <c:v>0</c:v>
                </c:pt>
                <c:pt idx="45">
                  <c:v>27.53754378</c:v>
                </c:pt>
                <c:pt idx="46">
                  <c:v>44.686287324999995</c:v>
                </c:pt>
                <c:pt idx="47">
                  <c:v>35.751496702499999</c:v>
                </c:pt>
                <c:pt idx="48">
                  <c:v>69.687704707499989</c:v>
                </c:pt>
                <c:pt idx="49">
                  <c:v>67.452271127499998</c:v>
                </c:pt>
                <c:pt idx="50">
                  <c:v>65.629858952500001</c:v>
                </c:pt>
                <c:pt idx="51">
                  <c:v>71.857315112500004</c:v>
                </c:pt>
                <c:pt idx="52">
                  <c:v>84.004271630000005</c:v>
                </c:pt>
                <c:pt idx="53">
                  <c:v>102.69447055250001</c:v>
                </c:pt>
                <c:pt idx="54">
                  <c:v>94.361349082499999</c:v>
                </c:pt>
                <c:pt idx="55">
                  <c:v>120.18486397000001</c:v>
                </c:pt>
                <c:pt idx="56">
                  <c:v>148.02829735</c:v>
                </c:pt>
                <c:pt idx="57">
                  <c:v>198.79092777749997</c:v>
                </c:pt>
                <c:pt idx="58">
                  <c:v>194.34208764500002</c:v>
                </c:pt>
                <c:pt idx="59">
                  <c:v>354.99964174000002</c:v>
                </c:pt>
                <c:pt idx="60">
                  <c:v>611.95661115500002</c:v>
                </c:pt>
                <c:pt idx="61">
                  <c:v>586.96947480750009</c:v>
                </c:pt>
                <c:pt idx="62">
                  <c:v>613.65687095999999</c:v>
                </c:pt>
                <c:pt idx="63">
                  <c:v>683.98316573500006</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2022</c:v>
                </c:pt>
                <c:pt idx="1">
                  <c:v>2021</c:v>
                </c:pt>
                <c:pt idx="2">
                  <c:v>2020</c:v>
                </c:pt>
              </c:numCache>
            </c:numRef>
          </c:cat>
          <c:val>
            <c:numRef>
              <c:f>('8. Max Potencia'!$G$10:$H$10,'8. Max Potencia'!$J$10)</c:f>
              <c:numCache>
                <c:formatCode>_(* #,##0.00_);_(* \(#,##0.00\);_(* "-"??_);_(@_)</c:formatCode>
                <c:ptCount val="3"/>
                <c:pt idx="0">
                  <c:v>4553.9270599999991</c:v>
                </c:pt>
                <c:pt idx="1">
                  <c:v>4594.55105</c:v>
                </c:pt>
                <c:pt idx="2">
                  <c:v>4604.1638600000006</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2022</c:v>
                </c:pt>
                <c:pt idx="1">
                  <c:v>2021</c:v>
                </c:pt>
                <c:pt idx="2">
                  <c:v>2020</c:v>
                </c:pt>
              </c:numCache>
            </c:numRef>
          </c:cat>
          <c:val>
            <c:numRef>
              <c:f>('8. Max Potencia'!$G$11:$H$11,'8. Max Potencia'!$J$11)</c:f>
              <c:numCache>
                <c:formatCode>_(* #,##0.00_);_(* \(#,##0.00\);_(* "-"??_);_(@_)</c:formatCode>
                <c:ptCount val="3"/>
                <c:pt idx="0">
                  <c:v>2455.9372199999998</c:v>
                </c:pt>
                <c:pt idx="1">
                  <c:v>2012.4400399999995</c:v>
                </c:pt>
                <c:pt idx="2">
                  <c:v>2265.9101700000001</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2022</c:v>
                </c:pt>
                <c:pt idx="1">
                  <c:v>2021</c:v>
                </c:pt>
                <c:pt idx="2">
                  <c:v>2020</c:v>
                </c:pt>
              </c:numCache>
            </c:numRef>
          </c:cat>
          <c:val>
            <c:numRef>
              <c:f>('8. Max Potencia'!$G$12:$H$12,'8. Max Potencia'!$J$12)</c:f>
              <c:numCache>
                <c:formatCode>_(* #,##0.00_);_(* \(#,##0.00\);_(* "-"??_);_(@_)</c:formatCode>
                <c:ptCount val="3"/>
                <c:pt idx="0">
                  <c:v>136.90030000000002</c:v>
                </c:pt>
                <c:pt idx="1">
                  <c:v>302.64609999999999</c:v>
                </c:pt>
                <c:pt idx="2">
                  <c:v>255.22534999999999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2022</c:v>
                </c:pt>
              </c:strCache>
            </c:strRef>
          </c:tx>
          <c:spPr>
            <a:solidFill>
              <a:srgbClr val="0077A5"/>
            </a:solidFill>
          </c:spPr>
          <c:invertIfNegative val="0"/>
          <c:cat>
            <c:strRef>
              <c:f>'9. Pot. Empresa'!$L$7:$L$70</c:f>
              <c:strCache>
                <c:ptCount val="64"/>
                <c:pt idx="0">
                  <c:v>ELECTRO ZAÑA</c:v>
                </c:pt>
                <c:pt idx="1">
                  <c:v>COLCA SOLAR</c:v>
                </c:pt>
                <c:pt idx="2">
                  <c:v>ATRIA</c:v>
                </c:pt>
                <c:pt idx="3">
                  <c:v>REPARTICION</c:v>
                </c:pt>
                <c:pt idx="4">
                  <c:v>MAJES</c:v>
                </c:pt>
                <c:pt idx="5">
                  <c:v>INVERSION DE ENERGÍA RENOVABLES</c:v>
                </c:pt>
                <c:pt idx="6">
                  <c:v>SAN JACINTO</c:v>
                </c:pt>
                <c:pt idx="7">
                  <c:v>TACNA SOLAR</c:v>
                </c:pt>
                <c:pt idx="8">
                  <c:v>SHOUGESA</c:v>
                </c:pt>
                <c:pt idx="9">
                  <c:v>SDF ENERGIA</c:v>
                </c:pt>
                <c:pt idx="10">
                  <c:v>SAMAY I</c:v>
                </c:pt>
                <c:pt idx="11">
                  <c:v>PLANTA  ETEN</c:v>
                </c:pt>
                <c:pt idx="12">
                  <c:v>PANAMERICANA SOLAR</c:v>
                </c:pt>
                <c:pt idx="13">
                  <c:v>MOQUEGUA FV</c:v>
                </c:pt>
                <c:pt idx="14">
                  <c:v>IYEPSA</c:v>
                </c:pt>
                <c:pt idx="15">
                  <c:v>HIDROCAÑETE</c:v>
                </c:pt>
                <c:pt idx="16">
                  <c:v>CERRO VERDE</c:v>
                </c:pt>
                <c:pt idx="17">
                  <c:v>AIPSA</c:v>
                </c:pt>
                <c:pt idx="18">
                  <c:v>HYDRO PATAPO</c:v>
                </c:pt>
                <c:pt idx="19">
                  <c:v>GR TARUCA</c:v>
                </c:pt>
                <c:pt idx="20">
                  <c:v>MAJA ENERGIA</c:v>
                </c:pt>
                <c:pt idx="21">
                  <c:v>CENTRALES SANTA ROSA</c:v>
                </c:pt>
                <c:pt idx="22">
                  <c:v>EGECSAC</c:v>
                </c:pt>
                <c:pt idx="23">
                  <c:v>GR PAINO</c:v>
                </c:pt>
                <c:pt idx="24">
                  <c:v>P.E. MARCONA</c:v>
                </c:pt>
                <c:pt idx="25">
                  <c:v>ELECTRICA YANAPAMPA</c:v>
                </c:pt>
                <c:pt idx="26">
                  <c:v>PETRAMAS</c:v>
                </c:pt>
                <c:pt idx="27">
                  <c:v>BIOENERGIA</c:v>
                </c:pt>
                <c:pt idx="28">
                  <c:v>AGUA AZUL</c:v>
                </c:pt>
                <c:pt idx="29">
                  <c:v>P.E. TRES HERMANAS</c:v>
                </c:pt>
                <c:pt idx="30">
                  <c:v>ANDEAN POWER</c:v>
                </c:pt>
                <c:pt idx="31">
                  <c:v>RIO BAÑOS</c:v>
                </c:pt>
                <c:pt idx="32">
                  <c:v>RIO DOBLE</c:v>
                </c:pt>
                <c:pt idx="33">
                  <c:v>GENERACIÓN ANDINA</c:v>
                </c:pt>
                <c:pt idx="34">
                  <c:v>AGROAURORA</c:v>
                </c:pt>
                <c:pt idx="35">
                  <c:v>HUAURA POWER</c:v>
                </c:pt>
                <c:pt idx="36">
                  <c:v>HIDROELECTRICA HUANCHOR</c:v>
                </c:pt>
                <c:pt idx="37">
                  <c:v>CELEPSA RENOVABLES</c:v>
                </c:pt>
                <c:pt idx="38">
                  <c:v>SANTA ANA</c:v>
                </c:pt>
                <c:pt idx="39">
                  <c:v>EMGE JUNÍN</c:v>
                </c:pt>
                <c:pt idx="40">
                  <c:v>SINERSA</c:v>
                </c:pt>
                <c:pt idx="41">
                  <c:v>GEPSA</c:v>
                </c:pt>
                <c:pt idx="42">
                  <c:v>LA VIRGEN</c:v>
                </c:pt>
                <c:pt idx="43">
                  <c:v>EMGE HUANZA</c:v>
                </c:pt>
                <c:pt idx="44">
                  <c:v>EGESUR</c:v>
                </c:pt>
                <c:pt idx="45">
                  <c:v>ENEL GREEN POWER PERU</c:v>
                </c:pt>
                <c:pt idx="46">
                  <c:v>CHINANGO</c:v>
                </c:pt>
                <c:pt idx="47">
                  <c:v>TERMOSELVA</c:v>
                </c:pt>
                <c:pt idx="48">
                  <c:v>INLAND</c:v>
                </c:pt>
                <c:pt idx="49">
                  <c:v>ENERGÍA EÓLICA</c:v>
                </c:pt>
                <c:pt idx="50">
                  <c:v>CELEPSA</c:v>
                </c:pt>
                <c:pt idx="51">
                  <c:v>SAN GABAN</c:v>
                </c:pt>
                <c:pt idx="52">
                  <c:v>ENEL GENERACION PIURA</c:v>
                </c:pt>
                <c:pt idx="53">
                  <c:v>EGASA</c:v>
                </c:pt>
                <c:pt idx="54">
                  <c:v>EGEMSA</c:v>
                </c:pt>
                <c:pt idx="55">
                  <c:v>TERMOCHILCA</c:v>
                </c:pt>
                <c:pt idx="56">
                  <c:v>STATKRAFT</c:v>
                </c:pt>
                <c:pt idx="57">
                  <c:v>ORAZUL ENERGY PERÚ</c:v>
                </c:pt>
                <c:pt idx="58">
                  <c:v>EMGE HUALLAGA</c:v>
                </c:pt>
                <c:pt idx="59">
                  <c:v>FENIX POWER</c:v>
                </c:pt>
                <c:pt idx="60">
                  <c:v>KALLPA</c:v>
                </c:pt>
                <c:pt idx="61">
                  <c:v>ELECTROPERU</c:v>
                </c:pt>
                <c:pt idx="62">
                  <c:v>ENGIE</c:v>
                </c:pt>
                <c:pt idx="63">
                  <c:v>ENEL GENERACION PERU</c:v>
                </c:pt>
              </c:strCache>
            </c:strRef>
          </c:cat>
          <c:val>
            <c:numRef>
              <c:f>'9. Pot. Empresa'!$M$7:$M$70</c:f>
              <c:numCache>
                <c:formatCode>0</c:formatCode>
                <c:ptCount val="64"/>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0.72</c:v>
                </c:pt>
                <c:pt idx="19">
                  <c:v>1.7532000000000001</c:v>
                </c:pt>
                <c:pt idx="20">
                  <c:v>1.9670000000000001</c:v>
                </c:pt>
                <c:pt idx="21">
                  <c:v>2.0614499999999998</c:v>
                </c:pt>
                <c:pt idx="22">
                  <c:v>2.4933199999999998</c:v>
                </c:pt>
                <c:pt idx="23">
                  <c:v>2.9041399999999999</c:v>
                </c:pt>
                <c:pt idx="24">
                  <c:v>3.1380599999999998</c:v>
                </c:pt>
                <c:pt idx="25">
                  <c:v>3.1509999999999998</c:v>
                </c:pt>
                <c:pt idx="26">
                  <c:v>8.3617799999999995</c:v>
                </c:pt>
                <c:pt idx="27">
                  <c:v>9.0587599999999995</c:v>
                </c:pt>
                <c:pt idx="28">
                  <c:v>10.046860000000001</c:v>
                </c:pt>
                <c:pt idx="29">
                  <c:v>11.430680000000001</c:v>
                </c:pt>
                <c:pt idx="30">
                  <c:v>11.69773</c:v>
                </c:pt>
                <c:pt idx="31">
                  <c:v>13.17625</c:v>
                </c:pt>
                <c:pt idx="32">
                  <c:v>14.582840000000001</c:v>
                </c:pt>
                <c:pt idx="33">
                  <c:v>15.47986</c:v>
                </c:pt>
                <c:pt idx="34">
                  <c:v>18.309740000000001</c:v>
                </c:pt>
                <c:pt idx="35">
                  <c:v>18.378430000000002</c:v>
                </c:pt>
                <c:pt idx="36">
                  <c:v>19.114570000000001</c:v>
                </c:pt>
                <c:pt idx="37">
                  <c:v>19.828009999999999</c:v>
                </c:pt>
                <c:pt idx="38">
                  <c:v>20.015000000000001</c:v>
                </c:pt>
                <c:pt idx="39">
                  <c:v>25.859540000000003</c:v>
                </c:pt>
                <c:pt idx="40">
                  <c:v>25.91872</c:v>
                </c:pt>
                <c:pt idx="41">
                  <c:v>26.798539999999999</c:v>
                </c:pt>
                <c:pt idx="42">
                  <c:v>36.260019999999997</c:v>
                </c:pt>
                <c:pt idx="43">
                  <c:v>46.882770000000001</c:v>
                </c:pt>
                <c:pt idx="44">
                  <c:v>47.310569999999998</c:v>
                </c:pt>
                <c:pt idx="45">
                  <c:v>77.456999999999994</c:v>
                </c:pt>
                <c:pt idx="46">
                  <c:v>79.022999999999996</c:v>
                </c:pt>
                <c:pt idx="47">
                  <c:v>86.416169999999994</c:v>
                </c:pt>
                <c:pt idx="48">
                  <c:v>86.90379999999999</c:v>
                </c:pt>
                <c:pt idx="49">
                  <c:v>87.759799999999998</c:v>
                </c:pt>
                <c:pt idx="50">
                  <c:v>95.272500000000008</c:v>
                </c:pt>
                <c:pt idx="51">
                  <c:v>97.521780000000007</c:v>
                </c:pt>
                <c:pt idx="52">
                  <c:v>105.373</c:v>
                </c:pt>
                <c:pt idx="53">
                  <c:v>122.08637999999999</c:v>
                </c:pt>
                <c:pt idx="54">
                  <c:v>156.56699999999998</c:v>
                </c:pt>
                <c:pt idx="55">
                  <c:v>197.02189000000001</c:v>
                </c:pt>
                <c:pt idx="56">
                  <c:v>231.82942000000003</c:v>
                </c:pt>
                <c:pt idx="57">
                  <c:v>237.09399999999999</c:v>
                </c:pt>
                <c:pt idx="58">
                  <c:v>460.85230999999999</c:v>
                </c:pt>
                <c:pt idx="59">
                  <c:v>566.63325000000009</c:v>
                </c:pt>
                <c:pt idx="60">
                  <c:v>715.96</c:v>
                </c:pt>
                <c:pt idx="61">
                  <c:v>860.88816000000008</c:v>
                </c:pt>
                <c:pt idx="62">
                  <c:v>1083.2693999999999</c:v>
                </c:pt>
                <c:pt idx="63">
                  <c:v>1144.3260000000002</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2021</c:v>
                </c:pt>
              </c:strCache>
            </c:strRef>
          </c:tx>
          <c:spPr>
            <a:solidFill>
              <a:srgbClr val="FF6600"/>
            </a:solidFill>
          </c:spPr>
          <c:invertIfNegative val="0"/>
          <c:cat>
            <c:strRef>
              <c:f>'9. Pot. Empresa'!$L$7:$L$70</c:f>
              <c:strCache>
                <c:ptCount val="64"/>
                <c:pt idx="0">
                  <c:v>ELECTRO ZAÑA</c:v>
                </c:pt>
                <c:pt idx="1">
                  <c:v>COLCA SOLAR</c:v>
                </c:pt>
                <c:pt idx="2">
                  <c:v>ATRIA</c:v>
                </c:pt>
                <c:pt idx="3">
                  <c:v>REPARTICION</c:v>
                </c:pt>
                <c:pt idx="4">
                  <c:v>MAJES</c:v>
                </c:pt>
                <c:pt idx="5">
                  <c:v>INVERSION DE ENERGÍA RENOVABLES</c:v>
                </c:pt>
                <c:pt idx="6">
                  <c:v>SAN JACINTO</c:v>
                </c:pt>
                <c:pt idx="7">
                  <c:v>TACNA SOLAR</c:v>
                </c:pt>
                <c:pt idx="8">
                  <c:v>SHOUGESA</c:v>
                </c:pt>
                <c:pt idx="9">
                  <c:v>SDF ENERGIA</c:v>
                </c:pt>
                <c:pt idx="10">
                  <c:v>SAMAY I</c:v>
                </c:pt>
                <c:pt idx="11">
                  <c:v>PLANTA  ETEN</c:v>
                </c:pt>
                <c:pt idx="12">
                  <c:v>PANAMERICANA SOLAR</c:v>
                </c:pt>
                <c:pt idx="13">
                  <c:v>MOQUEGUA FV</c:v>
                </c:pt>
                <c:pt idx="14">
                  <c:v>IYEPSA</c:v>
                </c:pt>
                <c:pt idx="15">
                  <c:v>HIDROCAÑETE</c:v>
                </c:pt>
                <c:pt idx="16">
                  <c:v>CERRO VERDE</c:v>
                </c:pt>
                <c:pt idx="17">
                  <c:v>AIPSA</c:v>
                </c:pt>
                <c:pt idx="18">
                  <c:v>HYDRO PATAPO</c:v>
                </c:pt>
                <c:pt idx="19">
                  <c:v>GR TARUCA</c:v>
                </c:pt>
                <c:pt idx="20">
                  <c:v>MAJA ENERGIA</c:v>
                </c:pt>
                <c:pt idx="21">
                  <c:v>CENTRALES SANTA ROSA</c:v>
                </c:pt>
                <c:pt idx="22">
                  <c:v>EGECSAC</c:v>
                </c:pt>
                <c:pt idx="23">
                  <c:v>GR PAINO</c:v>
                </c:pt>
                <c:pt idx="24">
                  <c:v>P.E. MARCONA</c:v>
                </c:pt>
                <c:pt idx="25">
                  <c:v>ELECTRICA YANAPAMPA</c:v>
                </c:pt>
                <c:pt idx="26">
                  <c:v>PETRAMAS</c:v>
                </c:pt>
                <c:pt idx="27">
                  <c:v>BIOENERGIA</c:v>
                </c:pt>
                <c:pt idx="28">
                  <c:v>AGUA AZUL</c:v>
                </c:pt>
                <c:pt idx="29">
                  <c:v>P.E. TRES HERMANAS</c:v>
                </c:pt>
                <c:pt idx="30">
                  <c:v>ANDEAN POWER</c:v>
                </c:pt>
                <c:pt idx="31">
                  <c:v>RIO BAÑOS</c:v>
                </c:pt>
                <c:pt idx="32">
                  <c:v>RIO DOBLE</c:v>
                </c:pt>
                <c:pt idx="33">
                  <c:v>GENERACIÓN ANDINA</c:v>
                </c:pt>
                <c:pt idx="34">
                  <c:v>AGROAURORA</c:v>
                </c:pt>
                <c:pt idx="35">
                  <c:v>HUAURA POWER</c:v>
                </c:pt>
                <c:pt idx="36">
                  <c:v>HIDROELECTRICA HUANCHOR</c:v>
                </c:pt>
                <c:pt idx="37">
                  <c:v>CELEPSA RENOVABLES</c:v>
                </c:pt>
                <c:pt idx="38">
                  <c:v>SANTA ANA</c:v>
                </c:pt>
                <c:pt idx="39">
                  <c:v>EMGE JUNÍN</c:v>
                </c:pt>
                <c:pt idx="40">
                  <c:v>SINERSA</c:v>
                </c:pt>
                <c:pt idx="41">
                  <c:v>GEPSA</c:v>
                </c:pt>
                <c:pt idx="42">
                  <c:v>LA VIRGEN</c:v>
                </c:pt>
                <c:pt idx="43">
                  <c:v>EMGE HUANZA</c:v>
                </c:pt>
                <c:pt idx="44">
                  <c:v>EGESUR</c:v>
                </c:pt>
                <c:pt idx="45">
                  <c:v>ENEL GREEN POWER PERU</c:v>
                </c:pt>
                <c:pt idx="46">
                  <c:v>CHINANGO</c:v>
                </c:pt>
                <c:pt idx="47">
                  <c:v>TERMOSELVA</c:v>
                </c:pt>
                <c:pt idx="48">
                  <c:v>INLAND</c:v>
                </c:pt>
                <c:pt idx="49">
                  <c:v>ENERGÍA EÓLICA</c:v>
                </c:pt>
                <c:pt idx="50">
                  <c:v>CELEPSA</c:v>
                </c:pt>
                <c:pt idx="51">
                  <c:v>SAN GABAN</c:v>
                </c:pt>
                <c:pt idx="52">
                  <c:v>ENEL GENERACION PIURA</c:v>
                </c:pt>
                <c:pt idx="53">
                  <c:v>EGASA</c:v>
                </c:pt>
                <c:pt idx="54">
                  <c:v>EGEMSA</c:v>
                </c:pt>
                <c:pt idx="55">
                  <c:v>TERMOCHILCA</c:v>
                </c:pt>
                <c:pt idx="56">
                  <c:v>STATKRAFT</c:v>
                </c:pt>
                <c:pt idx="57">
                  <c:v>ORAZUL ENERGY PERÚ</c:v>
                </c:pt>
                <c:pt idx="58">
                  <c:v>EMGE HUALLAGA</c:v>
                </c:pt>
                <c:pt idx="59">
                  <c:v>FENIX POWER</c:v>
                </c:pt>
                <c:pt idx="60">
                  <c:v>KALLPA</c:v>
                </c:pt>
                <c:pt idx="61">
                  <c:v>ELECTROPERU</c:v>
                </c:pt>
                <c:pt idx="62">
                  <c:v>ENGIE</c:v>
                </c:pt>
                <c:pt idx="63">
                  <c:v>ENEL GENERACION PERU</c:v>
                </c:pt>
              </c:strCache>
            </c:strRef>
          </c:cat>
          <c:val>
            <c:numRef>
              <c:f>'9. Pot. Empresa'!$N$7:$N$70</c:f>
              <c:numCache>
                <c:formatCode>0</c:formatCode>
                <c:ptCount val="64"/>
                <c:pt idx="0">
                  <c:v>13.16489</c:v>
                </c:pt>
                <c:pt idx="2">
                  <c:v>0.74041000000000001</c:v>
                </c:pt>
                <c:pt idx="3">
                  <c:v>0</c:v>
                </c:pt>
                <c:pt idx="4">
                  <c:v>0</c:v>
                </c:pt>
                <c:pt idx="5">
                  <c:v>16.0748</c:v>
                </c:pt>
                <c:pt idx="6">
                  <c:v>5.915</c:v>
                </c:pt>
                <c:pt idx="7">
                  <c:v>0</c:v>
                </c:pt>
                <c:pt idx="8">
                  <c:v>0</c:v>
                </c:pt>
                <c:pt idx="9">
                  <c:v>0</c:v>
                </c:pt>
                <c:pt idx="10">
                  <c:v>0</c:v>
                </c:pt>
                <c:pt idx="11">
                  <c:v>0</c:v>
                </c:pt>
                <c:pt idx="12">
                  <c:v>0</c:v>
                </c:pt>
                <c:pt idx="13">
                  <c:v>0</c:v>
                </c:pt>
                <c:pt idx="14">
                  <c:v>0</c:v>
                </c:pt>
                <c:pt idx="15">
                  <c:v>0</c:v>
                </c:pt>
                <c:pt idx="16">
                  <c:v>0</c:v>
                </c:pt>
                <c:pt idx="17">
                  <c:v>16.481169999999999</c:v>
                </c:pt>
                <c:pt idx="18">
                  <c:v>0</c:v>
                </c:pt>
                <c:pt idx="19">
                  <c:v>14.436</c:v>
                </c:pt>
                <c:pt idx="20">
                  <c:v>3.2687499999999998</c:v>
                </c:pt>
                <c:pt idx="22">
                  <c:v>2.5159699999999998</c:v>
                </c:pt>
                <c:pt idx="23">
                  <c:v>14.686999999999999</c:v>
                </c:pt>
                <c:pt idx="24">
                  <c:v>7.5153600000000003</c:v>
                </c:pt>
                <c:pt idx="25">
                  <c:v>3.7210700000000001</c:v>
                </c:pt>
                <c:pt idx="26">
                  <c:v>9.588000000000001</c:v>
                </c:pt>
                <c:pt idx="27">
                  <c:v>11</c:v>
                </c:pt>
                <c:pt idx="28">
                  <c:v>19.471919999999997</c:v>
                </c:pt>
                <c:pt idx="29">
                  <c:v>14.34295</c:v>
                </c:pt>
                <c:pt idx="30">
                  <c:v>20.338349999999998</c:v>
                </c:pt>
                <c:pt idx="31">
                  <c:v>16.731850000000001</c:v>
                </c:pt>
                <c:pt idx="32">
                  <c:v>18.26586</c:v>
                </c:pt>
                <c:pt idx="33">
                  <c:v>5.2237299999999998</c:v>
                </c:pt>
                <c:pt idx="34">
                  <c:v>10.099550000000001</c:v>
                </c:pt>
                <c:pt idx="35">
                  <c:v>18.412590000000002</c:v>
                </c:pt>
                <c:pt idx="36">
                  <c:v>9.4109499999999997</c:v>
                </c:pt>
                <c:pt idx="37">
                  <c:v>19.58989</c:v>
                </c:pt>
                <c:pt idx="38">
                  <c:v>19.994199999999999</c:v>
                </c:pt>
                <c:pt idx="39">
                  <c:v>39.640680000000003</c:v>
                </c:pt>
                <c:pt idx="40">
                  <c:v>25.65287</c:v>
                </c:pt>
                <c:pt idx="41">
                  <c:v>48.545000000000002</c:v>
                </c:pt>
                <c:pt idx="42">
                  <c:v>53.137209999999996</c:v>
                </c:pt>
                <c:pt idx="43">
                  <c:v>81.160060000000001</c:v>
                </c:pt>
                <c:pt idx="44">
                  <c:v>42.715359999999997</c:v>
                </c:pt>
                <c:pt idx="45">
                  <c:v>87.432640000000006</c:v>
                </c:pt>
                <c:pt idx="46">
                  <c:v>148.22370999999998</c:v>
                </c:pt>
                <c:pt idx="47">
                  <c:v>86.041039999999995</c:v>
                </c:pt>
                <c:pt idx="48">
                  <c:v>90.555700000000002</c:v>
                </c:pt>
                <c:pt idx="49">
                  <c:v>50.284660000000002</c:v>
                </c:pt>
                <c:pt idx="50">
                  <c:v>158.32352</c:v>
                </c:pt>
                <c:pt idx="51">
                  <c:v>108.01138</c:v>
                </c:pt>
                <c:pt idx="52">
                  <c:v>91.58954</c:v>
                </c:pt>
                <c:pt idx="53">
                  <c:v>102.45543999999998</c:v>
                </c:pt>
                <c:pt idx="54">
                  <c:v>162.84282999999999</c:v>
                </c:pt>
                <c:pt idx="55">
                  <c:v>0</c:v>
                </c:pt>
                <c:pt idx="56">
                  <c:v>268.06123000000002</c:v>
                </c:pt>
                <c:pt idx="57">
                  <c:v>294.78856999999999</c:v>
                </c:pt>
                <c:pt idx="58">
                  <c:v>334.27980000000002</c:v>
                </c:pt>
                <c:pt idx="59">
                  <c:v>532.06552999999997</c:v>
                </c:pt>
                <c:pt idx="60">
                  <c:v>1172.84726</c:v>
                </c:pt>
                <c:pt idx="61">
                  <c:v>855.30192</c:v>
                </c:pt>
                <c:pt idx="62">
                  <c:v>703.57690000000002</c:v>
                </c:pt>
                <c:pt idx="63">
                  <c:v>1001.5786200000001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2020</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2021</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2022</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formatCode="0.0">
                  <c:v>221.41</c:v>
                </c:pt>
                <c:pt idx="18" formatCode="0.0">
                  <c:v>222.52999877929599</c:v>
                </c:pt>
                <c:pt idx="19" formatCode="0.0">
                  <c:v>222.47799682617099</c:v>
                </c:pt>
                <c:pt idx="20" formatCode="0.0">
                  <c:v>221.33000183105401</c:v>
                </c:pt>
                <c:pt idx="21" formatCode="0.0">
                  <c:v>221.8000031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2019</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2021</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2022</c:v>
                </c:pt>
              </c:strCache>
            </c:strRef>
          </c:tx>
          <c:spPr>
            <a:ln w="6350"/>
          </c:spPr>
          <c:val>
            <c:numRef>
              <c:f>'11. Volúmenes'!$R$6:$R$58</c:f>
              <c:numCache>
                <c:formatCode>_(* #,##0.00_);_(* \(#,##0.00\);_(* "-"??_);_(@_)</c:formatCode>
                <c:ptCount val="53"/>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formatCode="General">
                  <c:v>316.52200317382801</c:v>
                </c:pt>
                <c:pt idx="14" formatCode="General">
                  <c:v>323.08200069999998</c:v>
                </c:pt>
                <c:pt idx="15" formatCode="General">
                  <c:v>320.093994140625</c:v>
                </c:pt>
                <c:pt idx="16" formatCode="General">
                  <c:v>317.51499449062499</c:v>
                </c:pt>
                <c:pt idx="17" formatCode="General">
                  <c:v>286.73</c:v>
                </c:pt>
                <c:pt idx="18" formatCode="General">
                  <c:v>294.225006103515</c:v>
                </c:pt>
                <c:pt idx="19" formatCode="General">
                  <c:v>298.29000854492102</c:v>
                </c:pt>
                <c:pt idx="20" formatCode="0.000">
                  <c:v>302.95901489257801</c:v>
                </c:pt>
                <c:pt idx="21" formatCode="0.000">
                  <c:v>306.47698969999999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2019</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185.80498987600001</c:v>
                </c:pt>
                <c:pt idx="1">
                  <c:v>190.06000000000003</c:v>
                </c:pt>
                <c:pt idx="2">
                  <c:v>198.06799936900001</c:v>
                </c:pt>
                <c:pt idx="3">
                  <c:v>217.55805158600003</c:v>
                </c:pt>
                <c:pt idx="4">
                  <c:v>279.10000000000002</c:v>
                </c:pt>
                <c:pt idx="5">
                  <c:v>338.21854399</c:v>
                </c:pt>
                <c:pt idx="6">
                  <c:v>388.64800643000001</c:v>
                </c:pt>
                <c:pt idx="7">
                  <c:v>377.13099283000003</c:v>
                </c:pt>
                <c:pt idx="8">
                  <c:v>385.62499995999997</c:v>
                </c:pt>
                <c:pt idx="9">
                  <c:v>389.38100242614604</c:v>
                </c:pt>
                <c:pt idx="10">
                  <c:v>386.27799791999996</c:v>
                </c:pt>
                <c:pt idx="11">
                  <c:v>388.98099517000003</c:v>
                </c:pt>
                <c:pt idx="12">
                  <c:v>393.36499596000004</c:v>
                </c:pt>
                <c:pt idx="13">
                  <c:v>385.77799804</c:v>
                </c:pt>
                <c:pt idx="14">
                  <c:v>385.72399323999997</c:v>
                </c:pt>
                <c:pt idx="15">
                  <c:v>388.74200823000001</c:v>
                </c:pt>
                <c:pt idx="16">
                  <c:v>386.49800113000003</c:v>
                </c:pt>
                <c:pt idx="17">
                  <c:v>384.38200000000001</c:v>
                </c:pt>
                <c:pt idx="18">
                  <c:v>381.56399727000002</c:v>
                </c:pt>
                <c:pt idx="19">
                  <c:v>376.47088237999998</c:v>
                </c:pt>
                <c:pt idx="20">
                  <c:v>370.73099807</c:v>
                </c:pt>
                <c:pt idx="21">
                  <c:v>363.24299430999997</c:v>
                </c:pt>
                <c:pt idx="22">
                  <c:v>357.21200376000002</c:v>
                </c:pt>
                <c:pt idx="23">
                  <c:v>352.1909981</c:v>
                </c:pt>
                <c:pt idx="24">
                  <c:v>346.62612917400003</c:v>
                </c:pt>
                <c:pt idx="25">
                  <c:v>341.25900444999996</c:v>
                </c:pt>
                <c:pt idx="26">
                  <c:v>337.18899436699996</c:v>
                </c:pt>
                <c:pt idx="27">
                  <c:v>333.50600986443789</c:v>
                </c:pt>
                <c:pt idx="28">
                  <c:v>324.04999999999995</c:v>
                </c:pt>
                <c:pt idx="29">
                  <c:v>318.10600236499999</c:v>
                </c:pt>
                <c:pt idx="30">
                  <c:v>312.078003352</c:v>
                </c:pt>
                <c:pt idx="31">
                  <c:v>312.078003352</c:v>
                </c:pt>
                <c:pt idx="32">
                  <c:v>299.58200316099999</c:v>
                </c:pt>
                <c:pt idx="33">
                  <c:v>292.71899843200003</c:v>
                </c:pt>
                <c:pt idx="34">
                  <c:v>286.64699412499999</c:v>
                </c:pt>
                <c:pt idx="35">
                  <c:v>280.605003845</c:v>
                </c:pt>
                <c:pt idx="36">
                  <c:v>274.21999999999997</c:v>
                </c:pt>
                <c:pt idx="37">
                  <c:v>267.58499765396107</c:v>
                </c:pt>
                <c:pt idx="38">
                  <c:v>260.96199703900004</c:v>
                </c:pt>
                <c:pt idx="39">
                  <c:v>253.29600046600001</c:v>
                </c:pt>
                <c:pt idx="40">
                  <c:v>246.06</c:v>
                </c:pt>
                <c:pt idx="41">
                  <c:v>241.02699661899999</c:v>
                </c:pt>
                <c:pt idx="42">
                  <c:v>234.19399833099999</c:v>
                </c:pt>
                <c:pt idx="43">
                  <c:v>228.64612817499997</c:v>
                </c:pt>
                <c:pt idx="44">
                  <c:v>222.81199835999999</c:v>
                </c:pt>
                <c:pt idx="45">
                  <c:v>216.31200409100001</c:v>
                </c:pt>
                <c:pt idx="46">
                  <c:v>210.250997547</c:v>
                </c:pt>
                <c:pt idx="47">
                  <c:v>202.73299884100001</c:v>
                </c:pt>
                <c:pt idx="48">
                  <c:v>195.51400422099999</c:v>
                </c:pt>
                <c:pt idx="49">
                  <c:v>188.995997891</c:v>
                </c:pt>
                <c:pt idx="50">
                  <c:v>184.65400219100002</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2020</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2021</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2022</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formatCode="General">
                  <c:v>389.18700027465661</c:v>
                </c:pt>
                <c:pt idx="14" formatCode="General">
                  <c:v>391.56700128</c:v>
                </c:pt>
                <c:pt idx="15" formatCode="General">
                  <c:v>387.48099899291947</c:v>
                </c:pt>
                <c:pt idx="16" formatCode="General">
                  <c:v>384.68462114530365</c:v>
                </c:pt>
                <c:pt idx="17" formatCode="General">
                  <c:v>375.79000000000008</c:v>
                </c:pt>
                <c:pt idx="18" formatCode="General">
                  <c:v>370.16600227355934</c:v>
                </c:pt>
                <c:pt idx="19" formatCode="General">
                  <c:v>364.40299987792889</c:v>
                </c:pt>
                <c:pt idx="20" formatCode="General">
                  <c:v>358.7700004577631</c:v>
                </c:pt>
                <c:pt idx="21" formatCode="General">
                  <c:v>353.17899700999999</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'12.Caudales'!$J$4:$K$181</c:f>
              <c:multiLvlStrCache>
                <c:ptCount val="178"/>
                <c:lvl>
                  <c:pt idx="0">
                    <c:v>1</c:v>
                  </c:pt>
                  <c:pt idx="7">
                    <c:v>8</c:v>
                  </c:pt>
                  <c:pt idx="15">
                    <c:v>16</c:v>
                  </c:pt>
                  <c:pt idx="25">
                    <c:v>26</c:v>
                  </c:pt>
                  <c:pt idx="33">
                    <c:v>34</c:v>
                  </c:pt>
                  <c:pt idx="43">
                    <c:v>44</c:v>
                  </c:pt>
                  <c:pt idx="51">
                    <c:v>52</c:v>
                  </c:pt>
                  <c:pt idx="59">
                    <c:v>8</c:v>
                  </c:pt>
                  <c:pt idx="67">
                    <c:v>16</c:v>
                  </c:pt>
                  <c:pt idx="75">
                    <c:v>24</c:v>
                  </c:pt>
                  <c:pt idx="83">
                    <c:v>32</c:v>
                  </c:pt>
                  <c:pt idx="91">
                    <c:v>40</c:v>
                  </c:pt>
                  <c:pt idx="103">
                    <c:v>52</c:v>
                  </c:pt>
                  <c:pt idx="116">
                    <c:v>13</c:v>
                  </c:pt>
                  <c:pt idx="129">
                    <c:v>26</c:v>
                  </c:pt>
                  <c:pt idx="147">
                    <c:v>44</c:v>
                  </c:pt>
                  <c:pt idx="155">
                    <c:v>52</c:v>
                  </c:pt>
                  <c:pt idx="161">
                    <c:v>6</c:v>
                  </c:pt>
                  <c:pt idx="168">
                    <c:v>13</c:v>
                  </c:pt>
                  <c:pt idx="173">
                    <c:v>18</c:v>
                  </c:pt>
                  <c:pt idx="177">
                    <c:v>22</c:v>
                  </c:pt>
                </c:lvl>
                <c:lvl>
                  <c:pt idx="0">
                    <c:v>2019</c:v>
                  </c:pt>
                  <c:pt idx="53">
                    <c:v>2020</c:v>
                  </c:pt>
                  <c:pt idx="104">
                    <c:v>2021</c:v>
                  </c:pt>
                  <c:pt idx="156">
                    <c:v>2022</c:v>
                  </c:pt>
                </c:lvl>
              </c:multiLvlStrCache>
            </c:multiLvlStrRef>
          </c:cat>
          <c:val>
            <c:numRef>
              <c:f>'12.Caudales'!$N$4:$N$181</c:f>
              <c:numCache>
                <c:formatCode>0.0</c:formatCode>
                <c:ptCount val="178"/>
                <c:pt idx="0">
                  <c:v>78.298570904285711</c:v>
                </c:pt>
                <c:pt idx="1">
                  <c:v>95.081715179999989</c:v>
                </c:pt>
                <c:pt idx="2">
                  <c:v>95.65</c:v>
                </c:pt>
                <c:pt idx="3">
                  <c:v>109.29957036285714</c:v>
                </c:pt>
                <c:pt idx="4">
                  <c:v>149.65083311999999</c:v>
                </c:pt>
                <c:pt idx="5">
                  <c:v>136.57714285714286</c:v>
                </c:pt>
                <c:pt idx="6">
                  <c:v>224.71071514285714</c:v>
                </c:pt>
                <c:pt idx="7">
                  <c:v>198.04342652857142</c:v>
                </c:pt>
                <c:pt idx="8">
                  <c:v>191.0112849857143</c:v>
                </c:pt>
                <c:pt idx="9">
                  <c:v>215.64014109999999</c:v>
                </c:pt>
                <c:pt idx="10">
                  <c:v>236.76099940708642</c:v>
                </c:pt>
                <c:pt idx="11">
                  <c:v>250.8679761904763</c:v>
                </c:pt>
                <c:pt idx="12">
                  <c:v>301.45971681428574</c:v>
                </c:pt>
                <c:pt idx="13">
                  <c:v>253.08542525714284</c:v>
                </c:pt>
                <c:pt idx="14">
                  <c:v>253.08542525714284</c:v>
                </c:pt>
                <c:pt idx="15">
                  <c:v>141.0458592</c:v>
                </c:pt>
                <c:pt idx="16">
                  <c:v>123.86656951428571</c:v>
                </c:pt>
                <c:pt idx="17">
                  <c:v>85.173857551428583</c:v>
                </c:pt>
                <c:pt idx="18">
                  <c:v>71.224285714285699</c:v>
                </c:pt>
                <c:pt idx="19">
                  <c:v>76.857142859999996</c:v>
                </c:pt>
                <c:pt idx="20">
                  <c:v>47.97114345</c:v>
                </c:pt>
                <c:pt idx="21">
                  <c:v>37.624285945285713</c:v>
                </c:pt>
                <c:pt idx="22">
                  <c:v>37.806285858571421</c:v>
                </c:pt>
                <c:pt idx="23">
                  <c:v>35.468714032857143</c:v>
                </c:pt>
                <c:pt idx="24">
                  <c:v>33.200142724285719</c:v>
                </c:pt>
                <c:pt idx="25">
                  <c:v>28.376285825714287</c:v>
                </c:pt>
                <c:pt idx="26">
                  <c:v>28.47</c:v>
                </c:pt>
                <c:pt idx="27">
                  <c:v>28.920333226666667</c:v>
                </c:pt>
                <c:pt idx="28">
                  <c:v>24.422333717346149</c:v>
                </c:pt>
                <c:pt idx="29">
                  <c:v>24.086666666666662</c:v>
                </c:pt>
                <c:pt idx="30">
                  <c:v>22.471285411428575</c:v>
                </c:pt>
                <c:pt idx="31">
                  <c:v>25.212714058571429</c:v>
                </c:pt>
                <c:pt idx="32">
                  <c:v>28.061000278571431</c:v>
                </c:pt>
                <c:pt idx="33">
                  <c:v>28.455856868571431</c:v>
                </c:pt>
                <c:pt idx="34">
                  <c:v>26.646000226666668</c:v>
                </c:pt>
                <c:pt idx="35">
                  <c:v>27.720570974285714</c:v>
                </c:pt>
                <c:pt idx="36">
                  <c:v>27.967571258571429</c:v>
                </c:pt>
                <c:pt idx="37">
                  <c:v>31.354000000000003</c:v>
                </c:pt>
                <c:pt idx="38">
                  <c:v>37.146399307250938</c:v>
                </c:pt>
                <c:pt idx="39">
                  <c:v>29.934999783333328</c:v>
                </c:pt>
                <c:pt idx="40">
                  <c:v>31.668000084285715</c:v>
                </c:pt>
                <c:pt idx="41">
                  <c:v>30.061428571428571</c:v>
                </c:pt>
                <c:pt idx="42">
                  <c:v>48.129999975714291</c:v>
                </c:pt>
                <c:pt idx="43">
                  <c:v>37.781833011666663</c:v>
                </c:pt>
                <c:pt idx="44">
                  <c:v>60.721429549999996</c:v>
                </c:pt>
                <c:pt idx="45">
                  <c:v>68.569856369999997</c:v>
                </c:pt>
                <c:pt idx="46">
                  <c:v>51.534999302857152</c:v>
                </c:pt>
                <c:pt idx="47">
                  <c:v>45.115714484285718</c:v>
                </c:pt>
                <c:pt idx="48">
                  <c:v>84.846428458571424</c:v>
                </c:pt>
                <c:pt idx="49">
                  <c:v>99.139714364285723</c:v>
                </c:pt>
                <c:pt idx="50">
                  <c:v>201.52657207142857</c:v>
                </c:pt>
                <c:pt idx="51">
                  <c:v>224.1094316857143</c:v>
                </c:pt>
                <c:pt idx="52">
                  <c:v>205.2461395</c:v>
                </c:pt>
                <c:pt idx="53">
                  <c:v>129.33128356933543</c:v>
                </c:pt>
                <c:pt idx="54">
                  <c:v>73.393001012857141</c:v>
                </c:pt>
                <c:pt idx="55">
                  <c:v>73.092571804285726</c:v>
                </c:pt>
                <c:pt idx="56">
                  <c:v>140.69343129999999</c:v>
                </c:pt>
                <c:pt idx="57">
                  <c:v>189.96014404285714</c:v>
                </c:pt>
                <c:pt idx="58">
                  <c:v>184.55100359235459</c:v>
                </c:pt>
                <c:pt idx="59">
                  <c:v>83.969571794782198</c:v>
                </c:pt>
                <c:pt idx="60">
                  <c:v>124.34114185428572</c:v>
                </c:pt>
                <c:pt idx="61">
                  <c:v>110.96499854142857</c:v>
                </c:pt>
                <c:pt idx="62">
                  <c:v>130.17914037142856</c:v>
                </c:pt>
                <c:pt idx="63">
                  <c:v>127.86657169886942</c:v>
                </c:pt>
                <c:pt idx="64">
                  <c:v>138.12900325230143</c:v>
                </c:pt>
                <c:pt idx="65">
                  <c:v>109.14457049285714</c:v>
                </c:pt>
                <c:pt idx="66">
                  <c:v>80.133571635714276</c:v>
                </c:pt>
                <c:pt idx="67">
                  <c:v>57.13714327142857</c:v>
                </c:pt>
                <c:pt idx="68">
                  <c:v>55.184285845075259</c:v>
                </c:pt>
                <c:pt idx="69">
                  <c:v>80.201000221428572</c:v>
                </c:pt>
                <c:pt idx="70">
                  <c:v>73.398713792857151</c:v>
                </c:pt>
                <c:pt idx="71">
                  <c:v>57.629714421428567</c:v>
                </c:pt>
                <c:pt idx="72">
                  <c:v>47.208427974155924</c:v>
                </c:pt>
                <c:pt idx="73">
                  <c:v>39.635571071428572</c:v>
                </c:pt>
                <c:pt idx="74">
                  <c:v>49.136857168571431</c:v>
                </c:pt>
                <c:pt idx="75">
                  <c:v>34.150428227015844</c:v>
                </c:pt>
                <c:pt idx="76">
                  <c:v>32.288857598571425</c:v>
                </c:pt>
                <c:pt idx="77">
                  <c:v>29.45585686714286</c:v>
                </c:pt>
                <c:pt idx="78">
                  <c:v>27.986428669520745</c:v>
                </c:pt>
                <c:pt idx="79">
                  <c:v>24.371857235714284</c:v>
                </c:pt>
                <c:pt idx="80">
                  <c:v>23.620857238571428</c:v>
                </c:pt>
                <c:pt idx="81">
                  <c:v>26.757428577142853</c:v>
                </c:pt>
                <c:pt idx="82">
                  <c:v>26.481285638571428</c:v>
                </c:pt>
                <c:pt idx="83">
                  <c:v>25.506571633475126</c:v>
                </c:pt>
                <c:pt idx="84">
                  <c:v>31.441428594285707</c:v>
                </c:pt>
                <c:pt idx="85">
                  <c:v>33.365713935714282</c:v>
                </c:pt>
                <c:pt idx="86">
                  <c:v>29.068999699183816</c:v>
                </c:pt>
                <c:pt idx="87">
                  <c:v>26.005428859165701</c:v>
                </c:pt>
                <c:pt idx="88">
                  <c:v>25.021857125418485</c:v>
                </c:pt>
                <c:pt idx="89">
                  <c:v>27.854714257376486</c:v>
                </c:pt>
                <c:pt idx="90">
                  <c:v>27.986571175714282</c:v>
                </c:pt>
                <c:pt idx="91">
                  <c:v>25.258999961428572</c:v>
                </c:pt>
                <c:pt idx="92">
                  <c:v>25.185571671428566</c:v>
                </c:pt>
                <c:pt idx="93">
                  <c:v>33.125999450683558</c:v>
                </c:pt>
                <c:pt idx="94">
                  <c:v>41.127143314285711</c:v>
                </c:pt>
                <c:pt idx="95">
                  <c:v>33.038428169999996</c:v>
                </c:pt>
                <c:pt idx="96">
                  <c:v>40.115713391428571</c:v>
                </c:pt>
                <c:pt idx="97">
                  <c:v>43.881571090000001</c:v>
                </c:pt>
                <c:pt idx="98">
                  <c:v>42.811571392857147</c:v>
                </c:pt>
                <c:pt idx="99">
                  <c:v>66.262570518571422</c:v>
                </c:pt>
                <c:pt idx="100">
                  <c:v>122.24228668571428</c:v>
                </c:pt>
                <c:pt idx="101">
                  <c:v>78.250285555714285</c:v>
                </c:pt>
                <c:pt idx="102">
                  <c:v>123.13128661428571</c:v>
                </c:pt>
                <c:pt idx="103">
                  <c:v>151.04400198571429</c:v>
                </c:pt>
                <c:pt idx="104">
                  <c:v>194.93985855714286</c:v>
                </c:pt>
                <c:pt idx="105">
                  <c:v>191.56657192857145</c:v>
                </c:pt>
                <c:pt idx="106">
                  <c:v>253.28128705714289</c:v>
                </c:pt>
                <c:pt idx="107">
                  <c:v>244.7925720428571</c:v>
                </c:pt>
                <c:pt idx="108">
                  <c:v>220.6247188142857</c:v>
                </c:pt>
                <c:pt idx="109">
                  <c:v>163.06042698571429</c:v>
                </c:pt>
                <c:pt idx="110">
                  <c:v>104.39303571428574</c:v>
                </c:pt>
                <c:pt idx="111">
                  <c:v>61.820178571428535</c:v>
                </c:pt>
                <c:pt idx="112">
                  <c:v>85.507331848144418</c:v>
                </c:pt>
                <c:pt idx="113">
                  <c:v>173.29428537142854</c:v>
                </c:pt>
                <c:pt idx="114">
                  <c:v>159.83856852857141</c:v>
                </c:pt>
                <c:pt idx="115">
                  <c:v>160.54285757142858</c:v>
                </c:pt>
                <c:pt idx="116">
                  <c:v>171.07471574285714</c:v>
                </c:pt>
                <c:pt idx="117">
                  <c:v>185.56500027142857</c:v>
                </c:pt>
                <c:pt idx="118">
                  <c:v>151.56014580000002</c:v>
                </c:pt>
                <c:pt idx="119">
                  <c:v>109.84099905714285</c:v>
                </c:pt>
                <c:pt idx="120">
                  <c:v>85.840285168571427</c:v>
                </c:pt>
                <c:pt idx="121">
                  <c:v>69.64942932142857</c:v>
                </c:pt>
                <c:pt idx="122">
                  <c:v>58.010286058571431</c:v>
                </c:pt>
                <c:pt idx="123">
                  <c:v>51.498000008571424</c:v>
                </c:pt>
                <c:pt idx="124">
                  <c:v>49.923428127142856</c:v>
                </c:pt>
                <c:pt idx="125">
                  <c:v>43.104427882857138</c:v>
                </c:pt>
                <c:pt idx="126">
                  <c:v>39.534857068571434</c:v>
                </c:pt>
                <c:pt idx="127">
                  <c:v>36.393142699999999</c:v>
                </c:pt>
                <c:pt idx="128">
                  <c:v>33.557857241428572</c:v>
                </c:pt>
                <c:pt idx="129">
                  <c:v>29.931428365714286</c:v>
                </c:pt>
                <c:pt idx="130">
                  <c:v>26.386999947142861</c:v>
                </c:pt>
                <c:pt idx="131">
                  <c:v>26.172000340000004</c:v>
                </c:pt>
                <c:pt idx="132">
                  <c:v>25.836714065714286</c:v>
                </c:pt>
                <c:pt idx="133">
                  <c:v>25.251428605714288</c:v>
                </c:pt>
                <c:pt idx="134">
                  <c:v>27.221714565714283</c:v>
                </c:pt>
                <c:pt idx="135">
                  <c:v>26.08357157</c:v>
                </c:pt>
                <c:pt idx="136">
                  <c:v>25.724999837142857</c:v>
                </c:pt>
                <c:pt idx="137">
                  <c:v>26.040285657142856</c:v>
                </c:pt>
                <c:pt idx="138">
                  <c:v>26.61128562</c:v>
                </c:pt>
                <c:pt idx="139">
                  <c:v>31.371142795714288</c:v>
                </c:pt>
                <c:pt idx="140">
                  <c:v>34.193142751428567</c:v>
                </c:pt>
                <c:pt idx="141">
                  <c:v>24.62042835714286</c:v>
                </c:pt>
                <c:pt idx="142">
                  <c:v>21.341285980000002</c:v>
                </c:pt>
                <c:pt idx="143">
                  <c:v>39.983428410000002</c:v>
                </c:pt>
                <c:pt idx="144">
                  <c:v>51.178142545714287</c:v>
                </c:pt>
                <c:pt idx="145">
                  <c:v>58.491857255714294</c:v>
                </c:pt>
                <c:pt idx="146">
                  <c:v>49.28842871714285</c:v>
                </c:pt>
                <c:pt idx="147">
                  <c:v>50.456999099999997</c:v>
                </c:pt>
                <c:pt idx="148">
                  <c:v>55.461713520000004</c:v>
                </c:pt>
                <c:pt idx="149">
                  <c:v>52.329856329999991</c:v>
                </c:pt>
                <c:pt idx="150">
                  <c:v>73.723714555714295</c:v>
                </c:pt>
                <c:pt idx="151">
                  <c:v>112.8014285714287</c:v>
                </c:pt>
                <c:pt idx="152">
                  <c:v>251.49200183333332</c:v>
                </c:pt>
                <c:pt idx="153">
                  <c:v>142.42614309857143</c:v>
                </c:pt>
                <c:pt idx="154">
                  <c:v>77.181571959999999</c:v>
                </c:pt>
                <c:pt idx="155">
                  <c:v>62.12314333285714</c:v>
                </c:pt>
                <c:pt idx="156">
                  <c:v>71.095855168571433</c:v>
                </c:pt>
                <c:pt idx="157">
                  <c:v>56.996714454285716</c:v>
                </c:pt>
                <c:pt idx="158">
                  <c:v>56.568285805714289</c:v>
                </c:pt>
                <c:pt idx="159">
                  <c:v>96.856569555714273</c:v>
                </c:pt>
                <c:pt idx="160">
                  <c:v>81.592857355714287</c:v>
                </c:pt>
                <c:pt idx="161">
                  <c:v>136.49742887285714</c:v>
                </c:pt>
                <c:pt idx="162">
                  <c:v>140.91017132499999</c:v>
                </c:pt>
                <c:pt idx="163">
                  <c:v>136.49742889404237</c:v>
                </c:pt>
                <c:pt idx="164">
                  <c:v>201.53699821428572</c:v>
                </c:pt>
                <c:pt idx="165">
                  <c:v>203.423558556426</c:v>
                </c:pt>
                <c:pt idx="166">
                  <c:v>322.04871477399513</c:v>
                </c:pt>
                <c:pt idx="167">
                  <c:v>190.45399911063015</c:v>
                </c:pt>
                <c:pt idx="168">
                  <c:v>246.19428571428574</c:v>
                </c:pt>
                <c:pt idx="169">
                  <c:v>299.53485761369933</c:v>
                </c:pt>
                <c:pt idx="170">
                  <c:v>161.58600069999997</c:v>
                </c:pt>
                <c:pt idx="171">
                  <c:v>100.25114222935244</c:v>
                </c:pt>
                <c:pt idx="172">
                  <c:v>98.251142229351998</c:v>
                </c:pt>
                <c:pt idx="173">
                  <c:v>58.212857142857146</c:v>
                </c:pt>
                <c:pt idx="174">
                  <c:v>54.184856959751606</c:v>
                </c:pt>
                <c:pt idx="175">
                  <c:v>62.818143027169334</c:v>
                </c:pt>
                <c:pt idx="176">
                  <c:v>55.007428305489626</c:v>
                </c:pt>
                <c:pt idx="177">
                  <c:v>46.462857382857138</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'12.Caudales'!$J$4:$K$181</c:f>
              <c:multiLvlStrCache>
                <c:ptCount val="178"/>
                <c:lvl>
                  <c:pt idx="0">
                    <c:v>1</c:v>
                  </c:pt>
                  <c:pt idx="7">
                    <c:v>8</c:v>
                  </c:pt>
                  <c:pt idx="15">
                    <c:v>16</c:v>
                  </c:pt>
                  <c:pt idx="25">
                    <c:v>26</c:v>
                  </c:pt>
                  <c:pt idx="33">
                    <c:v>34</c:v>
                  </c:pt>
                  <c:pt idx="43">
                    <c:v>44</c:v>
                  </c:pt>
                  <c:pt idx="51">
                    <c:v>52</c:v>
                  </c:pt>
                  <c:pt idx="59">
                    <c:v>8</c:v>
                  </c:pt>
                  <c:pt idx="67">
                    <c:v>16</c:v>
                  </c:pt>
                  <c:pt idx="75">
                    <c:v>24</c:v>
                  </c:pt>
                  <c:pt idx="83">
                    <c:v>32</c:v>
                  </c:pt>
                  <c:pt idx="91">
                    <c:v>40</c:v>
                  </c:pt>
                  <c:pt idx="103">
                    <c:v>52</c:v>
                  </c:pt>
                  <c:pt idx="116">
                    <c:v>13</c:v>
                  </c:pt>
                  <c:pt idx="129">
                    <c:v>26</c:v>
                  </c:pt>
                  <c:pt idx="147">
                    <c:v>44</c:v>
                  </c:pt>
                  <c:pt idx="155">
                    <c:v>52</c:v>
                  </c:pt>
                  <c:pt idx="161">
                    <c:v>6</c:v>
                  </c:pt>
                  <c:pt idx="168">
                    <c:v>13</c:v>
                  </c:pt>
                  <c:pt idx="173">
                    <c:v>18</c:v>
                  </c:pt>
                  <c:pt idx="177">
                    <c:v>22</c:v>
                  </c:pt>
                </c:lvl>
                <c:lvl>
                  <c:pt idx="0">
                    <c:v>2019</c:v>
                  </c:pt>
                  <c:pt idx="53">
                    <c:v>2020</c:v>
                  </c:pt>
                  <c:pt idx="104">
                    <c:v>2021</c:v>
                  </c:pt>
                  <c:pt idx="156">
                    <c:v>2022</c:v>
                  </c:pt>
                </c:lvl>
              </c:multiLvlStrCache>
            </c:multiLvlStrRef>
          </c:cat>
          <c:val>
            <c:numRef>
              <c:f>'12.Caudales'!$O$4:$O$181</c:f>
              <c:numCache>
                <c:formatCode>0.0</c:formatCode>
                <c:ptCount val="178"/>
                <c:pt idx="0">
                  <c:v>21.927143370000003</c:v>
                </c:pt>
                <c:pt idx="1">
                  <c:v>22.397999900000002</c:v>
                </c:pt>
                <c:pt idx="2">
                  <c:v>17.61</c:v>
                </c:pt>
                <c:pt idx="3">
                  <c:v>17.638000354285712</c:v>
                </c:pt>
                <c:pt idx="4">
                  <c:v>19.218833289999999</c:v>
                </c:pt>
                <c:pt idx="5">
                  <c:v>57.185714285714276</c:v>
                </c:pt>
                <c:pt idx="6">
                  <c:v>118.06042697857141</c:v>
                </c:pt>
                <c:pt idx="7">
                  <c:v>106.29885756428571</c:v>
                </c:pt>
                <c:pt idx="8">
                  <c:v>142.12385776285717</c:v>
                </c:pt>
                <c:pt idx="9">
                  <c:v>164.59685624285717</c:v>
                </c:pt>
                <c:pt idx="10">
                  <c:v>121.6507121494835</c:v>
                </c:pt>
                <c:pt idx="11">
                  <c:v>166.63136904761905</c:v>
                </c:pt>
                <c:pt idx="12">
                  <c:v>180.07000078571429</c:v>
                </c:pt>
                <c:pt idx="13">
                  <c:v>143.43971579999999</c:v>
                </c:pt>
                <c:pt idx="14">
                  <c:v>152.6561442857143</c:v>
                </c:pt>
                <c:pt idx="15">
                  <c:v>83.844285145714295</c:v>
                </c:pt>
                <c:pt idx="16">
                  <c:v>125.28814153857142</c:v>
                </c:pt>
                <c:pt idx="17">
                  <c:v>66.347143447142855</c:v>
                </c:pt>
                <c:pt idx="18">
                  <c:v>42.216071428571425</c:v>
                </c:pt>
                <c:pt idx="19">
                  <c:v>58.324429100000003</c:v>
                </c:pt>
                <c:pt idx="20">
                  <c:v>34.032571519999998</c:v>
                </c:pt>
                <c:pt idx="21">
                  <c:v>40.524285998571429</c:v>
                </c:pt>
                <c:pt idx="22">
                  <c:v>25.010571342857141</c:v>
                </c:pt>
                <c:pt idx="23">
                  <c:v>18.242713997857145</c:v>
                </c:pt>
                <c:pt idx="24">
                  <c:v>16.013142995714286</c:v>
                </c:pt>
                <c:pt idx="25">
                  <c:v>12.961571557142857</c:v>
                </c:pt>
                <c:pt idx="26">
                  <c:v>11.39</c:v>
                </c:pt>
                <c:pt idx="27">
                  <c:v>11.405166626666668</c:v>
                </c:pt>
                <c:pt idx="28">
                  <c:v>10.173999945322651</c:v>
                </c:pt>
                <c:pt idx="29">
                  <c:v>9.1716666666666669</c:v>
                </c:pt>
                <c:pt idx="30">
                  <c:v>8.5915715354285727</c:v>
                </c:pt>
                <c:pt idx="31">
                  <c:v>6.6260000637142857</c:v>
                </c:pt>
                <c:pt idx="32">
                  <c:v>5.9311428751428581</c:v>
                </c:pt>
                <c:pt idx="33">
                  <c:v>5.2604285648571434</c:v>
                </c:pt>
                <c:pt idx="34">
                  <c:v>4.7316666444999997</c:v>
                </c:pt>
                <c:pt idx="35">
                  <c:v>4.5542856622857144</c:v>
                </c:pt>
                <c:pt idx="36">
                  <c:v>4.1919999124285718</c:v>
                </c:pt>
                <c:pt idx="37">
                  <c:v>4.1759999999999993</c:v>
                </c:pt>
                <c:pt idx="38">
                  <c:v>4.8932001113891559</c:v>
                </c:pt>
                <c:pt idx="39">
                  <c:v>5.3130000431666664</c:v>
                </c:pt>
                <c:pt idx="40">
                  <c:v>8.3924286701428574</c:v>
                </c:pt>
                <c:pt idx="41">
                  <c:v>9.2871428571428574</c:v>
                </c:pt>
                <c:pt idx="42">
                  <c:v>18.153714861428572</c:v>
                </c:pt>
                <c:pt idx="43">
                  <c:v>19.903499760000003</c:v>
                </c:pt>
                <c:pt idx="44">
                  <c:v>69.077428547142844</c:v>
                </c:pt>
                <c:pt idx="45">
                  <c:v>51.190428054285711</c:v>
                </c:pt>
                <c:pt idx="46">
                  <c:v>21.676285608571426</c:v>
                </c:pt>
                <c:pt idx="47">
                  <c:v>19.428714208571428</c:v>
                </c:pt>
                <c:pt idx="48">
                  <c:v>67.787142617142862</c:v>
                </c:pt>
                <c:pt idx="49">
                  <c:v>46.000713344285714</c:v>
                </c:pt>
                <c:pt idx="50">
                  <c:v>43.586286274285712</c:v>
                </c:pt>
                <c:pt idx="51">
                  <c:v>50.483570642857153</c:v>
                </c:pt>
                <c:pt idx="52">
                  <c:v>83.637714931428576</c:v>
                </c:pt>
                <c:pt idx="53">
                  <c:v>35.412713732038192</c:v>
                </c:pt>
                <c:pt idx="54">
                  <c:v>22.044856754285714</c:v>
                </c:pt>
                <c:pt idx="55">
                  <c:v>18.210142817142859</c:v>
                </c:pt>
                <c:pt idx="56">
                  <c:v>15.934428624285713</c:v>
                </c:pt>
                <c:pt idx="57">
                  <c:v>16.347999845714288</c:v>
                </c:pt>
                <c:pt idx="58">
                  <c:v>24.545571190970243</c:v>
                </c:pt>
                <c:pt idx="59">
                  <c:v>15.5625712530953</c:v>
                </c:pt>
                <c:pt idx="60">
                  <c:v>23.340428760000002</c:v>
                </c:pt>
                <c:pt idx="61">
                  <c:v>51.143429344285714</c:v>
                </c:pt>
                <c:pt idx="62">
                  <c:v>73.820713587142862</c:v>
                </c:pt>
                <c:pt idx="63">
                  <c:v>34.1388571602957</c:v>
                </c:pt>
                <c:pt idx="64">
                  <c:v>66.457714898245612</c:v>
                </c:pt>
                <c:pt idx="65">
                  <c:v>82.626999985714278</c:v>
                </c:pt>
                <c:pt idx="66">
                  <c:v>89.91342707714287</c:v>
                </c:pt>
                <c:pt idx="67">
                  <c:v>73.487428932857142</c:v>
                </c:pt>
                <c:pt idx="68">
                  <c:v>80.585714067731558</c:v>
                </c:pt>
                <c:pt idx="69">
                  <c:v>93.131286082857144</c:v>
                </c:pt>
                <c:pt idx="70">
                  <c:v>43.960427964285714</c:v>
                </c:pt>
                <c:pt idx="71">
                  <c:v>29.038571492857141</c:v>
                </c:pt>
                <c:pt idx="72">
                  <c:v>20.747856957571798</c:v>
                </c:pt>
                <c:pt idx="73">
                  <c:v>28.597570964285715</c:v>
                </c:pt>
                <c:pt idx="74">
                  <c:v>19.104714530000003</c:v>
                </c:pt>
                <c:pt idx="75">
                  <c:v>14.211285591125442</c:v>
                </c:pt>
                <c:pt idx="76">
                  <c:v>11.628714288571429</c:v>
                </c:pt>
                <c:pt idx="77">
                  <c:v>11.67571422</c:v>
                </c:pt>
                <c:pt idx="78">
                  <c:v>27.48885754176543</c:v>
                </c:pt>
                <c:pt idx="79">
                  <c:v>32.395143782857147</c:v>
                </c:pt>
                <c:pt idx="80">
                  <c:v>14.974999971428572</c:v>
                </c:pt>
                <c:pt idx="81">
                  <c:v>14.12842846</c:v>
                </c:pt>
                <c:pt idx="82">
                  <c:v>10.121857098285714</c:v>
                </c:pt>
                <c:pt idx="83">
                  <c:v>7.7241428239004906</c:v>
                </c:pt>
                <c:pt idx="84">
                  <c:v>8.5772858349999996</c:v>
                </c:pt>
                <c:pt idx="85">
                  <c:v>6.7090001108571427</c:v>
                </c:pt>
                <c:pt idx="86">
                  <c:v>5.7295714105878517</c:v>
                </c:pt>
                <c:pt idx="87">
                  <c:v>5.6865714618137853</c:v>
                </c:pt>
                <c:pt idx="88">
                  <c:v>5.3568570954459016</c:v>
                </c:pt>
                <c:pt idx="89">
                  <c:v>6.9268571308680906</c:v>
                </c:pt>
                <c:pt idx="90">
                  <c:v>9.9768571861428565</c:v>
                </c:pt>
                <c:pt idx="91">
                  <c:v>7.1328571184285705</c:v>
                </c:pt>
                <c:pt idx="92">
                  <c:v>4.9102856772857146</c:v>
                </c:pt>
                <c:pt idx="93">
                  <c:v>6.3367142677306969</c:v>
                </c:pt>
                <c:pt idx="94">
                  <c:v>11.867142950714285</c:v>
                </c:pt>
                <c:pt idx="95">
                  <c:v>5.2337141718571427</c:v>
                </c:pt>
                <c:pt idx="96">
                  <c:v>5.0682858059999996</c:v>
                </c:pt>
                <c:pt idx="97">
                  <c:v>4.7745714188571426</c:v>
                </c:pt>
                <c:pt idx="98">
                  <c:v>5.635714394571429</c:v>
                </c:pt>
                <c:pt idx="99">
                  <c:v>27.02714340957143</c:v>
                </c:pt>
                <c:pt idx="100">
                  <c:v>80.020142697142845</c:v>
                </c:pt>
                <c:pt idx="101">
                  <c:v>98.373141695714281</c:v>
                </c:pt>
                <c:pt idx="102">
                  <c:v>141.80585590000001</c:v>
                </c:pt>
                <c:pt idx="103">
                  <c:v>62.055856431428573</c:v>
                </c:pt>
                <c:pt idx="104">
                  <c:v>38.49128532428572</c:v>
                </c:pt>
                <c:pt idx="105">
                  <c:v>52.185428618571436</c:v>
                </c:pt>
                <c:pt idx="106">
                  <c:v>72.971142360000002</c:v>
                </c:pt>
                <c:pt idx="107">
                  <c:v>82.663999837142867</c:v>
                </c:pt>
                <c:pt idx="108">
                  <c:v>54.198429654285711</c:v>
                </c:pt>
                <c:pt idx="109">
                  <c:v>42.827428274285715</c:v>
                </c:pt>
                <c:pt idx="110">
                  <c:v>28.153690476190491</c:v>
                </c:pt>
                <c:pt idx="111">
                  <c:v>19.304999999999993</c:v>
                </c:pt>
                <c:pt idx="112">
                  <c:v>82.847664833068805</c:v>
                </c:pt>
                <c:pt idx="113">
                  <c:v>214.06428527142856</c:v>
                </c:pt>
                <c:pt idx="114">
                  <c:v>132.61828504285714</c:v>
                </c:pt>
                <c:pt idx="115">
                  <c:v>87.668715342857141</c:v>
                </c:pt>
                <c:pt idx="116">
                  <c:v>94.954141882857144</c:v>
                </c:pt>
                <c:pt idx="117">
                  <c:v>151.11671445714288</c:v>
                </c:pt>
                <c:pt idx="118">
                  <c:v>111.99457114285714</c:v>
                </c:pt>
                <c:pt idx="119">
                  <c:v>90.672572548571438</c:v>
                </c:pt>
                <c:pt idx="120">
                  <c:v>75.281570977142863</c:v>
                </c:pt>
                <c:pt idx="121">
                  <c:v>93.952999661428592</c:v>
                </c:pt>
                <c:pt idx="122">
                  <c:v>72.684429168571427</c:v>
                </c:pt>
                <c:pt idx="123">
                  <c:v>98.886571605714281</c:v>
                </c:pt>
                <c:pt idx="124">
                  <c:v>58.580000197142859</c:v>
                </c:pt>
                <c:pt idx="125">
                  <c:v>38.582285198571427</c:v>
                </c:pt>
                <c:pt idx="126">
                  <c:v>58.388999669999997</c:v>
                </c:pt>
                <c:pt idx="127">
                  <c:v>52.608856201428573</c:v>
                </c:pt>
                <c:pt idx="128">
                  <c:v>30.324857167142856</c:v>
                </c:pt>
                <c:pt idx="129">
                  <c:v>42.18199975142857</c:v>
                </c:pt>
                <c:pt idx="130">
                  <c:v>23.356142859999999</c:v>
                </c:pt>
                <c:pt idx="131">
                  <c:v>19.029285704285716</c:v>
                </c:pt>
                <c:pt idx="132">
                  <c:v>17.854285240000003</c:v>
                </c:pt>
                <c:pt idx="133">
                  <c:v>12.897285600000002</c:v>
                </c:pt>
                <c:pt idx="134">
                  <c:v>10.959428514999999</c:v>
                </c:pt>
                <c:pt idx="135">
                  <c:v>9.4098570685714282</c:v>
                </c:pt>
                <c:pt idx="136">
                  <c:v>11.666285786000001</c:v>
                </c:pt>
                <c:pt idx="137">
                  <c:v>14.739857265714283</c:v>
                </c:pt>
                <c:pt idx="138">
                  <c:v>23.257428305714285</c:v>
                </c:pt>
                <c:pt idx="139">
                  <c:v>24.894000052857141</c:v>
                </c:pt>
                <c:pt idx="140">
                  <c:v>23.149857660000002</c:v>
                </c:pt>
                <c:pt idx="141">
                  <c:v>13.527142932857144</c:v>
                </c:pt>
                <c:pt idx="142">
                  <c:v>10.351999963428572</c:v>
                </c:pt>
                <c:pt idx="143">
                  <c:v>63.700570922857146</c:v>
                </c:pt>
                <c:pt idx="144">
                  <c:v>63.922285895714289</c:v>
                </c:pt>
                <c:pt idx="145">
                  <c:v>72.515429361428573</c:v>
                </c:pt>
                <c:pt idx="146">
                  <c:v>61.990286690000005</c:v>
                </c:pt>
                <c:pt idx="147">
                  <c:v>58.057570867142864</c:v>
                </c:pt>
                <c:pt idx="148">
                  <c:v>51.101286207142849</c:v>
                </c:pt>
                <c:pt idx="149">
                  <c:v>29.017713818571433</c:v>
                </c:pt>
                <c:pt idx="150">
                  <c:v>26.885714667142853</c:v>
                </c:pt>
                <c:pt idx="151">
                  <c:v>24.753715515714301</c:v>
                </c:pt>
                <c:pt idx="152">
                  <c:v>44.843001048333328</c:v>
                </c:pt>
                <c:pt idx="153">
                  <c:v>60.681712559999994</c:v>
                </c:pt>
                <c:pt idx="154">
                  <c:v>114.8148585642857</c:v>
                </c:pt>
                <c:pt idx="155">
                  <c:v>50.073429108571432</c:v>
                </c:pt>
                <c:pt idx="156">
                  <c:v>42.987713951428574</c:v>
                </c:pt>
                <c:pt idx="157">
                  <c:v>27.815714701428572</c:v>
                </c:pt>
                <c:pt idx="158">
                  <c:v>25.573857171428568</c:v>
                </c:pt>
                <c:pt idx="159">
                  <c:v>46.27</c:v>
                </c:pt>
                <c:pt idx="160">
                  <c:v>30.758285522857143</c:v>
                </c:pt>
                <c:pt idx="161">
                  <c:v>66.892999371428573</c:v>
                </c:pt>
                <c:pt idx="162">
                  <c:v>69.485213547142905</c:v>
                </c:pt>
                <c:pt idx="163">
                  <c:v>66.892999376569193</c:v>
                </c:pt>
                <c:pt idx="164">
                  <c:v>202.43557085714284</c:v>
                </c:pt>
                <c:pt idx="165">
                  <c:v>221.61685711214301</c:v>
                </c:pt>
                <c:pt idx="166">
                  <c:v>75.359285627092575</c:v>
                </c:pt>
                <c:pt idx="167">
                  <c:v>126.76628439766976</c:v>
                </c:pt>
                <c:pt idx="168">
                  <c:v>182.03142857142853</c:v>
                </c:pt>
                <c:pt idx="169">
                  <c:v>126.58499799455872</c:v>
                </c:pt>
                <c:pt idx="170">
                  <c:v>108.36571609857143</c:v>
                </c:pt>
                <c:pt idx="171">
                  <c:v>80.749999999999957</c:v>
                </c:pt>
                <c:pt idx="172">
                  <c:v>74.78</c:v>
                </c:pt>
                <c:pt idx="173">
                  <c:v>55.015714285714289</c:v>
                </c:pt>
                <c:pt idx="174">
                  <c:v>63.114713941301552</c:v>
                </c:pt>
                <c:pt idx="175">
                  <c:v>74.948570251464801</c:v>
                </c:pt>
                <c:pt idx="176">
                  <c:v>40.69300024850024</c:v>
                </c:pt>
                <c:pt idx="177">
                  <c:v>34.15499986857143</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'12.Caudales'!$J$4:$K$181</c:f>
              <c:multiLvlStrCache>
                <c:ptCount val="178"/>
                <c:lvl>
                  <c:pt idx="0">
                    <c:v>1</c:v>
                  </c:pt>
                  <c:pt idx="7">
                    <c:v>8</c:v>
                  </c:pt>
                  <c:pt idx="15">
                    <c:v>16</c:v>
                  </c:pt>
                  <c:pt idx="25">
                    <c:v>26</c:v>
                  </c:pt>
                  <c:pt idx="33">
                    <c:v>34</c:v>
                  </c:pt>
                  <c:pt idx="43">
                    <c:v>44</c:v>
                  </c:pt>
                  <c:pt idx="51">
                    <c:v>52</c:v>
                  </c:pt>
                  <c:pt idx="59">
                    <c:v>8</c:v>
                  </c:pt>
                  <c:pt idx="67">
                    <c:v>16</c:v>
                  </c:pt>
                  <c:pt idx="75">
                    <c:v>24</c:v>
                  </c:pt>
                  <c:pt idx="83">
                    <c:v>32</c:v>
                  </c:pt>
                  <c:pt idx="91">
                    <c:v>40</c:v>
                  </c:pt>
                  <c:pt idx="103">
                    <c:v>52</c:v>
                  </c:pt>
                  <c:pt idx="116">
                    <c:v>13</c:v>
                  </c:pt>
                  <c:pt idx="129">
                    <c:v>26</c:v>
                  </c:pt>
                  <c:pt idx="147">
                    <c:v>44</c:v>
                  </c:pt>
                  <c:pt idx="155">
                    <c:v>52</c:v>
                  </c:pt>
                  <c:pt idx="161">
                    <c:v>6</c:v>
                  </c:pt>
                  <c:pt idx="168">
                    <c:v>13</c:v>
                  </c:pt>
                  <c:pt idx="173">
                    <c:v>18</c:v>
                  </c:pt>
                  <c:pt idx="177">
                    <c:v>22</c:v>
                  </c:pt>
                </c:lvl>
                <c:lvl>
                  <c:pt idx="0">
                    <c:v>2019</c:v>
                  </c:pt>
                  <c:pt idx="53">
                    <c:v>2020</c:v>
                  </c:pt>
                  <c:pt idx="104">
                    <c:v>2021</c:v>
                  </c:pt>
                  <c:pt idx="156">
                    <c:v>2022</c:v>
                  </c:pt>
                </c:lvl>
              </c:multiLvlStrCache>
            </c:multiLvlStrRef>
          </c:cat>
          <c:val>
            <c:numRef>
              <c:f>'12.Caudales'!$M$4:$M$181</c:f>
              <c:numCache>
                <c:formatCode>0.0</c:formatCode>
                <c:ptCount val="178"/>
                <c:pt idx="0">
                  <c:v>27.79999951142857</c:v>
                </c:pt>
                <c:pt idx="1">
                  <c:v>28.678571428571427</c:v>
                </c:pt>
                <c:pt idx="2">
                  <c:v>44.51</c:v>
                </c:pt>
                <c:pt idx="3">
                  <c:v>73.323141914285699</c:v>
                </c:pt>
                <c:pt idx="4">
                  <c:v>103.17716724333333</c:v>
                </c:pt>
                <c:pt idx="5">
                  <c:v>79.165714285714287</c:v>
                </c:pt>
                <c:pt idx="6">
                  <c:v>120.02256992142858</c:v>
                </c:pt>
                <c:pt idx="7">
                  <c:v>97.560142514285715</c:v>
                </c:pt>
                <c:pt idx="8">
                  <c:v>97.560142514285715</c:v>
                </c:pt>
                <c:pt idx="9">
                  <c:v>97.497286117142863</c:v>
                </c:pt>
                <c:pt idx="10">
                  <c:v>98.21585736955906</c:v>
                </c:pt>
                <c:pt idx="11">
                  <c:v>91.857713972857141</c:v>
                </c:pt>
                <c:pt idx="12">
                  <c:v>100.0137132957143</c:v>
                </c:pt>
                <c:pt idx="13">
                  <c:v>84.272714885714294</c:v>
                </c:pt>
                <c:pt idx="14">
                  <c:v>61.074856892857142</c:v>
                </c:pt>
                <c:pt idx="15">
                  <c:v>47.843714031428576</c:v>
                </c:pt>
                <c:pt idx="16">
                  <c:v>50.907143728571427</c:v>
                </c:pt>
                <c:pt idx="17">
                  <c:v>39.120999471428568</c:v>
                </c:pt>
                <c:pt idx="18">
                  <c:v>35.410856791428571</c:v>
                </c:pt>
                <c:pt idx="19">
                  <c:v>32.405142920000003</c:v>
                </c:pt>
                <c:pt idx="20">
                  <c:v>26.58385740142857</c:v>
                </c:pt>
                <c:pt idx="21">
                  <c:v>19.653714315714286</c:v>
                </c:pt>
                <c:pt idx="22">
                  <c:v>16.50400011857143</c:v>
                </c:pt>
                <c:pt idx="23">
                  <c:v>14.890428544285713</c:v>
                </c:pt>
                <c:pt idx="24">
                  <c:v>15.340000017142858</c:v>
                </c:pt>
                <c:pt idx="25">
                  <c:v>15.521142687142857</c:v>
                </c:pt>
                <c:pt idx="26">
                  <c:v>15.32</c:v>
                </c:pt>
                <c:pt idx="27">
                  <c:v>14.809428488571427</c:v>
                </c:pt>
                <c:pt idx="28">
                  <c:v>13.666428565978956</c:v>
                </c:pt>
                <c:pt idx="29">
                  <c:v>13.392857142857142</c:v>
                </c:pt>
                <c:pt idx="30">
                  <c:v>13.098428589999999</c:v>
                </c:pt>
                <c:pt idx="31">
                  <c:v>12.228285654285713</c:v>
                </c:pt>
                <c:pt idx="32">
                  <c:v>12.838714327142856</c:v>
                </c:pt>
                <c:pt idx="33">
                  <c:v>12.37928554</c:v>
                </c:pt>
                <c:pt idx="34">
                  <c:v>11.92371409142857</c:v>
                </c:pt>
                <c:pt idx="35">
                  <c:v>10.731857162857143</c:v>
                </c:pt>
                <c:pt idx="36">
                  <c:v>11.481428825714286</c:v>
                </c:pt>
                <c:pt idx="37">
                  <c:v>12.217142857142859</c:v>
                </c:pt>
                <c:pt idx="38">
                  <c:v>15.0261430740356</c:v>
                </c:pt>
                <c:pt idx="39">
                  <c:v>13.292000225714288</c:v>
                </c:pt>
                <c:pt idx="40">
                  <c:v>15.472143037142859</c:v>
                </c:pt>
                <c:pt idx="41">
                  <c:v>14.602857142857143</c:v>
                </c:pt>
                <c:pt idx="42">
                  <c:v>18.763999527142854</c:v>
                </c:pt>
                <c:pt idx="43">
                  <c:v>12.722428322857143</c:v>
                </c:pt>
                <c:pt idx="44">
                  <c:v>22.372000012857146</c:v>
                </c:pt>
                <c:pt idx="45">
                  <c:v>28.101571491428576</c:v>
                </c:pt>
                <c:pt idx="46">
                  <c:v>22.222285951428574</c:v>
                </c:pt>
                <c:pt idx="47">
                  <c:v>18.796428408571426</c:v>
                </c:pt>
                <c:pt idx="48">
                  <c:v>40.459857124285712</c:v>
                </c:pt>
                <c:pt idx="49">
                  <c:v>55.208571570000004</c:v>
                </c:pt>
                <c:pt idx="50">
                  <c:v>84.778857641428559</c:v>
                </c:pt>
                <c:pt idx="51">
                  <c:v>90.21400125571428</c:v>
                </c:pt>
                <c:pt idx="52">
                  <c:v>80.061285835714287</c:v>
                </c:pt>
                <c:pt idx="53">
                  <c:v>42.7519994463239</c:v>
                </c:pt>
                <c:pt idx="54">
                  <c:v>30.679571151428568</c:v>
                </c:pt>
                <c:pt idx="55">
                  <c:v>46.443999700000006</c:v>
                </c:pt>
                <c:pt idx="56">
                  <c:v>56.559571404285713</c:v>
                </c:pt>
                <c:pt idx="57">
                  <c:v>85.997285015714283</c:v>
                </c:pt>
                <c:pt idx="58">
                  <c:v>79.643857683454215</c:v>
                </c:pt>
                <c:pt idx="59">
                  <c:v>41.134571620396166</c:v>
                </c:pt>
                <c:pt idx="60">
                  <c:v>70.027142117142859</c:v>
                </c:pt>
                <c:pt idx="61">
                  <c:v>51.713285718571434</c:v>
                </c:pt>
                <c:pt idx="62">
                  <c:v>64.999999455714274</c:v>
                </c:pt>
                <c:pt idx="63">
                  <c:v>70.530143192836164</c:v>
                </c:pt>
                <c:pt idx="64">
                  <c:v>73.710714612688278</c:v>
                </c:pt>
                <c:pt idx="65">
                  <c:v>57.796857017142862</c:v>
                </c:pt>
                <c:pt idx="66">
                  <c:v>44.430285317142861</c:v>
                </c:pt>
                <c:pt idx="67">
                  <c:v>30.701856885714285</c:v>
                </c:pt>
                <c:pt idx="68">
                  <c:v>24.932857240949314</c:v>
                </c:pt>
                <c:pt idx="69">
                  <c:v>46.867285591428576</c:v>
                </c:pt>
                <c:pt idx="70">
                  <c:v>39.880857740000003</c:v>
                </c:pt>
                <c:pt idx="71">
                  <c:v>34.332998821428575</c:v>
                </c:pt>
                <c:pt idx="72">
                  <c:v>28.39914212908057</c:v>
                </c:pt>
                <c:pt idx="73">
                  <c:v>19.016142710000004</c:v>
                </c:pt>
                <c:pt idx="74">
                  <c:v>16.323713982857143</c:v>
                </c:pt>
                <c:pt idx="75">
                  <c:v>14.458999906267413</c:v>
                </c:pt>
                <c:pt idx="76">
                  <c:v>13.476999827142858</c:v>
                </c:pt>
                <c:pt idx="77">
                  <c:v>14.175142699999999</c:v>
                </c:pt>
                <c:pt idx="78">
                  <c:v>12.859571456909155</c:v>
                </c:pt>
                <c:pt idx="79">
                  <c:v>11.472142902857144</c:v>
                </c:pt>
                <c:pt idx="80">
                  <c:v>11.32885715142857</c:v>
                </c:pt>
                <c:pt idx="81">
                  <c:v>11.152000155714285</c:v>
                </c:pt>
                <c:pt idx="82">
                  <c:v>10.852571488571428</c:v>
                </c:pt>
                <c:pt idx="83">
                  <c:v>10.338285718645329</c:v>
                </c:pt>
                <c:pt idx="84">
                  <c:v>11.413999967142857</c:v>
                </c:pt>
                <c:pt idx="85">
                  <c:v>11.662143027142859</c:v>
                </c:pt>
                <c:pt idx="86">
                  <c:v>11.541428702218141</c:v>
                </c:pt>
                <c:pt idx="87">
                  <c:v>13.286857196262856</c:v>
                </c:pt>
                <c:pt idx="88">
                  <c:v>15.49071434565947</c:v>
                </c:pt>
                <c:pt idx="89">
                  <c:v>16.166143281119158</c:v>
                </c:pt>
                <c:pt idx="90">
                  <c:v>16.810999734285712</c:v>
                </c:pt>
                <c:pt idx="91">
                  <c:v>14.579285758571428</c:v>
                </c:pt>
                <c:pt idx="92">
                  <c:v>13.048857279999998</c:v>
                </c:pt>
                <c:pt idx="93">
                  <c:v>14.871000289916955</c:v>
                </c:pt>
                <c:pt idx="94">
                  <c:v>21.991714477142857</c:v>
                </c:pt>
                <c:pt idx="95">
                  <c:v>13.904857091428573</c:v>
                </c:pt>
                <c:pt idx="96">
                  <c:v>13.184428621428571</c:v>
                </c:pt>
                <c:pt idx="97">
                  <c:v>13.14228561857143</c:v>
                </c:pt>
                <c:pt idx="98">
                  <c:v>15.124714305714289</c:v>
                </c:pt>
                <c:pt idx="99">
                  <c:v>27.692142758571432</c:v>
                </c:pt>
                <c:pt idx="100">
                  <c:v>64.694000790000004</c:v>
                </c:pt>
                <c:pt idx="101">
                  <c:v>43.356857299999994</c:v>
                </c:pt>
                <c:pt idx="102">
                  <c:v>66.695286888571431</c:v>
                </c:pt>
                <c:pt idx="103">
                  <c:v>79.132000515714282</c:v>
                </c:pt>
                <c:pt idx="104">
                  <c:v>93.616000575714295</c:v>
                </c:pt>
                <c:pt idx="105">
                  <c:v>109.19371577142856</c:v>
                </c:pt>
                <c:pt idx="106">
                  <c:v>111.32100131428571</c:v>
                </c:pt>
                <c:pt idx="107">
                  <c:v>111.11885721428568</c:v>
                </c:pt>
                <c:pt idx="108">
                  <c:v>108.66071318571429</c:v>
                </c:pt>
                <c:pt idx="109">
                  <c:v>90.469143462857147</c:v>
                </c:pt>
                <c:pt idx="110">
                  <c:v>58.4</c:v>
                </c:pt>
                <c:pt idx="111">
                  <c:v>45.103515238095234</c:v>
                </c:pt>
                <c:pt idx="112">
                  <c:v>56.496856689453068</c:v>
                </c:pt>
                <c:pt idx="113">
                  <c:v>90.554714198571432</c:v>
                </c:pt>
                <c:pt idx="114">
                  <c:v>98.085857941428586</c:v>
                </c:pt>
                <c:pt idx="115">
                  <c:v>87.426713118571428</c:v>
                </c:pt>
                <c:pt idx="116">
                  <c:v>85.733285082857151</c:v>
                </c:pt>
                <c:pt idx="117">
                  <c:v>98.095142921428561</c:v>
                </c:pt>
                <c:pt idx="118">
                  <c:v>83.773572649999991</c:v>
                </c:pt>
                <c:pt idx="119">
                  <c:v>56.958000185714283</c:v>
                </c:pt>
                <c:pt idx="120">
                  <c:v>48.746000017142855</c:v>
                </c:pt>
                <c:pt idx="121">
                  <c:v>40.494427817142864</c:v>
                </c:pt>
                <c:pt idx="122">
                  <c:v>35.466286249999996</c:v>
                </c:pt>
                <c:pt idx="123">
                  <c:v>28.18171392</c:v>
                </c:pt>
                <c:pt idx="124">
                  <c:v>26.549999781428571</c:v>
                </c:pt>
                <c:pt idx="125">
                  <c:v>21.825286048571424</c:v>
                </c:pt>
                <c:pt idx="126">
                  <c:v>20.536714282857144</c:v>
                </c:pt>
                <c:pt idx="127">
                  <c:v>18.521000181428573</c:v>
                </c:pt>
                <c:pt idx="128">
                  <c:v>17.337857111428569</c:v>
                </c:pt>
                <c:pt idx="129">
                  <c:v>16.257714270000001</c:v>
                </c:pt>
                <c:pt idx="130">
                  <c:v>15.06657137</c:v>
                </c:pt>
                <c:pt idx="131">
                  <c:v>14.248142924285716</c:v>
                </c:pt>
                <c:pt idx="132">
                  <c:v>13.477857045714286</c:v>
                </c:pt>
                <c:pt idx="133">
                  <c:v>12.691000122857146</c:v>
                </c:pt>
                <c:pt idx="134">
                  <c:v>13.016714095714283</c:v>
                </c:pt>
                <c:pt idx="135">
                  <c:v>11.867571422857141</c:v>
                </c:pt>
                <c:pt idx="136">
                  <c:v>11.566857065714288</c:v>
                </c:pt>
                <c:pt idx="137">
                  <c:v>13.598856790000001</c:v>
                </c:pt>
                <c:pt idx="138">
                  <c:v>18.389285224285715</c:v>
                </c:pt>
                <c:pt idx="139">
                  <c:v>17.729570935714285</c:v>
                </c:pt>
                <c:pt idx="140">
                  <c:v>17.365428380000001</c:v>
                </c:pt>
                <c:pt idx="141">
                  <c:v>17.876142775714285</c:v>
                </c:pt>
                <c:pt idx="142">
                  <c:v>17.151999882857144</c:v>
                </c:pt>
                <c:pt idx="143">
                  <c:v>24.65814318</c:v>
                </c:pt>
                <c:pt idx="144">
                  <c:v>24.683571132857143</c:v>
                </c:pt>
                <c:pt idx="145">
                  <c:v>30.132285525714284</c:v>
                </c:pt>
                <c:pt idx="146">
                  <c:v>21.635857172857147</c:v>
                </c:pt>
                <c:pt idx="147">
                  <c:v>18.680143085714285</c:v>
                </c:pt>
                <c:pt idx="148">
                  <c:v>19.11199978285714</c:v>
                </c:pt>
                <c:pt idx="149">
                  <c:v>17.194857187142855</c:v>
                </c:pt>
                <c:pt idx="150">
                  <c:v>18.301142828571432</c:v>
                </c:pt>
                <c:pt idx="151">
                  <c:v>48.1</c:v>
                </c:pt>
                <c:pt idx="152">
                  <c:v>72.532000404285711</c:v>
                </c:pt>
                <c:pt idx="153">
                  <c:v>52.053428651428568</c:v>
                </c:pt>
                <c:pt idx="154">
                  <c:v>30.144714355714289</c:v>
                </c:pt>
                <c:pt idx="155">
                  <c:v>24.471428735714284</c:v>
                </c:pt>
                <c:pt idx="156">
                  <c:v>27.003000530000001</c:v>
                </c:pt>
                <c:pt idx="157">
                  <c:v>21.311000005714284</c:v>
                </c:pt>
                <c:pt idx="158">
                  <c:v>18.403857367142855</c:v>
                </c:pt>
                <c:pt idx="159">
                  <c:v>39.156999861428574</c:v>
                </c:pt>
                <c:pt idx="160">
                  <c:v>43.204429082857139</c:v>
                </c:pt>
                <c:pt idx="161">
                  <c:v>79.27385765999999</c:v>
                </c:pt>
                <c:pt idx="162">
                  <c:v>82.487914902714195</c:v>
                </c:pt>
                <c:pt idx="163">
                  <c:v>69.997998918805749</c:v>
                </c:pt>
                <c:pt idx="164">
                  <c:v>88.40642874285713</c:v>
                </c:pt>
                <c:pt idx="165">
                  <c:v>97.012568035088606</c:v>
                </c:pt>
                <c:pt idx="166">
                  <c:v>119.25400107247444</c:v>
                </c:pt>
                <c:pt idx="167">
                  <c:v>87.219570704868829</c:v>
                </c:pt>
                <c:pt idx="168">
                  <c:v>94.784285714285701</c:v>
                </c:pt>
                <c:pt idx="169">
                  <c:v>107.18971470424081</c:v>
                </c:pt>
                <c:pt idx="170">
                  <c:v>81.303429194285712</c:v>
                </c:pt>
                <c:pt idx="171">
                  <c:v>57.173570905412909</c:v>
                </c:pt>
                <c:pt idx="172">
                  <c:v>56.173570905412902</c:v>
                </c:pt>
                <c:pt idx="173">
                  <c:v>32.715714285714284</c:v>
                </c:pt>
                <c:pt idx="174">
                  <c:v>28.384857177734325</c:v>
                </c:pt>
                <c:pt idx="175">
                  <c:v>29.131428854806028</c:v>
                </c:pt>
                <c:pt idx="176">
                  <c:v>24.248714174543085</c:v>
                </c:pt>
                <c:pt idx="177">
                  <c:v>20.351571764285715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2602.1822321374998</c:v>
                </c:pt>
                <c:pt idx="1">
                  <c:v>1676.0198478275004</c:v>
                </c:pt>
                <c:pt idx="2">
                  <c:v>5.7304631749999997</c:v>
                </c:pt>
                <c:pt idx="3">
                  <c:v>4.3108132800000005</c:v>
                </c:pt>
                <c:pt idx="4">
                  <c:v>23.917403714999999</c:v>
                </c:pt>
                <c:pt idx="5">
                  <c:v>159.5248791475</c:v>
                </c:pt>
                <c:pt idx="6">
                  <c:v>57.124060049999997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1717.6699561725002</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1.9145844374999998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24.512633592500002</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171.76328389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62.212973372500002</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'13.Caudales'!$N$4:$O$182</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'13.Caudales'!$Q$4:$Q$182</c:f>
              <c:numCache>
                <c:formatCode>0.0</c:formatCode>
                <c:ptCount val="179"/>
                <c:pt idx="0">
                  <c:v>8.992857251428573</c:v>
                </c:pt>
                <c:pt idx="1">
                  <c:v>7.4904285157142843</c:v>
                </c:pt>
                <c:pt idx="2">
                  <c:v>14.36</c:v>
                </c:pt>
                <c:pt idx="3">
                  <c:v>17.131428719999999</c:v>
                </c:pt>
                <c:pt idx="4">
                  <c:v>30.592286245714288</c:v>
                </c:pt>
                <c:pt idx="5">
                  <c:v>20.372857142857146</c:v>
                </c:pt>
                <c:pt idx="6">
                  <c:v>28.837571554285717</c:v>
                </c:pt>
                <c:pt idx="7">
                  <c:v>20.077857700000003</c:v>
                </c:pt>
                <c:pt idx="8">
                  <c:v>26.317999977142858</c:v>
                </c:pt>
                <c:pt idx="9">
                  <c:v>27.959571565714288</c:v>
                </c:pt>
                <c:pt idx="10">
                  <c:v>27.959571565714288</c:v>
                </c:pt>
                <c:pt idx="11">
                  <c:v>28.476714270455457</c:v>
                </c:pt>
                <c:pt idx="12">
                  <c:v>24.844714028571435</c:v>
                </c:pt>
                <c:pt idx="13">
                  <c:v>29.483285902857141</c:v>
                </c:pt>
                <c:pt idx="14">
                  <c:v>20.040428705714284</c:v>
                </c:pt>
                <c:pt idx="15">
                  <c:v>16.072142737142858</c:v>
                </c:pt>
                <c:pt idx="16">
                  <c:v>15.383999960000001</c:v>
                </c:pt>
                <c:pt idx="17">
                  <c:v>16.026142665714286</c:v>
                </c:pt>
                <c:pt idx="18">
                  <c:v>14.769714355714287</c:v>
                </c:pt>
                <c:pt idx="19">
                  <c:v>13.81242861</c:v>
                </c:pt>
                <c:pt idx="20">
                  <c:v>12.849714414285714</c:v>
                </c:pt>
                <c:pt idx="21">
                  <c:v>12.105428559999998</c:v>
                </c:pt>
                <c:pt idx="22">
                  <c:v>11.272714207142856</c:v>
                </c:pt>
                <c:pt idx="23">
                  <c:v>10.867999894285715</c:v>
                </c:pt>
                <c:pt idx="24">
                  <c:v>10.167285918857143</c:v>
                </c:pt>
                <c:pt idx="25">
                  <c:v>9.3535717554285718</c:v>
                </c:pt>
                <c:pt idx="26">
                  <c:v>8.86</c:v>
                </c:pt>
                <c:pt idx="27">
                  <c:v>8.9135712215714289</c:v>
                </c:pt>
                <c:pt idx="28">
                  <c:v>9.1244284766060932</c:v>
                </c:pt>
                <c:pt idx="29">
                  <c:v>8.5528571428571407</c:v>
                </c:pt>
                <c:pt idx="30">
                  <c:v>8.6655714172857152</c:v>
                </c:pt>
                <c:pt idx="31">
                  <c:v>8.8231430052857132</c:v>
                </c:pt>
                <c:pt idx="32">
                  <c:v>7.5077142715714285</c:v>
                </c:pt>
                <c:pt idx="33">
                  <c:v>7.6147142817142859</c:v>
                </c:pt>
                <c:pt idx="34">
                  <c:v>8.7815715245714294</c:v>
                </c:pt>
                <c:pt idx="35">
                  <c:v>8.2851428302857144</c:v>
                </c:pt>
                <c:pt idx="36">
                  <c:v>7.6475714954285712</c:v>
                </c:pt>
                <c:pt idx="37">
                  <c:v>7.6971428571428575</c:v>
                </c:pt>
                <c:pt idx="38">
                  <c:v>7.6702859061104887</c:v>
                </c:pt>
                <c:pt idx="39">
                  <c:v>6.5494285314285721</c:v>
                </c:pt>
                <c:pt idx="40">
                  <c:v>8.096428529999999</c:v>
                </c:pt>
                <c:pt idx="41">
                  <c:v>7.4685714285714289</c:v>
                </c:pt>
                <c:pt idx="42">
                  <c:v>8.9041427881428579</c:v>
                </c:pt>
                <c:pt idx="43">
                  <c:v>7.8245713370000001</c:v>
                </c:pt>
                <c:pt idx="44">
                  <c:v>9.4607142031428566</c:v>
                </c:pt>
                <c:pt idx="45">
                  <c:v>9.3077141910000005</c:v>
                </c:pt>
                <c:pt idx="46">
                  <c:v>9.4625713492857138</c:v>
                </c:pt>
                <c:pt idx="47">
                  <c:v>10.788142817999999</c:v>
                </c:pt>
                <c:pt idx="48">
                  <c:v>12.195857184142856</c:v>
                </c:pt>
                <c:pt idx="49">
                  <c:v>12.195857184142856</c:v>
                </c:pt>
                <c:pt idx="50">
                  <c:v>18.622142792857144</c:v>
                </c:pt>
                <c:pt idx="51">
                  <c:v>29.98</c:v>
                </c:pt>
                <c:pt idx="52">
                  <c:v>16.182714325714286</c:v>
                </c:pt>
                <c:pt idx="53">
                  <c:v>12.763571330479184</c:v>
                </c:pt>
                <c:pt idx="54">
                  <c:v>13.386285781428571</c:v>
                </c:pt>
                <c:pt idx="55">
                  <c:v>15.196428435714285</c:v>
                </c:pt>
                <c:pt idx="56">
                  <c:v>16.57199968714286</c:v>
                </c:pt>
                <c:pt idx="57">
                  <c:v>25.675428661428576</c:v>
                </c:pt>
                <c:pt idx="58">
                  <c:v>22.638571330479174</c:v>
                </c:pt>
                <c:pt idx="59">
                  <c:v>24.818285805714286</c:v>
                </c:pt>
                <c:pt idx="60">
                  <c:v>16.877285957336387</c:v>
                </c:pt>
                <c:pt idx="61">
                  <c:v>20.463000162857146</c:v>
                </c:pt>
                <c:pt idx="62">
                  <c:v>20.001714159999999</c:v>
                </c:pt>
                <c:pt idx="63">
                  <c:v>20.464285714285715</c:v>
                </c:pt>
                <c:pt idx="64">
                  <c:v>23.032714026314846</c:v>
                </c:pt>
                <c:pt idx="65">
                  <c:v>27.558857236589642</c:v>
                </c:pt>
                <c:pt idx="66">
                  <c:v>18.795857294285714</c:v>
                </c:pt>
                <c:pt idx="67">
                  <c:v>16.380999974285714</c:v>
                </c:pt>
                <c:pt idx="68">
                  <c:v>15.142857142857142</c:v>
                </c:pt>
                <c:pt idx="69">
                  <c:v>14.535142626081141</c:v>
                </c:pt>
                <c:pt idx="70">
                  <c:v>15.919285638571427</c:v>
                </c:pt>
                <c:pt idx="71">
                  <c:v>16.148714472857144</c:v>
                </c:pt>
                <c:pt idx="72">
                  <c:v>13.91285719</c:v>
                </c:pt>
                <c:pt idx="73">
                  <c:v>12.832571710859</c:v>
                </c:pt>
                <c:pt idx="74">
                  <c:v>11.589857237142857</c:v>
                </c:pt>
                <c:pt idx="75">
                  <c:v>10.866000038571428</c:v>
                </c:pt>
                <c:pt idx="76">
                  <c:v>10.893428530011814</c:v>
                </c:pt>
                <c:pt idx="77">
                  <c:v>9.7685713087142858</c:v>
                </c:pt>
                <c:pt idx="78">
                  <c:v>9.3011428291428579</c:v>
                </c:pt>
                <c:pt idx="79">
                  <c:v>9.0898572376796078</c:v>
                </c:pt>
                <c:pt idx="80">
                  <c:v>8.3315715788571421</c:v>
                </c:pt>
                <c:pt idx="81">
                  <c:v>8.7399999755714273</c:v>
                </c:pt>
                <c:pt idx="82">
                  <c:v>8.2612857819999999</c:v>
                </c:pt>
                <c:pt idx="83">
                  <c:v>7.5295715331428577</c:v>
                </c:pt>
                <c:pt idx="84">
                  <c:v>7.1332857268197154</c:v>
                </c:pt>
                <c:pt idx="85">
                  <c:v>7.307000092</c:v>
                </c:pt>
                <c:pt idx="86">
                  <c:v>6.8864285605714288</c:v>
                </c:pt>
                <c:pt idx="87">
                  <c:v>6.9537143707275364</c:v>
                </c:pt>
                <c:pt idx="88">
                  <c:v>6.8990000316074882</c:v>
                </c:pt>
                <c:pt idx="89">
                  <c:v>6.6838571003505107</c:v>
                </c:pt>
                <c:pt idx="90">
                  <c:v>7.5399999618530247</c:v>
                </c:pt>
                <c:pt idx="91">
                  <c:v>6.875</c:v>
                </c:pt>
                <c:pt idx="92">
                  <c:v>6.0911429268571426</c:v>
                </c:pt>
                <c:pt idx="93">
                  <c:v>5.8652857372857152</c:v>
                </c:pt>
                <c:pt idx="94">
                  <c:v>6.6280000550406255</c:v>
                </c:pt>
                <c:pt idx="95">
                  <c:v>7.1351429394285715</c:v>
                </c:pt>
                <c:pt idx="96">
                  <c:v>6.1070000102857147</c:v>
                </c:pt>
                <c:pt idx="97">
                  <c:v>5.6735714502857144</c:v>
                </c:pt>
                <c:pt idx="98">
                  <c:v>5.9637143271428581</c:v>
                </c:pt>
                <c:pt idx="99">
                  <c:v>6.7792857034285712</c:v>
                </c:pt>
                <c:pt idx="100">
                  <c:v>8.2138571738571429</c:v>
                </c:pt>
                <c:pt idx="101">
                  <c:v>17.68042864142857</c:v>
                </c:pt>
                <c:pt idx="102">
                  <c:v>12.617142812857141</c:v>
                </c:pt>
                <c:pt idx="103">
                  <c:v>19.502285685714288</c:v>
                </c:pt>
                <c:pt idx="104">
                  <c:v>24.478714262857146</c:v>
                </c:pt>
                <c:pt idx="105">
                  <c:v>32.471142904285713</c:v>
                </c:pt>
                <c:pt idx="106">
                  <c:v>29.357571737142859</c:v>
                </c:pt>
                <c:pt idx="107">
                  <c:v>27.718428745714288</c:v>
                </c:pt>
                <c:pt idx="108">
                  <c:v>30.739285877142859</c:v>
                </c:pt>
                <c:pt idx="109">
                  <c:v>25.584571565714288</c:v>
                </c:pt>
                <c:pt idx="110">
                  <c:v>18.677976190476191</c:v>
                </c:pt>
                <c:pt idx="111">
                  <c:v>18.677976190476191</c:v>
                </c:pt>
                <c:pt idx="112">
                  <c:v>15.895833333333314</c:v>
                </c:pt>
                <c:pt idx="113">
                  <c:v>16.03157152448377</c:v>
                </c:pt>
                <c:pt idx="114">
                  <c:v>28.276142392857142</c:v>
                </c:pt>
                <c:pt idx="115">
                  <c:v>28.634571619999999</c:v>
                </c:pt>
                <c:pt idx="116">
                  <c:v>28.223285404285715</c:v>
                </c:pt>
                <c:pt idx="117">
                  <c:v>27.516571317142855</c:v>
                </c:pt>
                <c:pt idx="118">
                  <c:v>29.126714707142856</c:v>
                </c:pt>
                <c:pt idx="119" formatCode="0.00">
                  <c:v>28.420428685714288</c:v>
                </c:pt>
                <c:pt idx="120">
                  <c:v>21.880999702857146</c:v>
                </c:pt>
                <c:pt idx="121">
                  <c:v>18.000999994285714</c:v>
                </c:pt>
                <c:pt idx="122">
                  <c:v>16.076714378571427</c:v>
                </c:pt>
                <c:pt idx="123">
                  <c:v>15.213571411428573</c:v>
                </c:pt>
                <c:pt idx="124">
                  <c:v>14.241714205714286</c:v>
                </c:pt>
                <c:pt idx="125">
                  <c:v>14.091571398571428</c:v>
                </c:pt>
                <c:pt idx="126">
                  <c:v>12.206428662857144</c:v>
                </c:pt>
                <c:pt idx="127">
                  <c:v>10.714285714285714</c:v>
                </c:pt>
                <c:pt idx="128">
                  <c:v>10.648285731428571</c:v>
                </c:pt>
                <c:pt idx="129">
                  <c:v>10.931000164428569</c:v>
                </c:pt>
                <c:pt idx="130">
                  <c:v>9.871286118714286</c:v>
                </c:pt>
                <c:pt idx="131">
                  <c:v>9.2658571514285715</c:v>
                </c:pt>
                <c:pt idx="132">
                  <c:v>8.3581429888571428</c:v>
                </c:pt>
                <c:pt idx="133">
                  <c:v>8.2642856324285709</c:v>
                </c:pt>
                <c:pt idx="134">
                  <c:v>7.629714148142857</c:v>
                </c:pt>
                <c:pt idx="135">
                  <c:v>7.8445713860000001</c:v>
                </c:pt>
                <c:pt idx="136">
                  <c:v>7.8535714147142865</c:v>
                </c:pt>
                <c:pt idx="137">
                  <c:v>7.8434285441428573</c:v>
                </c:pt>
                <c:pt idx="138">
                  <c:v>8.0232857294285722</c:v>
                </c:pt>
                <c:pt idx="139">
                  <c:v>9.1238570895714286</c:v>
                </c:pt>
                <c:pt idx="140">
                  <c:v>8.2869999062857129</c:v>
                </c:pt>
                <c:pt idx="141">
                  <c:v>7.2742856564285701</c:v>
                </c:pt>
                <c:pt idx="142">
                  <c:v>5.7302856442857149</c:v>
                </c:pt>
                <c:pt idx="143">
                  <c:v>5.3494285172857152</c:v>
                </c:pt>
                <c:pt idx="144">
                  <c:v>5.4815714698571432</c:v>
                </c:pt>
                <c:pt idx="145">
                  <c:v>6.414142881000001</c:v>
                </c:pt>
                <c:pt idx="146">
                  <c:v>7.0597143174285719</c:v>
                </c:pt>
                <c:pt idx="147">
                  <c:v>6.5518571988571432</c:v>
                </c:pt>
                <c:pt idx="148">
                  <c:v>6.2178571565714282</c:v>
                </c:pt>
                <c:pt idx="149">
                  <c:v>5.7207142285714285</c:v>
                </c:pt>
                <c:pt idx="150">
                  <c:v>5.8224285672857139</c:v>
                </c:pt>
                <c:pt idx="151">
                  <c:v>8.7129998894285716</c:v>
                </c:pt>
                <c:pt idx="152">
                  <c:v>9.7443332226190496</c:v>
                </c:pt>
                <c:pt idx="153">
                  <c:v>15.740428922857143</c:v>
                </c:pt>
                <c:pt idx="154">
                  <c:v>11.458857127</c:v>
                </c:pt>
                <c:pt idx="155">
                  <c:v>9.4554285322857137</c:v>
                </c:pt>
                <c:pt idx="156">
                  <c:v>10.030285698</c:v>
                </c:pt>
                <c:pt idx="157">
                  <c:v>11.54385730142857</c:v>
                </c:pt>
                <c:pt idx="158">
                  <c:v>10.532571247428569</c:v>
                </c:pt>
                <c:pt idx="159">
                  <c:v>12.373285701428571</c:v>
                </c:pt>
                <c:pt idx="160">
                  <c:v>13.78142860857143</c:v>
                </c:pt>
                <c:pt idx="161">
                  <c:v>16.13685744</c:v>
                </c:pt>
                <c:pt idx="162">
                  <c:v>18.235713957142856</c:v>
                </c:pt>
                <c:pt idx="163">
                  <c:v>20.117499826428599</c:v>
                </c:pt>
                <c:pt idx="164">
                  <c:v>25.340999875749826</c:v>
                </c:pt>
                <c:pt idx="165">
                  <c:v>27.784285954285711</c:v>
                </c:pt>
                <c:pt idx="166">
                  <c:v>28.093753942631899</c:v>
                </c:pt>
                <c:pt idx="167">
                  <c:v>33.420857293265151</c:v>
                </c:pt>
                <c:pt idx="168">
                  <c:v>23.805857249668641</c:v>
                </c:pt>
                <c:pt idx="169">
                  <c:v>28.491428571428571</c:v>
                </c:pt>
                <c:pt idx="170">
                  <c:v>27.723999840872604</c:v>
                </c:pt>
                <c:pt idx="171">
                  <c:v>22.026428767142853</c:v>
                </c:pt>
                <c:pt idx="172">
                  <c:v>15.928285734994029</c:v>
                </c:pt>
                <c:pt idx="173">
                  <c:v>14.988285734993999</c:v>
                </c:pt>
                <c:pt idx="174">
                  <c:v>13.782857142857143</c:v>
                </c:pt>
                <c:pt idx="175">
                  <c:v>12.89642851693287</c:v>
                </c:pt>
                <c:pt idx="176">
                  <c:v>12.223428453717887</c:v>
                </c:pt>
                <c:pt idx="177">
                  <c:v>10.884428433009543</c:v>
                </c:pt>
                <c:pt idx="178">
                  <c:v>10.348285540285715</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'13.Caudales'!$N$4:$O$182</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'13.Caudales'!$R$4:$R$182</c:f>
              <c:numCache>
                <c:formatCode>0.0</c:formatCode>
                <c:ptCount val="179"/>
                <c:pt idx="0">
                  <c:v>4.4642857141428571</c:v>
                </c:pt>
                <c:pt idx="1">
                  <c:v>3.3685714177142856</c:v>
                </c:pt>
                <c:pt idx="2">
                  <c:v>10.74</c:v>
                </c:pt>
                <c:pt idx="3">
                  <c:v>11.155714580142858</c:v>
                </c:pt>
                <c:pt idx="4">
                  <c:v>16.463000024285716</c:v>
                </c:pt>
                <c:pt idx="5">
                  <c:v>17.05857142857143</c:v>
                </c:pt>
                <c:pt idx="6">
                  <c:v>18.065285818571429</c:v>
                </c:pt>
                <c:pt idx="7">
                  <c:v>14.531571660571432</c:v>
                </c:pt>
                <c:pt idx="8">
                  <c:v>19.520428521428574</c:v>
                </c:pt>
                <c:pt idx="9">
                  <c:v>20.831714628571426</c:v>
                </c:pt>
                <c:pt idx="10">
                  <c:v>22.247142927987216</c:v>
                </c:pt>
                <c:pt idx="11">
                  <c:v>21.707857131428572</c:v>
                </c:pt>
                <c:pt idx="12">
                  <c:v>20.569142751428576</c:v>
                </c:pt>
                <c:pt idx="13">
                  <c:v>18.767857142857142</c:v>
                </c:pt>
                <c:pt idx="14">
                  <c:v>14.275999887714287</c:v>
                </c:pt>
                <c:pt idx="15">
                  <c:v>10.180143014285713</c:v>
                </c:pt>
                <c:pt idx="16">
                  <c:v>12.121571608857142</c:v>
                </c:pt>
                <c:pt idx="17">
                  <c:v>11.996285711571428</c:v>
                </c:pt>
                <c:pt idx="18">
                  <c:v>10.123285769857144</c:v>
                </c:pt>
                <c:pt idx="19">
                  <c:v>9.3731427190000005</c:v>
                </c:pt>
                <c:pt idx="20">
                  <c:v>7.085428442285715</c:v>
                </c:pt>
                <c:pt idx="21">
                  <c:v>7.3308571058571435</c:v>
                </c:pt>
                <c:pt idx="22">
                  <c:v>7.7242857718571427</c:v>
                </c:pt>
                <c:pt idx="23">
                  <c:v>8.8337143495714301</c:v>
                </c:pt>
                <c:pt idx="24">
                  <c:v>7.6592858184285708</c:v>
                </c:pt>
                <c:pt idx="25">
                  <c:v>6.2751428064285708</c:v>
                </c:pt>
                <c:pt idx="26">
                  <c:v>7.15</c:v>
                </c:pt>
                <c:pt idx="27">
                  <c:v>5.7058570728571425</c:v>
                </c:pt>
                <c:pt idx="28">
                  <c:v>6.4564285959516052</c:v>
                </c:pt>
                <c:pt idx="29">
                  <c:v>4.6828571428571433</c:v>
                </c:pt>
                <c:pt idx="30">
                  <c:v>6.0697142064285714</c:v>
                </c:pt>
                <c:pt idx="31">
                  <c:v>7.5088570807142858</c:v>
                </c:pt>
                <c:pt idx="32">
                  <c:v>3.2121428764285715</c:v>
                </c:pt>
                <c:pt idx="33">
                  <c:v>3.3949999810000002</c:v>
                </c:pt>
                <c:pt idx="34">
                  <c:v>7.1025714534285722</c:v>
                </c:pt>
                <c:pt idx="35">
                  <c:v>6.7619999824285708</c:v>
                </c:pt>
                <c:pt idx="36">
                  <c:v>6.5272856442857137</c:v>
                </c:pt>
                <c:pt idx="37">
                  <c:v>5.444285714285714</c:v>
                </c:pt>
                <c:pt idx="38">
                  <c:v>5.896142857415323</c:v>
                </c:pt>
                <c:pt idx="39">
                  <c:v>3.8238571030000004</c:v>
                </c:pt>
                <c:pt idx="40">
                  <c:v>4.0404286040000006</c:v>
                </c:pt>
                <c:pt idx="41">
                  <c:v>4.8257142857142856</c:v>
                </c:pt>
                <c:pt idx="42">
                  <c:v>7.354714223857143</c:v>
                </c:pt>
                <c:pt idx="43">
                  <c:v>6.0929999348571409</c:v>
                </c:pt>
                <c:pt idx="44">
                  <c:v>6.8107141777142859</c:v>
                </c:pt>
                <c:pt idx="45">
                  <c:v>7.0327142307142854</c:v>
                </c:pt>
                <c:pt idx="46">
                  <c:v>5.5844285494285719</c:v>
                </c:pt>
                <c:pt idx="47">
                  <c:v>7.5644286014285722</c:v>
                </c:pt>
                <c:pt idx="48">
                  <c:v>8.7971429828571424</c:v>
                </c:pt>
                <c:pt idx="49">
                  <c:v>8.7971429828571424</c:v>
                </c:pt>
                <c:pt idx="50">
                  <c:v>18.057571141428571</c:v>
                </c:pt>
                <c:pt idx="51">
                  <c:v>19.592142921428572</c:v>
                </c:pt>
                <c:pt idx="52">
                  <c:v>8.7855713015714283</c:v>
                </c:pt>
                <c:pt idx="53">
                  <c:v>7.4842857292720009</c:v>
                </c:pt>
                <c:pt idx="54">
                  <c:v>6.9174285272857139</c:v>
                </c:pt>
                <c:pt idx="55">
                  <c:v>11.330428599714283</c:v>
                </c:pt>
                <c:pt idx="56">
                  <c:v>12.821999958571428</c:v>
                </c:pt>
                <c:pt idx="57">
                  <c:v>18.254856927142857</c:v>
                </c:pt>
                <c:pt idx="58">
                  <c:v>17.332571574619813</c:v>
                </c:pt>
                <c:pt idx="59">
                  <c:v>19.436000279999998</c:v>
                </c:pt>
                <c:pt idx="60">
                  <c:v>13.084142684936484</c:v>
                </c:pt>
                <c:pt idx="61">
                  <c:v>16.131428717142857</c:v>
                </c:pt>
                <c:pt idx="62">
                  <c:v>16.133428572857145</c:v>
                </c:pt>
                <c:pt idx="63">
                  <c:v>16.275285719999999</c:v>
                </c:pt>
                <c:pt idx="64">
                  <c:v>20.180714198521169</c:v>
                </c:pt>
                <c:pt idx="65">
                  <c:v>21.319143022809669</c:v>
                </c:pt>
                <c:pt idx="66">
                  <c:v>18.168000220000003</c:v>
                </c:pt>
                <c:pt idx="67">
                  <c:v>14.786285537142858</c:v>
                </c:pt>
                <c:pt idx="68">
                  <c:v>11.113285608857142</c:v>
                </c:pt>
                <c:pt idx="69">
                  <c:v>7.95871441704886</c:v>
                </c:pt>
                <c:pt idx="70">
                  <c:v>12.133857388142859</c:v>
                </c:pt>
                <c:pt idx="71">
                  <c:v>14.776714189999998</c:v>
                </c:pt>
                <c:pt idx="72">
                  <c:v>10.484285559</c:v>
                </c:pt>
                <c:pt idx="73">
                  <c:v>8.7072857448032899</c:v>
                </c:pt>
                <c:pt idx="74">
                  <c:v>7.6087141037142851</c:v>
                </c:pt>
                <c:pt idx="75">
                  <c:v>6.6898570742857144</c:v>
                </c:pt>
                <c:pt idx="76">
                  <c:v>6.3937142235892095</c:v>
                </c:pt>
                <c:pt idx="77">
                  <c:v>5.4858571460000007</c:v>
                </c:pt>
                <c:pt idx="78">
                  <c:v>5.6422856875714285</c:v>
                </c:pt>
                <c:pt idx="79">
                  <c:v>4.8411428587777223</c:v>
                </c:pt>
                <c:pt idx="80">
                  <c:v>4.0902857780000001</c:v>
                </c:pt>
                <c:pt idx="81">
                  <c:v>3.3690000857142857</c:v>
                </c:pt>
                <c:pt idx="82">
                  <c:v>3.9334286622857135</c:v>
                </c:pt>
                <c:pt idx="83">
                  <c:v>3.8718570981428577</c:v>
                </c:pt>
                <c:pt idx="84">
                  <c:v>3.9694285733359158</c:v>
                </c:pt>
                <c:pt idx="85">
                  <c:v>4.0542857307142848</c:v>
                </c:pt>
                <c:pt idx="86">
                  <c:v>3.8852857181428568</c:v>
                </c:pt>
                <c:pt idx="87">
                  <c:v>3.3560000147138283</c:v>
                </c:pt>
                <c:pt idx="88">
                  <c:v>3.1212857110159686</c:v>
                </c:pt>
                <c:pt idx="89">
                  <c:v>3.6978571414947474</c:v>
                </c:pt>
                <c:pt idx="90">
                  <c:v>4.336428608285714</c:v>
                </c:pt>
                <c:pt idx="91">
                  <c:v>3.7</c:v>
                </c:pt>
                <c:pt idx="92">
                  <c:v>3.501428569857143</c:v>
                </c:pt>
                <c:pt idx="93">
                  <c:v>4.2169999735714283</c:v>
                </c:pt>
                <c:pt idx="94">
                  <c:v>4.7599999564034556</c:v>
                </c:pt>
                <c:pt idx="95">
                  <c:v>5.693714175857143</c:v>
                </c:pt>
                <c:pt idx="96">
                  <c:v>4.3958570957142857</c:v>
                </c:pt>
                <c:pt idx="97">
                  <c:v>4.5134285178571432</c:v>
                </c:pt>
                <c:pt idx="98">
                  <c:v>5.3014286587142854</c:v>
                </c:pt>
                <c:pt idx="99">
                  <c:v>3.8094285555714285</c:v>
                </c:pt>
                <c:pt idx="100">
                  <c:v>5.0787143024285717</c:v>
                </c:pt>
                <c:pt idx="101">
                  <c:v>12.998142924285714</c:v>
                </c:pt>
                <c:pt idx="102">
                  <c:v>11.908142771714285</c:v>
                </c:pt>
                <c:pt idx="103">
                  <c:v>17.91042859142857</c:v>
                </c:pt>
                <c:pt idx="104">
                  <c:v>20.052142824285713</c:v>
                </c:pt>
                <c:pt idx="105">
                  <c:v>23.040428705714284</c:v>
                </c:pt>
                <c:pt idx="106">
                  <c:v>22.506999971428574</c:v>
                </c:pt>
                <c:pt idx="107">
                  <c:v>21.345142638571424</c:v>
                </c:pt>
                <c:pt idx="108">
                  <c:v>24.126143047142854</c:v>
                </c:pt>
                <c:pt idx="109">
                  <c:v>22.874571391428567</c:v>
                </c:pt>
                <c:pt idx="110">
                  <c:v>19.115142824285716</c:v>
                </c:pt>
                <c:pt idx="111">
                  <c:v>18.677976190476191</c:v>
                </c:pt>
                <c:pt idx="112">
                  <c:v>8.1069999999999993</c:v>
                </c:pt>
                <c:pt idx="113">
                  <c:v>10.70885712759833</c:v>
                </c:pt>
                <c:pt idx="114">
                  <c:v>21.731714248571429</c:v>
                </c:pt>
                <c:pt idx="115">
                  <c:v>21.524857657142856</c:v>
                </c:pt>
                <c:pt idx="116">
                  <c:v>22.087285995714286</c:v>
                </c:pt>
                <c:pt idx="117">
                  <c:v>23.321285792857143</c:v>
                </c:pt>
                <c:pt idx="118">
                  <c:v>26.810000011428574</c:v>
                </c:pt>
                <c:pt idx="119" formatCode="0.00">
                  <c:v>22.159857068571426</c:v>
                </c:pt>
                <c:pt idx="120">
                  <c:v>20.447000231428571</c:v>
                </c:pt>
                <c:pt idx="121">
                  <c:v>14.095428602857144</c:v>
                </c:pt>
                <c:pt idx="122">
                  <c:v>12.509142604285715</c:v>
                </c:pt>
                <c:pt idx="123">
                  <c:v>8.5715713499999993</c:v>
                </c:pt>
                <c:pt idx="124">
                  <c:v>7.0702857972857149</c:v>
                </c:pt>
                <c:pt idx="125">
                  <c:v>7.0830000470000005</c:v>
                </c:pt>
                <c:pt idx="126">
                  <c:v>6.5260000228571426</c:v>
                </c:pt>
                <c:pt idx="127">
                  <c:v>6.0984286581428568</c:v>
                </c:pt>
                <c:pt idx="128">
                  <c:v>5.3554284574285722</c:v>
                </c:pt>
                <c:pt idx="129">
                  <c:v>6.0032857149999996</c:v>
                </c:pt>
                <c:pt idx="130">
                  <c:v>4.9715714455714286</c:v>
                </c:pt>
                <c:pt idx="131">
                  <c:v>4.8162857462857147</c:v>
                </c:pt>
                <c:pt idx="132">
                  <c:v>4.1457142830000002</c:v>
                </c:pt>
                <c:pt idx="133">
                  <c:v>4.2404285498571426</c:v>
                </c:pt>
                <c:pt idx="134">
                  <c:v>3.9339999471428575</c:v>
                </c:pt>
                <c:pt idx="135">
                  <c:v>4.2642856665714284</c:v>
                </c:pt>
                <c:pt idx="136">
                  <c:v>4.0602857387142857</c:v>
                </c:pt>
                <c:pt idx="137">
                  <c:v>3.7991428715714286</c:v>
                </c:pt>
                <c:pt idx="138">
                  <c:v>3.6017142020000001</c:v>
                </c:pt>
                <c:pt idx="139">
                  <c:v>6.7515713490000007</c:v>
                </c:pt>
                <c:pt idx="140">
                  <c:v>5.5024285997142854</c:v>
                </c:pt>
                <c:pt idx="141">
                  <c:v>5.7037142345714287</c:v>
                </c:pt>
                <c:pt idx="142">
                  <c:v>4.6181428091428574</c:v>
                </c:pt>
                <c:pt idx="143">
                  <c:v>4.7248570578571423</c:v>
                </c:pt>
                <c:pt idx="144">
                  <c:v>5.3951427595714279</c:v>
                </c:pt>
                <c:pt idx="145">
                  <c:v>5.6744286329999998</c:v>
                </c:pt>
                <c:pt idx="146">
                  <c:v>5.6411428450000001</c:v>
                </c:pt>
                <c:pt idx="147">
                  <c:v>5.278142861428571</c:v>
                </c:pt>
                <c:pt idx="148">
                  <c:v>3.7729999678571429</c:v>
                </c:pt>
                <c:pt idx="149">
                  <c:v>4.0865714210000004</c:v>
                </c:pt>
                <c:pt idx="150">
                  <c:v>4.1967142989999999</c:v>
                </c:pt>
                <c:pt idx="151">
                  <c:v>6.8662857328571425</c:v>
                </c:pt>
                <c:pt idx="152">
                  <c:v>7.8295714628095201</c:v>
                </c:pt>
                <c:pt idx="153">
                  <c:v>16.272571155571431</c:v>
                </c:pt>
                <c:pt idx="154">
                  <c:v>8.6871428825714272</c:v>
                </c:pt>
                <c:pt idx="155">
                  <c:v>4.7284286361428576</c:v>
                </c:pt>
                <c:pt idx="156">
                  <c:v>6.3814284807142858</c:v>
                </c:pt>
                <c:pt idx="157">
                  <c:v>6.3410000120000003</c:v>
                </c:pt>
                <c:pt idx="158">
                  <c:v>5.6152856691428568</c:v>
                </c:pt>
                <c:pt idx="159">
                  <c:v>6.7777144562857146</c:v>
                </c:pt>
                <c:pt idx="160">
                  <c:v>10.307714326428572</c:v>
                </c:pt>
                <c:pt idx="161">
                  <c:v>10.226857389000001</c:v>
                </c:pt>
                <c:pt idx="162">
                  <c:v>10.726285798285716</c:v>
                </c:pt>
                <c:pt idx="163">
                  <c:v>12.450857264642901</c:v>
                </c:pt>
                <c:pt idx="164">
                  <c:v>18.084142684936488</c:v>
                </c:pt>
                <c:pt idx="165">
                  <c:v>17.056714467142857</c:v>
                </c:pt>
                <c:pt idx="166">
                  <c:v>19.095928647332201</c:v>
                </c:pt>
                <c:pt idx="167">
                  <c:v>21.210571697780029</c:v>
                </c:pt>
                <c:pt idx="168">
                  <c:v>19.053143092564113</c:v>
                </c:pt>
                <c:pt idx="169">
                  <c:v>22.648571428571426</c:v>
                </c:pt>
                <c:pt idx="170">
                  <c:v>25.617999758039169</c:v>
                </c:pt>
                <c:pt idx="171">
                  <c:v>20.249143055714288</c:v>
                </c:pt>
                <c:pt idx="172">
                  <c:v>13.163428579057927</c:v>
                </c:pt>
                <c:pt idx="173">
                  <c:v>14.963714392629401</c:v>
                </c:pt>
                <c:pt idx="174">
                  <c:v>9.805714285714286</c:v>
                </c:pt>
                <c:pt idx="175">
                  <c:v>8.2621427263532308</c:v>
                </c:pt>
                <c:pt idx="176">
                  <c:v>8.1970000267028773</c:v>
                </c:pt>
                <c:pt idx="177">
                  <c:v>7.9334286281040693</c:v>
                </c:pt>
                <c:pt idx="178">
                  <c:v>7.5271429334285713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'13.Caudales'!$N$4:$O$1789</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'13.Caudales'!$S$4:$S$182</c:f>
              <c:numCache>
                <c:formatCode>0.0</c:formatCode>
                <c:ptCount val="179"/>
                <c:pt idx="0">
                  <c:v>57.514999934285704</c:v>
                </c:pt>
                <c:pt idx="1">
                  <c:v>63.363856724285711</c:v>
                </c:pt>
                <c:pt idx="2">
                  <c:v>80.75</c:v>
                </c:pt>
                <c:pt idx="3">
                  <c:v>85.689570837142853</c:v>
                </c:pt>
                <c:pt idx="4">
                  <c:v>416.48700821428571</c:v>
                </c:pt>
                <c:pt idx="5">
                  <c:v>426.67142857142863</c:v>
                </c:pt>
                <c:pt idx="6">
                  <c:v>581.62514822857145</c:v>
                </c:pt>
                <c:pt idx="7">
                  <c:v>439.74099729999995</c:v>
                </c:pt>
                <c:pt idx="8">
                  <c:v>316.26999772857147</c:v>
                </c:pt>
                <c:pt idx="9">
                  <c:v>326.63642664285715</c:v>
                </c:pt>
                <c:pt idx="10">
                  <c:v>416.08099801199745</c:v>
                </c:pt>
                <c:pt idx="11">
                  <c:v>394.13957431428571</c:v>
                </c:pt>
                <c:pt idx="12">
                  <c:v>522.42285592857138</c:v>
                </c:pt>
                <c:pt idx="13">
                  <c:v>316.33943394285717</c:v>
                </c:pt>
                <c:pt idx="14">
                  <c:v>168.45457024285716</c:v>
                </c:pt>
                <c:pt idx="15">
                  <c:v>131.80142647142856</c:v>
                </c:pt>
                <c:pt idx="16">
                  <c:v>143.84128789999997</c:v>
                </c:pt>
                <c:pt idx="17">
                  <c:v>111.12314277285714</c:v>
                </c:pt>
                <c:pt idx="18">
                  <c:v>89.41828482428572</c:v>
                </c:pt>
                <c:pt idx="19">
                  <c:v>79.212427410000004</c:v>
                </c:pt>
                <c:pt idx="20">
                  <c:v>62.717000688571432</c:v>
                </c:pt>
                <c:pt idx="21">
                  <c:v>41.633143151428598</c:v>
                </c:pt>
                <c:pt idx="22">
                  <c:v>41.633143151428598</c:v>
                </c:pt>
                <c:pt idx="23">
                  <c:v>78.434000150000003</c:v>
                </c:pt>
                <c:pt idx="24">
                  <c:v>77.872000559999989</c:v>
                </c:pt>
                <c:pt idx="25">
                  <c:v>76.447856358571428</c:v>
                </c:pt>
                <c:pt idx="26">
                  <c:v>77.430000000000007</c:v>
                </c:pt>
                <c:pt idx="27">
                  <c:v>76.24514443428572</c:v>
                </c:pt>
                <c:pt idx="28">
                  <c:v>66.31271307809007</c:v>
                </c:pt>
                <c:pt idx="29">
                  <c:v>72.048571428571435</c:v>
                </c:pt>
                <c:pt idx="30">
                  <c:v>71.543143134285714</c:v>
                </c:pt>
                <c:pt idx="31">
                  <c:v>73.754999434285722</c:v>
                </c:pt>
                <c:pt idx="32">
                  <c:v>68.878572191428574</c:v>
                </c:pt>
                <c:pt idx="33">
                  <c:v>65.663999831428569</c:v>
                </c:pt>
                <c:pt idx="34">
                  <c:v>65.224427905714279</c:v>
                </c:pt>
                <c:pt idx="35">
                  <c:v>60.719142914285719</c:v>
                </c:pt>
                <c:pt idx="36">
                  <c:v>62.679428645714289</c:v>
                </c:pt>
                <c:pt idx="37">
                  <c:v>65.47</c:v>
                </c:pt>
                <c:pt idx="38">
                  <c:v>72.930715288434641</c:v>
                </c:pt>
                <c:pt idx="39">
                  <c:v>70.661287578571418</c:v>
                </c:pt>
                <c:pt idx="40">
                  <c:v>65.047571455714291</c:v>
                </c:pt>
                <c:pt idx="41">
                  <c:v>67.597142857142856</c:v>
                </c:pt>
                <c:pt idx="42">
                  <c:v>80.445570807142857</c:v>
                </c:pt>
                <c:pt idx="43">
                  <c:v>68.079284669999993</c:v>
                </c:pt>
                <c:pt idx="44">
                  <c:v>71.555715832857132</c:v>
                </c:pt>
                <c:pt idx="45">
                  <c:v>91.077428547142858</c:v>
                </c:pt>
                <c:pt idx="46">
                  <c:v>81.972856794285704</c:v>
                </c:pt>
                <c:pt idx="47">
                  <c:v>84.626999989999987</c:v>
                </c:pt>
                <c:pt idx="48">
                  <c:v>127.52371543</c:v>
                </c:pt>
                <c:pt idx="49">
                  <c:v>183.5428575857143</c:v>
                </c:pt>
                <c:pt idx="50">
                  <c:v>292.95071844285718</c:v>
                </c:pt>
                <c:pt idx="51">
                  <c:v>381.11599999999993</c:v>
                </c:pt>
                <c:pt idx="52">
                  <c:v>271.83385794285715</c:v>
                </c:pt>
                <c:pt idx="53">
                  <c:v>176.20814078194715</c:v>
                </c:pt>
                <c:pt idx="54">
                  <c:v>159.75199889999999</c:v>
                </c:pt>
                <c:pt idx="55">
                  <c:v>243.87700107142857</c:v>
                </c:pt>
                <c:pt idx="56">
                  <c:v>236.61043005714285</c:v>
                </c:pt>
                <c:pt idx="57">
                  <c:v>392.82542635714287</c:v>
                </c:pt>
                <c:pt idx="58">
                  <c:v>448.59157017299066</c:v>
                </c:pt>
                <c:pt idx="59">
                  <c:v>374.25799560000002</c:v>
                </c:pt>
                <c:pt idx="60">
                  <c:v>289.19357081821948</c:v>
                </c:pt>
                <c:pt idx="61">
                  <c:v>302.38613892857137</c:v>
                </c:pt>
                <c:pt idx="62">
                  <c:v>219.49971445714283</c:v>
                </c:pt>
                <c:pt idx="63">
                  <c:v>210.39014761428572</c:v>
                </c:pt>
                <c:pt idx="64">
                  <c:v>335.19785417829189</c:v>
                </c:pt>
                <c:pt idx="65">
                  <c:v>569.31741768973188</c:v>
                </c:pt>
                <c:pt idx="66">
                  <c:v>298.48543221428571</c:v>
                </c:pt>
                <c:pt idx="67">
                  <c:v>196.30642698571427</c:v>
                </c:pt>
                <c:pt idx="68">
                  <c:v>144.25785718571427</c:v>
                </c:pt>
                <c:pt idx="69">
                  <c:v>118.61742946079741</c:v>
                </c:pt>
                <c:pt idx="70">
                  <c:v>119.46943012857146</c:v>
                </c:pt>
                <c:pt idx="71">
                  <c:v>179.62085941428572</c:v>
                </c:pt>
                <c:pt idx="72">
                  <c:v>132.41042655714287</c:v>
                </c:pt>
                <c:pt idx="73">
                  <c:v>118.96285901750787</c:v>
                </c:pt>
                <c:pt idx="74">
                  <c:v>92.527713229999989</c:v>
                </c:pt>
                <c:pt idx="75">
                  <c:v>86.262142725714284</c:v>
                </c:pt>
                <c:pt idx="76">
                  <c:v>80.154999869210343</c:v>
                </c:pt>
                <c:pt idx="77">
                  <c:v>71.438000270000003</c:v>
                </c:pt>
                <c:pt idx="78">
                  <c:v>70.798141479999998</c:v>
                </c:pt>
                <c:pt idx="79">
                  <c:v>72.323284694126613</c:v>
                </c:pt>
                <c:pt idx="80">
                  <c:v>70.352427891428562</c:v>
                </c:pt>
                <c:pt idx="81">
                  <c:v>69.363000051428585</c:v>
                </c:pt>
                <c:pt idx="82">
                  <c:v>68.101856775714282</c:v>
                </c:pt>
                <c:pt idx="83">
                  <c:v>66.163572037142856</c:v>
                </c:pt>
                <c:pt idx="84">
                  <c:v>69.589143480573355</c:v>
                </c:pt>
                <c:pt idx="85">
                  <c:v>67.52914374142857</c:v>
                </c:pt>
                <c:pt idx="86">
                  <c:v>67.307859692857136</c:v>
                </c:pt>
                <c:pt idx="87">
                  <c:v>62.870428357805473</c:v>
                </c:pt>
                <c:pt idx="88">
                  <c:v>65.621286119733483</c:v>
                </c:pt>
                <c:pt idx="89">
                  <c:v>65.927430289132204</c:v>
                </c:pt>
                <c:pt idx="90">
                  <c:v>68.259427751813561</c:v>
                </c:pt>
                <c:pt idx="91">
                  <c:v>75.159429278571437</c:v>
                </c:pt>
                <c:pt idx="92">
                  <c:v>73.523286004285723</c:v>
                </c:pt>
                <c:pt idx="93">
                  <c:v>67.761285509999993</c:v>
                </c:pt>
                <c:pt idx="94">
                  <c:v>71.132857186453606</c:v>
                </c:pt>
                <c:pt idx="95">
                  <c:v>76.869857788571409</c:v>
                </c:pt>
                <c:pt idx="96">
                  <c:v>68.664999825714276</c:v>
                </c:pt>
                <c:pt idx="97">
                  <c:v>62.049999781428575</c:v>
                </c:pt>
                <c:pt idx="98">
                  <c:v>57.546571460000003</c:v>
                </c:pt>
                <c:pt idx="99">
                  <c:v>56.944714135714285</c:v>
                </c:pt>
                <c:pt idx="100">
                  <c:v>56.829999651428572</c:v>
                </c:pt>
                <c:pt idx="101">
                  <c:v>90.966000160000007</c:v>
                </c:pt>
                <c:pt idx="102">
                  <c:v>83.198000225714296</c:v>
                </c:pt>
                <c:pt idx="103">
                  <c:v>93.582571842857163</c:v>
                </c:pt>
                <c:pt idx="104">
                  <c:v>198.89756992857141</c:v>
                </c:pt>
                <c:pt idx="105">
                  <c:v>363.19999692857135</c:v>
                </c:pt>
                <c:pt idx="106">
                  <c:v>323.79400198571426</c:v>
                </c:pt>
                <c:pt idx="107">
                  <c:v>401.6544320142857</c:v>
                </c:pt>
                <c:pt idx="108">
                  <c:v>367.00971765714274</c:v>
                </c:pt>
                <c:pt idx="109">
                  <c:v>260.95085362857145</c:v>
                </c:pt>
                <c:pt idx="110">
                  <c:v>266.1391427142857</c:v>
                </c:pt>
                <c:pt idx="111">
                  <c:v>231.286666666667</c:v>
                </c:pt>
                <c:pt idx="112">
                  <c:v>131.62660714285707</c:v>
                </c:pt>
                <c:pt idx="113">
                  <c:v>115.81614358084498</c:v>
                </c:pt>
                <c:pt idx="114">
                  <c:v>254.39099884285716</c:v>
                </c:pt>
                <c:pt idx="115">
                  <c:v>320.82542418571427</c:v>
                </c:pt>
                <c:pt idx="116">
                  <c:v>295.67700197142852</c:v>
                </c:pt>
                <c:pt idx="117">
                  <c:v>358.4028538428571</c:v>
                </c:pt>
                <c:pt idx="118">
                  <c:v>415.37771607142855</c:v>
                </c:pt>
                <c:pt idx="119" formatCode="0.00">
                  <c:v>388.02957154285713</c:v>
                </c:pt>
                <c:pt idx="120">
                  <c:v>189.56900242857142</c:v>
                </c:pt>
                <c:pt idx="121">
                  <c:v>140.97214290000002</c:v>
                </c:pt>
                <c:pt idx="122">
                  <c:v>114.69700078571428</c:v>
                </c:pt>
                <c:pt idx="123">
                  <c:v>99.656284881428547</c:v>
                </c:pt>
                <c:pt idx="124">
                  <c:v>88.480572290000026</c:v>
                </c:pt>
                <c:pt idx="125">
                  <c:v>98.34657178714285</c:v>
                </c:pt>
                <c:pt idx="126">
                  <c:v>88.19400133428573</c:v>
                </c:pt>
                <c:pt idx="127">
                  <c:v>67.392570495714281</c:v>
                </c:pt>
                <c:pt idx="128">
                  <c:v>74.302856445714283</c:v>
                </c:pt>
                <c:pt idx="129">
                  <c:v>70.370715551428574</c:v>
                </c:pt>
                <c:pt idx="130">
                  <c:v>60.400571005714291</c:v>
                </c:pt>
                <c:pt idx="131">
                  <c:v>66.665999275714285</c:v>
                </c:pt>
                <c:pt idx="132">
                  <c:v>66.009428840000012</c:v>
                </c:pt>
                <c:pt idx="133">
                  <c:v>61.976286207142856</c:v>
                </c:pt>
                <c:pt idx="134">
                  <c:v>56.385429927142859</c:v>
                </c:pt>
                <c:pt idx="135">
                  <c:v>63.196000779999999</c:v>
                </c:pt>
                <c:pt idx="136">
                  <c:v>61.839428492857145</c:v>
                </c:pt>
                <c:pt idx="137">
                  <c:v>59.987286159999996</c:v>
                </c:pt>
                <c:pt idx="138">
                  <c:v>63.141999381428562</c:v>
                </c:pt>
                <c:pt idx="139">
                  <c:v>62.449570247142852</c:v>
                </c:pt>
                <c:pt idx="140">
                  <c:v>62.160142081428567</c:v>
                </c:pt>
                <c:pt idx="141">
                  <c:v>63.491571698571427</c:v>
                </c:pt>
                <c:pt idx="142">
                  <c:v>66.366000039999989</c:v>
                </c:pt>
                <c:pt idx="143">
                  <c:v>75.45028468428572</c:v>
                </c:pt>
                <c:pt idx="144">
                  <c:v>78.309284754285713</c:v>
                </c:pt>
                <c:pt idx="145">
                  <c:v>79.701571872857144</c:v>
                </c:pt>
                <c:pt idx="146">
                  <c:v>71.140427727142864</c:v>
                </c:pt>
                <c:pt idx="147">
                  <c:v>66.382999420000004</c:v>
                </c:pt>
                <c:pt idx="148">
                  <c:v>67.872285570000003</c:v>
                </c:pt>
                <c:pt idx="149">
                  <c:v>64.557143075714279</c:v>
                </c:pt>
                <c:pt idx="150">
                  <c:v>48.114428929999988</c:v>
                </c:pt>
                <c:pt idx="151">
                  <c:v>75.949856894285716</c:v>
                </c:pt>
                <c:pt idx="152">
                  <c:v>115.94985689428501</c:v>
                </c:pt>
                <c:pt idx="153">
                  <c:v>179.40442985714284</c:v>
                </c:pt>
                <c:pt idx="154">
                  <c:v>180.05014475714285</c:v>
                </c:pt>
                <c:pt idx="155">
                  <c:v>179.9772862142857</c:v>
                </c:pt>
                <c:pt idx="156">
                  <c:v>180.17299980000001</c:v>
                </c:pt>
                <c:pt idx="157" formatCode="0.00">
                  <c:v>180.25871278571432</c:v>
                </c:pt>
                <c:pt idx="158" formatCode="0.00">
                  <c:v>180.17585754285713</c:v>
                </c:pt>
                <c:pt idx="159" formatCode="0.00">
                  <c:v>180.45157077142858</c:v>
                </c:pt>
                <c:pt idx="160" formatCode="0.00">
                  <c:v>200.41585867142899</c:v>
                </c:pt>
                <c:pt idx="161" formatCode="0.00">
                  <c:v>288.91129194285719</c:v>
                </c:pt>
                <c:pt idx="162" formatCode="0.00">
                  <c:v>435.79956928571431</c:v>
                </c:pt>
                <c:pt idx="163" formatCode="0.00">
                  <c:v>435.79956928571403</c:v>
                </c:pt>
                <c:pt idx="164" formatCode="0.00">
                  <c:v>441.50872366768942</c:v>
                </c:pt>
                <c:pt idx="165" formatCode="0.00">
                  <c:v>390.83399745714286</c:v>
                </c:pt>
                <c:pt idx="166" formatCode="0.00">
                  <c:v>377.74852497494402</c:v>
                </c:pt>
                <c:pt idx="167" formatCode="0.00">
                  <c:v>559.81058175223166</c:v>
                </c:pt>
                <c:pt idx="168" formatCode="0.00">
                  <c:v>323.97713797432982</c:v>
                </c:pt>
                <c:pt idx="169" formatCode="0.00">
                  <c:v>381.44857142857143</c:v>
                </c:pt>
                <c:pt idx="170" formatCode="0.00">
                  <c:v>593.21614728655084</c:v>
                </c:pt>
                <c:pt idx="171" formatCode="0.00">
                  <c:v>348.80585371428572</c:v>
                </c:pt>
                <c:pt idx="172" formatCode="0.00">
                  <c:v>176.68314470563573</c:v>
                </c:pt>
                <c:pt idx="173" formatCode="0.00">
                  <c:v>174.68314470563601</c:v>
                </c:pt>
                <c:pt idx="174" formatCode="0.00">
                  <c:v>119.01714285714286</c:v>
                </c:pt>
                <c:pt idx="175" formatCode="0.00">
                  <c:v>110.76885659354043</c:v>
                </c:pt>
                <c:pt idx="176" formatCode="0.00">
                  <c:v>101.37014225551034</c:v>
                </c:pt>
                <c:pt idx="177" formatCode="0.00">
                  <c:v>97.459857395716909</c:v>
                </c:pt>
                <c:pt idx="178" formatCode="0.00">
                  <c:v>89.468571255714281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'13.Caudales'!$N$4:$O$1789</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'13.Caudales'!$T$4:$T$182</c:f>
              <c:numCache>
                <c:formatCode>0.0</c:formatCode>
                <c:ptCount val="179"/>
                <c:pt idx="0">
                  <c:v>79.871427261428579</c:v>
                </c:pt>
                <c:pt idx="1">
                  <c:v>84.184571402857145</c:v>
                </c:pt>
                <c:pt idx="2">
                  <c:v>149.30000000000001</c:v>
                </c:pt>
                <c:pt idx="3">
                  <c:v>168.80999974285714</c:v>
                </c:pt>
                <c:pt idx="4">
                  <c:v>195.24999782857142</c:v>
                </c:pt>
                <c:pt idx="5">
                  <c:v>265.28000000000003</c:v>
                </c:pt>
                <c:pt idx="6">
                  <c:v>230.7322888857143</c:v>
                </c:pt>
                <c:pt idx="7">
                  <c:v>219.37485614285717</c:v>
                </c:pt>
                <c:pt idx="8">
                  <c:v>191.17842539999998</c:v>
                </c:pt>
                <c:pt idx="9">
                  <c:v>184.08928571428572</c:v>
                </c:pt>
                <c:pt idx="10">
                  <c:v>226.88085501534573</c:v>
                </c:pt>
                <c:pt idx="11">
                  <c:v>203.44642857142858</c:v>
                </c:pt>
                <c:pt idx="12">
                  <c:v>225.26185825714285</c:v>
                </c:pt>
                <c:pt idx="13">
                  <c:v>152.47643277142856</c:v>
                </c:pt>
                <c:pt idx="14">
                  <c:v>98.160714291428576</c:v>
                </c:pt>
                <c:pt idx="15">
                  <c:v>98.279714314285712</c:v>
                </c:pt>
                <c:pt idx="16">
                  <c:v>83.547571454285716</c:v>
                </c:pt>
                <c:pt idx="17">
                  <c:v>74.392857142857139</c:v>
                </c:pt>
                <c:pt idx="18">
                  <c:v>60.613000051428571</c:v>
                </c:pt>
                <c:pt idx="19">
                  <c:v>72.321428569999995</c:v>
                </c:pt>
                <c:pt idx="20">
                  <c:v>52.565571377142859</c:v>
                </c:pt>
                <c:pt idx="21">
                  <c:v>49.261999948571429</c:v>
                </c:pt>
                <c:pt idx="22">
                  <c:v>40.500142779999997</c:v>
                </c:pt>
                <c:pt idx="23">
                  <c:v>35.785857065714289</c:v>
                </c:pt>
                <c:pt idx="24">
                  <c:v>33.357000077142857</c:v>
                </c:pt>
                <c:pt idx="25">
                  <c:v>29.154571531428569</c:v>
                </c:pt>
                <c:pt idx="26">
                  <c:v>30.35</c:v>
                </c:pt>
                <c:pt idx="27">
                  <c:v>27.702285765714286</c:v>
                </c:pt>
                <c:pt idx="28">
                  <c:v>29.940428597586454</c:v>
                </c:pt>
                <c:pt idx="29">
                  <c:v>36.729999999999997</c:v>
                </c:pt>
                <c:pt idx="30">
                  <c:v>31.720428468571431</c:v>
                </c:pt>
                <c:pt idx="31">
                  <c:v>23.255857194285714</c:v>
                </c:pt>
                <c:pt idx="32">
                  <c:v>21.297428674285715</c:v>
                </c:pt>
                <c:pt idx="33">
                  <c:v>20.922428674285715</c:v>
                </c:pt>
                <c:pt idx="34">
                  <c:v>19.458285740000001</c:v>
                </c:pt>
                <c:pt idx="35">
                  <c:v>25.369000025714286</c:v>
                </c:pt>
                <c:pt idx="36">
                  <c:v>28.136857168571428</c:v>
                </c:pt>
                <c:pt idx="37">
                  <c:v>29.351428571428567</c:v>
                </c:pt>
                <c:pt idx="38">
                  <c:v>26.470285688127774</c:v>
                </c:pt>
                <c:pt idx="39">
                  <c:v>28.190571377142856</c:v>
                </c:pt>
                <c:pt idx="40">
                  <c:v>47.010571615714284</c:v>
                </c:pt>
                <c:pt idx="41">
                  <c:v>47.291428571428575</c:v>
                </c:pt>
                <c:pt idx="42">
                  <c:v>71.934570317142857</c:v>
                </c:pt>
                <c:pt idx="43">
                  <c:v>33.011999948571429</c:v>
                </c:pt>
                <c:pt idx="44">
                  <c:v>77.119000028571435</c:v>
                </c:pt>
                <c:pt idx="45">
                  <c:v>102.37485722571429</c:v>
                </c:pt>
                <c:pt idx="46">
                  <c:v>82.511857174285723</c:v>
                </c:pt>
                <c:pt idx="47">
                  <c:v>67.75</c:v>
                </c:pt>
                <c:pt idx="48">
                  <c:v>92.821572431428564</c:v>
                </c:pt>
                <c:pt idx="49">
                  <c:v>117.73200008285714</c:v>
                </c:pt>
                <c:pt idx="50">
                  <c:v>180.44057028571427</c:v>
                </c:pt>
                <c:pt idx="51">
                  <c:v>222.82728794285717</c:v>
                </c:pt>
                <c:pt idx="52">
                  <c:v>172.15485925714285</c:v>
                </c:pt>
                <c:pt idx="53">
                  <c:v>130.2321406773155</c:v>
                </c:pt>
                <c:pt idx="54">
                  <c:v>106.97614288285715</c:v>
                </c:pt>
                <c:pt idx="55">
                  <c:v>137.04186028571428</c:v>
                </c:pt>
                <c:pt idx="56">
                  <c:v>121.29742760000001</c:v>
                </c:pt>
                <c:pt idx="57">
                  <c:v>216.11300005714287</c:v>
                </c:pt>
                <c:pt idx="58">
                  <c:v>221.35714285714261</c:v>
                </c:pt>
                <c:pt idx="59">
                  <c:v>142.54771639999998</c:v>
                </c:pt>
                <c:pt idx="60">
                  <c:v>162.01200212751087</c:v>
                </c:pt>
                <c:pt idx="61">
                  <c:v>174.72028894285717</c:v>
                </c:pt>
                <c:pt idx="62">
                  <c:v>118.91071428571429</c:v>
                </c:pt>
                <c:pt idx="63">
                  <c:v>145.36899785714286</c:v>
                </c:pt>
                <c:pt idx="64">
                  <c:v>171.26185716901472</c:v>
                </c:pt>
                <c:pt idx="65">
                  <c:v>241.59529113769531</c:v>
                </c:pt>
                <c:pt idx="66">
                  <c:v>156.28586031428571</c:v>
                </c:pt>
                <c:pt idx="67">
                  <c:v>126.20242854857143</c:v>
                </c:pt>
                <c:pt idx="68">
                  <c:v>112.32742854857143</c:v>
                </c:pt>
                <c:pt idx="69">
                  <c:v>86.636999947684131</c:v>
                </c:pt>
                <c:pt idx="70">
                  <c:v>95.79771531714286</c:v>
                </c:pt>
                <c:pt idx="71">
                  <c:v>63.654857091428575</c:v>
                </c:pt>
                <c:pt idx="72">
                  <c:v>63.017857142857146</c:v>
                </c:pt>
                <c:pt idx="73">
                  <c:v>55.553428649902308</c:v>
                </c:pt>
                <c:pt idx="74">
                  <c:v>48.85114288285714</c:v>
                </c:pt>
                <c:pt idx="75">
                  <c:v>49.02971431142857</c:v>
                </c:pt>
                <c:pt idx="76">
                  <c:v>39.363000052315797</c:v>
                </c:pt>
                <c:pt idx="77">
                  <c:v>31.88514287142857</c:v>
                </c:pt>
                <c:pt idx="78">
                  <c:v>29.80342864857143</c:v>
                </c:pt>
                <c:pt idx="79">
                  <c:v>28.875142778669062</c:v>
                </c:pt>
                <c:pt idx="80">
                  <c:v>27.071428571428573</c:v>
                </c:pt>
                <c:pt idx="81">
                  <c:v>26.369142805714286</c:v>
                </c:pt>
                <c:pt idx="82">
                  <c:v>23.077571325714285</c:v>
                </c:pt>
                <c:pt idx="83">
                  <c:v>20.36314283098493</c:v>
                </c:pt>
                <c:pt idx="84">
                  <c:v>20.36</c:v>
                </c:pt>
                <c:pt idx="85">
                  <c:v>23.369000025714286</c:v>
                </c:pt>
                <c:pt idx="86">
                  <c:v>24.434428622857144</c:v>
                </c:pt>
                <c:pt idx="87">
                  <c:v>21.077428545270632</c:v>
                </c:pt>
                <c:pt idx="88">
                  <c:v>23.857142857142815</c:v>
                </c:pt>
                <c:pt idx="89">
                  <c:v>21.696428571428545</c:v>
                </c:pt>
                <c:pt idx="90">
                  <c:v>32.958285740443614</c:v>
                </c:pt>
                <c:pt idx="91">
                  <c:v>41.827428545714284</c:v>
                </c:pt>
                <c:pt idx="92">
                  <c:v>30.178571428571427</c:v>
                </c:pt>
                <c:pt idx="93">
                  <c:v>24.547571454285713</c:v>
                </c:pt>
                <c:pt idx="94">
                  <c:v>41.773857116699205</c:v>
                </c:pt>
                <c:pt idx="95">
                  <c:v>39.60114288285714</c:v>
                </c:pt>
                <c:pt idx="96">
                  <c:v>36.702285765714286</c:v>
                </c:pt>
                <c:pt idx="97">
                  <c:v>27.797571454285713</c:v>
                </c:pt>
                <c:pt idx="98">
                  <c:v>32.208285740000001</c:v>
                </c:pt>
                <c:pt idx="99">
                  <c:v>25.351285662857144</c:v>
                </c:pt>
                <c:pt idx="100">
                  <c:v>37.994142805714283</c:v>
                </c:pt>
                <c:pt idx="101">
                  <c:v>88.630856108571422</c:v>
                </c:pt>
                <c:pt idx="102">
                  <c:v>44.297571454285716</c:v>
                </c:pt>
                <c:pt idx="103">
                  <c:v>77.60742949714286</c:v>
                </c:pt>
                <c:pt idx="104">
                  <c:v>158.34513965714288</c:v>
                </c:pt>
                <c:pt idx="105">
                  <c:v>212.58328465714288</c:v>
                </c:pt>
                <c:pt idx="106">
                  <c:v>154.41086031428571</c:v>
                </c:pt>
                <c:pt idx="107">
                  <c:v>185.14285714285714</c:v>
                </c:pt>
                <c:pt idx="108">
                  <c:v>156.14856614285716</c:v>
                </c:pt>
                <c:pt idx="109">
                  <c:v>108.66671425714286</c:v>
                </c:pt>
                <c:pt idx="110">
                  <c:v>132.98228671428572</c:v>
                </c:pt>
                <c:pt idx="111">
                  <c:v>91.321428571428569</c:v>
                </c:pt>
                <c:pt idx="112">
                  <c:v>104.375</c:v>
                </c:pt>
                <c:pt idx="113">
                  <c:v>81.571428571428527</c:v>
                </c:pt>
                <c:pt idx="114">
                  <c:v>146.17256928571427</c:v>
                </c:pt>
                <c:pt idx="115">
                  <c:v>138.12514602857144</c:v>
                </c:pt>
                <c:pt idx="116">
                  <c:v>176.22028785714286</c:v>
                </c:pt>
                <c:pt idx="117">
                  <c:v>161.61914497142857</c:v>
                </c:pt>
                <c:pt idx="118">
                  <c:v>180.97614180000002</c:v>
                </c:pt>
                <c:pt idx="119" formatCode="0.00">
                  <c:v>187.79186137142855</c:v>
                </c:pt>
                <c:pt idx="120">
                  <c:v>107.50585611428572</c:v>
                </c:pt>
                <c:pt idx="121">
                  <c:v>90.738142825714277</c:v>
                </c:pt>
                <c:pt idx="122">
                  <c:v>67.130999974285714</c:v>
                </c:pt>
                <c:pt idx="123">
                  <c:v>64.428571428571431</c:v>
                </c:pt>
                <c:pt idx="124">
                  <c:v>61.482142857142854</c:v>
                </c:pt>
                <c:pt idx="125">
                  <c:v>63.72614288285714</c:v>
                </c:pt>
                <c:pt idx="126">
                  <c:v>49.041857040000004</c:v>
                </c:pt>
                <c:pt idx="127">
                  <c:v>49.232000077142857</c:v>
                </c:pt>
                <c:pt idx="128">
                  <c:v>54.952285765714286</c:v>
                </c:pt>
                <c:pt idx="129">
                  <c:v>39.565571377142859</c:v>
                </c:pt>
                <c:pt idx="130">
                  <c:v>43.083285740000001</c:v>
                </c:pt>
                <c:pt idx="131">
                  <c:v>33.029857091428575</c:v>
                </c:pt>
                <c:pt idx="132">
                  <c:v>29.922571454285713</c:v>
                </c:pt>
                <c:pt idx="133">
                  <c:v>30.851285662857144</c:v>
                </c:pt>
                <c:pt idx="134">
                  <c:v>26.327428545714287</c:v>
                </c:pt>
                <c:pt idx="135">
                  <c:v>30.940428597142859</c:v>
                </c:pt>
                <c:pt idx="136">
                  <c:v>23.267714362857141</c:v>
                </c:pt>
                <c:pt idx="137">
                  <c:v>22.755999974285714</c:v>
                </c:pt>
                <c:pt idx="138">
                  <c:v>21.678714208571428</c:v>
                </c:pt>
                <c:pt idx="139">
                  <c:v>29.398714337142856</c:v>
                </c:pt>
                <c:pt idx="140">
                  <c:v>24.535714285714285</c:v>
                </c:pt>
                <c:pt idx="141">
                  <c:v>33.851285662857144</c:v>
                </c:pt>
                <c:pt idx="142">
                  <c:v>30.833285740000001</c:v>
                </c:pt>
                <c:pt idx="143">
                  <c:v>25.431428635714287</c:v>
                </c:pt>
                <c:pt idx="144">
                  <c:v>54.744000025714286</c:v>
                </c:pt>
                <c:pt idx="145">
                  <c:v>50.934571402857145</c:v>
                </c:pt>
                <c:pt idx="146">
                  <c:v>43.184428622857141</c:v>
                </c:pt>
                <c:pt idx="147">
                  <c:v>36.916714259999999</c:v>
                </c:pt>
                <c:pt idx="148">
                  <c:v>41.726285662857144</c:v>
                </c:pt>
                <c:pt idx="149">
                  <c:v>47.85114288285714</c:v>
                </c:pt>
                <c:pt idx="150">
                  <c:v>58.976285662857144</c:v>
                </c:pt>
                <c:pt idx="151">
                  <c:v>107.95228576857143</c:v>
                </c:pt>
                <c:pt idx="152">
                  <c:v>116.577285768571</c:v>
                </c:pt>
                <c:pt idx="153">
                  <c:v>143.97028568571429</c:v>
                </c:pt>
                <c:pt idx="154">
                  <c:v>105.38685716857142</c:v>
                </c:pt>
                <c:pt idx="155">
                  <c:v>14.57142870857143</c:v>
                </c:pt>
                <c:pt idx="156">
                  <c:v>59.892857142857146</c:v>
                </c:pt>
                <c:pt idx="157" formatCode="0.00">
                  <c:v>53.005857194285717</c:v>
                </c:pt>
                <c:pt idx="158" formatCode="0.00">
                  <c:v>85.154714317142862</c:v>
                </c:pt>
                <c:pt idx="159" formatCode="0.00">
                  <c:v>79.166570397142863</c:v>
                </c:pt>
                <c:pt idx="160" formatCode="0.00">
                  <c:v>156.24399677142856</c:v>
                </c:pt>
                <c:pt idx="161" formatCode="0.00">
                  <c:v>182</c:v>
                </c:pt>
                <c:pt idx="162" formatCode="0.00">
                  <c:v>179.08343068571426</c:v>
                </c:pt>
                <c:pt idx="163" formatCode="0.00">
                  <c:v>195.28190973333301</c:v>
                </c:pt>
                <c:pt idx="164" formatCode="0.00">
                  <c:v>167.45813860212002</c:v>
                </c:pt>
                <c:pt idx="165" formatCode="0.00">
                  <c:v>152.44642748571428</c:v>
                </c:pt>
                <c:pt idx="166" formatCode="0.00">
                  <c:v>177.15485925714287</c:v>
                </c:pt>
                <c:pt idx="167" formatCode="0.00">
                  <c:v>223.70857456752233</c:v>
                </c:pt>
                <c:pt idx="168" formatCode="0.00">
                  <c:v>151.51800210135301</c:v>
                </c:pt>
                <c:pt idx="169" formatCode="0.00">
                  <c:v>178.99571428571431</c:v>
                </c:pt>
                <c:pt idx="170" formatCode="0.00">
                  <c:v>183.63700212751101</c:v>
                </c:pt>
                <c:pt idx="171" formatCode="0.00">
                  <c:v>124.73814282857143</c:v>
                </c:pt>
                <c:pt idx="172" formatCode="0.00">
                  <c:v>78.339428492954767</c:v>
                </c:pt>
                <c:pt idx="173" formatCode="0.00">
                  <c:v>73.639428492954806</c:v>
                </c:pt>
                <c:pt idx="174" formatCode="0.00">
                  <c:v>55.180000000000007</c:v>
                </c:pt>
                <c:pt idx="175" formatCode="0.00">
                  <c:v>59.773714338030103</c:v>
                </c:pt>
                <c:pt idx="176" formatCode="0.00">
                  <c:v>76.803571428571416</c:v>
                </c:pt>
                <c:pt idx="177" formatCode="0.00">
                  <c:v>50.738285609653985</c:v>
                </c:pt>
                <c:pt idx="178" formatCode="0.00">
                  <c:v>47.993857245714288</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lvl>
                <c:lvl>
                  <c:pt idx="0">
                    <c:v>2019</c:v>
                  </c:pt>
                  <c:pt idx="53">
                    <c:v>2020</c:v>
                  </c:pt>
                  <c:pt idx="105">
                    <c:v>2021</c:v>
                  </c:pt>
                </c:lvl>
              </c:multiLvlStrCache>
            </c:multiLvlStrRef>
          </c:cat>
          <c:val>
            <c:numRef>
              <c:f>'13.Caudales'!$U$4:$U$182</c:f>
              <c:numCache>
                <c:formatCode>0.0</c:formatCode>
                <c:ptCount val="179"/>
                <c:pt idx="0">
                  <c:v>13.115714484285716</c:v>
                </c:pt>
                <c:pt idx="1">
                  <c:v>16.11014284285714</c:v>
                </c:pt>
                <c:pt idx="2">
                  <c:v>29.23</c:v>
                </c:pt>
                <c:pt idx="3">
                  <c:v>36.200000218571425</c:v>
                </c:pt>
                <c:pt idx="4">
                  <c:v>36.703999928571427</c:v>
                </c:pt>
                <c:pt idx="5">
                  <c:v>51.29</c:v>
                </c:pt>
                <c:pt idx="6">
                  <c:v>46.224000658571427</c:v>
                </c:pt>
                <c:pt idx="7">
                  <c:v>42.94585745571429</c:v>
                </c:pt>
                <c:pt idx="8">
                  <c:v>34.696428571428569</c:v>
                </c:pt>
                <c:pt idx="9">
                  <c:v>38.680999754285715</c:v>
                </c:pt>
                <c:pt idx="10">
                  <c:v>42.633285522460888</c:v>
                </c:pt>
                <c:pt idx="11">
                  <c:v>43.529285431428569</c:v>
                </c:pt>
                <c:pt idx="12">
                  <c:v>57.974427901428569</c:v>
                </c:pt>
                <c:pt idx="13">
                  <c:v>55.119428907142868</c:v>
                </c:pt>
                <c:pt idx="14">
                  <c:v>27.713714872857139</c:v>
                </c:pt>
                <c:pt idx="15">
                  <c:v>22.869143077142859</c:v>
                </c:pt>
                <c:pt idx="16">
                  <c:v>20.273857388571425</c:v>
                </c:pt>
                <c:pt idx="17">
                  <c:v>18.103142875714287</c:v>
                </c:pt>
                <c:pt idx="18">
                  <c:v>15.728999954285714</c:v>
                </c:pt>
                <c:pt idx="19">
                  <c:v>20.647571429999999</c:v>
                </c:pt>
                <c:pt idx="20">
                  <c:v>14.46171447</c:v>
                </c:pt>
                <c:pt idx="21">
                  <c:v>12.621714454285712</c:v>
                </c:pt>
                <c:pt idx="22">
                  <c:v>10.571857179142857</c:v>
                </c:pt>
                <c:pt idx="23">
                  <c:v>9.2180000031428584</c:v>
                </c:pt>
                <c:pt idx="24">
                  <c:v>8.9321429390000002</c:v>
                </c:pt>
                <c:pt idx="25">
                  <c:v>8.3007144928571428</c:v>
                </c:pt>
                <c:pt idx="26">
                  <c:v>8.59</c:v>
                </c:pt>
                <c:pt idx="27">
                  <c:v>7.8261427880000003</c:v>
                </c:pt>
                <c:pt idx="28">
                  <c:v>7.6488569804600273</c:v>
                </c:pt>
                <c:pt idx="29">
                  <c:v>8.18</c:v>
                </c:pt>
                <c:pt idx="30">
                  <c:v>7.0618571554285712</c:v>
                </c:pt>
                <c:pt idx="31">
                  <c:v>6.2595714159999991</c:v>
                </c:pt>
                <c:pt idx="32">
                  <c:v>6.3691428730000004</c:v>
                </c:pt>
                <c:pt idx="33">
                  <c:v>6.115428584</c:v>
                </c:pt>
                <c:pt idx="34">
                  <c:v>6.3137143680000003</c:v>
                </c:pt>
                <c:pt idx="35">
                  <c:v>5.8737142427142857</c:v>
                </c:pt>
                <c:pt idx="36">
                  <c:v>6.1154285838571436</c:v>
                </c:pt>
                <c:pt idx="37">
                  <c:v>6.8328571428571419</c:v>
                </c:pt>
                <c:pt idx="38">
                  <c:v>9.2337144442966927</c:v>
                </c:pt>
                <c:pt idx="39">
                  <c:v>9.6928569934285722</c:v>
                </c:pt>
                <c:pt idx="40">
                  <c:v>10.709857054714286</c:v>
                </c:pt>
                <c:pt idx="41">
                  <c:v>8.5642857142857132</c:v>
                </c:pt>
                <c:pt idx="42">
                  <c:v>12.279142925142859</c:v>
                </c:pt>
                <c:pt idx="43">
                  <c:v>8.685571329857142</c:v>
                </c:pt>
                <c:pt idx="44">
                  <c:v>11.169571467285715</c:v>
                </c:pt>
                <c:pt idx="45">
                  <c:v>13.601000102857142</c:v>
                </c:pt>
                <c:pt idx="46">
                  <c:v>10.628571509714286</c:v>
                </c:pt>
                <c:pt idx="47">
                  <c:v>8.4404285975714277</c:v>
                </c:pt>
                <c:pt idx="48">
                  <c:v>12.563142707428572</c:v>
                </c:pt>
                <c:pt idx="49">
                  <c:v>21.506999832857144</c:v>
                </c:pt>
                <c:pt idx="50">
                  <c:v>47.032857078571432</c:v>
                </c:pt>
                <c:pt idx="51">
                  <c:v>45.963714052857135</c:v>
                </c:pt>
                <c:pt idx="52">
                  <c:v>29.933428355714284</c:v>
                </c:pt>
                <c:pt idx="53">
                  <c:v>24.27742849077493</c:v>
                </c:pt>
                <c:pt idx="54">
                  <c:v>30.680286678571431</c:v>
                </c:pt>
                <c:pt idx="55">
                  <c:v>40.240000044285715</c:v>
                </c:pt>
                <c:pt idx="56">
                  <c:v>26.470714297142855</c:v>
                </c:pt>
                <c:pt idx="57">
                  <c:v>48.707714625714289</c:v>
                </c:pt>
                <c:pt idx="58">
                  <c:v>51.925000326974022</c:v>
                </c:pt>
                <c:pt idx="59">
                  <c:v>37.997142247142854</c:v>
                </c:pt>
                <c:pt idx="60">
                  <c:v>30.780285699026873</c:v>
                </c:pt>
                <c:pt idx="61">
                  <c:v>36.13400023285714</c:v>
                </c:pt>
                <c:pt idx="62">
                  <c:v>22.61842863857143</c:v>
                </c:pt>
                <c:pt idx="63">
                  <c:v>39.343428748571434</c:v>
                </c:pt>
                <c:pt idx="64">
                  <c:v>46.286999838692772</c:v>
                </c:pt>
                <c:pt idx="65">
                  <c:v>63.414285387311629</c:v>
                </c:pt>
                <c:pt idx="66">
                  <c:v>40.567142485714285</c:v>
                </c:pt>
                <c:pt idx="67">
                  <c:v>27.609000341428576</c:v>
                </c:pt>
                <c:pt idx="68">
                  <c:v>23.319143022857144</c:v>
                </c:pt>
                <c:pt idx="69">
                  <c:v>19.662570953369116</c:v>
                </c:pt>
                <c:pt idx="70">
                  <c:v>21.329571314285715</c:v>
                </c:pt>
                <c:pt idx="71">
                  <c:v>18.961428234285709</c:v>
                </c:pt>
                <c:pt idx="72">
                  <c:v>17.724285941428572</c:v>
                </c:pt>
                <c:pt idx="73">
                  <c:v>14.547714369637587</c:v>
                </c:pt>
                <c:pt idx="74">
                  <c:v>12.851142882857143</c:v>
                </c:pt>
                <c:pt idx="75">
                  <c:v>13.300571305714286</c:v>
                </c:pt>
                <c:pt idx="76">
                  <c:v>11.205857140677287</c:v>
                </c:pt>
                <c:pt idx="77">
                  <c:v>9.1724285395714276</c:v>
                </c:pt>
                <c:pt idx="78">
                  <c:v>8.6642858641428564</c:v>
                </c:pt>
                <c:pt idx="79">
                  <c:v>8.3150001253400507</c:v>
                </c:pt>
                <c:pt idx="80">
                  <c:v>7.9792855807142846</c:v>
                </c:pt>
                <c:pt idx="81">
                  <c:v>7.2952857698571441</c:v>
                </c:pt>
                <c:pt idx="82">
                  <c:v>7.5452858379999999</c:v>
                </c:pt>
                <c:pt idx="83">
                  <c:v>7.1267142297142865</c:v>
                </c:pt>
                <c:pt idx="84">
                  <c:v>6.828428472791396</c:v>
                </c:pt>
                <c:pt idx="85">
                  <c:v>6.6690000125714279</c:v>
                </c:pt>
                <c:pt idx="86">
                  <c:v>6.6477142742857138</c:v>
                </c:pt>
                <c:pt idx="87">
                  <c:v>6.0071428843906904</c:v>
                </c:pt>
                <c:pt idx="88">
                  <c:v>6.0528572627476231</c:v>
                </c:pt>
                <c:pt idx="89">
                  <c:v>5.992857115609298</c:v>
                </c:pt>
                <c:pt idx="90">
                  <c:v>6.3054285049438423</c:v>
                </c:pt>
                <c:pt idx="91">
                  <c:v>7.6855713981428568</c:v>
                </c:pt>
                <c:pt idx="92">
                  <c:v>7.8047143392857157</c:v>
                </c:pt>
                <c:pt idx="93">
                  <c:v>6.762428624428571</c:v>
                </c:pt>
                <c:pt idx="94">
                  <c:v>7.8334286553519048</c:v>
                </c:pt>
                <c:pt idx="95">
                  <c:v>6.4934286387142857</c:v>
                </c:pt>
                <c:pt idx="96">
                  <c:v>5.6301428931428577</c:v>
                </c:pt>
                <c:pt idx="97">
                  <c:v>5.3054286411428562</c:v>
                </c:pt>
                <c:pt idx="98">
                  <c:v>5.1785714285714288</c:v>
                </c:pt>
                <c:pt idx="99">
                  <c:v>6.1274285315714279</c:v>
                </c:pt>
                <c:pt idx="100">
                  <c:v>8.188285623714286</c:v>
                </c:pt>
                <c:pt idx="101">
                  <c:v>14.530285971857142</c:v>
                </c:pt>
                <c:pt idx="102">
                  <c:v>9.220428467142856</c:v>
                </c:pt>
                <c:pt idx="103">
                  <c:v>9.7118571817142847</c:v>
                </c:pt>
                <c:pt idx="104">
                  <c:v>34.910285677142852</c:v>
                </c:pt>
                <c:pt idx="105">
                  <c:v>44.205428261428565</c:v>
                </c:pt>
                <c:pt idx="106">
                  <c:v>27.91428565857143</c:v>
                </c:pt>
                <c:pt idx="107">
                  <c:v>39.37385668142857</c:v>
                </c:pt>
                <c:pt idx="108">
                  <c:v>23.497714179999999</c:v>
                </c:pt>
                <c:pt idx="109">
                  <c:v>21.321428571428573</c:v>
                </c:pt>
                <c:pt idx="110">
                  <c:v>30.396999359999999</c:v>
                </c:pt>
                <c:pt idx="111">
                  <c:v>18.5625</c:v>
                </c:pt>
                <c:pt idx="112">
                  <c:v>21.619</c:v>
                </c:pt>
                <c:pt idx="113">
                  <c:v>19.778999873570012</c:v>
                </c:pt>
                <c:pt idx="114">
                  <c:v>29.352285658571429</c:v>
                </c:pt>
                <c:pt idx="115">
                  <c:v>28.100000654285715</c:v>
                </c:pt>
                <c:pt idx="116">
                  <c:v>43.393999101428577</c:v>
                </c:pt>
                <c:pt idx="117">
                  <c:v>39.082286288571431</c:v>
                </c:pt>
                <c:pt idx="118">
                  <c:v>40.325571332857145</c:v>
                </c:pt>
                <c:pt idx="119" formatCode="0.00">
                  <c:v>52.19757080285715</c:v>
                </c:pt>
                <c:pt idx="120">
                  <c:v>28.65042877285714</c:v>
                </c:pt>
                <c:pt idx="121">
                  <c:v>20.563142504285715</c:v>
                </c:pt>
                <c:pt idx="122">
                  <c:v>16.68214280285714</c:v>
                </c:pt>
                <c:pt idx="123">
                  <c:v>17.039285524285713</c:v>
                </c:pt>
                <c:pt idx="124">
                  <c:v>13.813714164285713</c:v>
                </c:pt>
                <c:pt idx="125">
                  <c:v>14.927285738571429</c:v>
                </c:pt>
                <c:pt idx="126">
                  <c:v>12.11642851</c:v>
                </c:pt>
                <c:pt idx="127">
                  <c:v>10.973142897142859</c:v>
                </c:pt>
                <c:pt idx="128">
                  <c:v>10.649856976285715</c:v>
                </c:pt>
                <c:pt idx="129">
                  <c:v>8.8067141942857141</c:v>
                </c:pt>
                <c:pt idx="130">
                  <c:v>8.6310001098571423</c:v>
                </c:pt>
                <c:pt idx="131">
                  <c:v>7.6702857698571432</c:v>
                </c:pt>
                <c:pt idx="132">
                  <c:v>6.9708570752857142</c:v>
                </c:pt>
                <c:pt idx="133">
                  <c:v>7.1941427504285702</c:v>
                </c:pt>
                <c:pt idx="134">
                  <c:v>6.6857143130000001</c:v>
                </c:pt>
                <c:pt idx="135">
                  <c:v>7.3144286019999996</c:v>
                </c:pt>
                <c:pt idx="136">
                  <c:v>6.1658571107142865</c:v>
                </c:pt>
                <c:pt idx="137">
                  <c:v>5.9981428554285712</c:v>
                </c:pt>
                <c:pt idx="138">
                  <c:v>5.9428571975714277</c:v>
                </c:pt>
                <c:pt idx="139">
                  <c:v>5.5928570885714288</c:v>
                </c:pt>
                <c:pt idx="140">
                  <c:v>5.7147143908571421</c:v>
                </c:pt>
                <c:pt idx="141">
                  <c:v>6.5815715108571435</c:v>
                </c:pt>
                <c:pt idx="142">
                  <c:v>6.3408571651428574</c:v>
                </c:pt>
                <c:pt idx="143">
                  <c:v>6.8902856279999991</c:v>
                </c:pt>
                <c:pt idx="144">
                  <c:v>7.7940000801428573</c:v>
                </c:pt>
                <c:pt idx="145">
                  <c:v>8.9731427602857146</c:v>
                </c:pt>
                <c:pt idx="146">
                  <c:v>9.1315714969999995</c:v>
                </c:pt>
                <c:pt idx="147">
                  <c:v>8.3171428948571435</c:v>
                </c:pt>
                <c:pt idx="148">
                  <c:v>8.7617143898571435</c:v>
                </c:pt>
                <c:pt idx="149">
                  <c:v>8.1029998912857142</c:v>
                </c:pt>
                <c:pt idx="150">
                  <c:v>7.6644285747142851</c:v>
                </c:pt>
                <c:pt idx="151">
                  <c:v>21.278142930000001</c:v>
                </c:pt>
                <c:pt idx="152">
                  <c:v>25.523666837380901</c:v>
                </c:pt>
                <c:pt idx="153">
                  <c:v>24.464857102857142</c:v>
                </c:pt>
                <c:pt idx="154">
                  <c:v>15.326142855714284</c:v>
                </c:pt>
                <c:pt idx="155">
                  <c:v>5</c:v>
                </c:pt>
                <c:pt idx="156">
                  <c:v>9.771428653000001</c:v>
                </c:pt>
                <c:pt idx="157">
                  <c:v>8.6221429277142843</c:v>
                </c:pt>
                <c:pt idx="158">
                  <c:v>16.483285767857144</c:v>
                </c:pt>
                <c:pt idx="159">
                  <c:v>14.234428677142859</c:v>
                </c:pt>
                <c:pt idx="160">
                  <c:v>35.655428067142857</c:v>
                </c:pt>
                <c:pt idx="161">
                  <c:v>43.192856380000002</c:v>
                </c:pt>
                <c:pt idx="162">
                  <c:v>33.553428921428569</c:v>
                </c:pt>
                <c:pt idx="163">
                  <c:v>35.365238643809498</c:v>
                </c:pt>
                <c:pt idx="164">
                  <c:v>52.961428506033734</c:v>
                </c:pt>
                <c:pt idx="165">
                  <c:v>60.130286080000005</c:v>
                </c:pt>
                <c:pt idx="166">
                  <c:v>62.624940787617</c:v>
                </c:pt>
                <c:pt idx="167">
                  <c:v>65.082142966134157</c:v>
                </c:pt>
                <c:pt idx="168">
                  <c:v>38.394142695835612</c:v>
                </c:pt>
                <c:pt idx="169">
                  <c:v>36.35</c:v>
                </c:pt>
                <c:pt idx="170">
                  <c:v>45.316000257219557</c:v>
                </c:pt>
                <c:pt idx="171">
                  <c:v>26.343714578571426</c:v>
                </c:pt>
                <c:pt idx="172">
                  <c:v>19.653713771275072</c:v>
                </c:pt>
                <c:pt idx="173">
                  <c:v>18.143000000000001</c:v>
                </c:pt>
                <c:pt idx="174">
                  <c:v>17.828571428571429</c:v>
                </c:pt>
                <c:pt idx="175">
                  <c:v>15.455142838614288</c:v>
                </c:pt>
                <c:pt idx="176">
                  <c:v>17.032571247645741</c:v>
                </c:pt>
                <c:pt idx="177">
                  <c:v>13.328000204903701</c:v>
                </c:pt>
                <c:pt idx="178">
                  <c:v>14.01614271</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'13.Caudales'!$N$4:$O$182</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'13.Caudales'!$V$4:$V$182</c:f>
              <c:numCache>
                <c:formatCode>0.0</c:formatCode>
                <c:ptCount val="179"/>
                <c:pt idx="0">
                  <c:v>11.571904317142856</c:v>
                </c:pt>
                <c:pt idx="1">
                  <c:v>11.570298602857141</c:v>
                </c:pt>
                <c:pt idx="2">
                  <c:v>11.28</c:v>
                </c:pt>
                <c:pt idx="3">
                  <c:v>11.843988554285716</c:v>
                </c:pt>
                <c:pt idx="4">
                  <c:v>12.496724401428571</c:v>
                </c:pt>
                <c:pt idx="5">
                  <c:v>12.744285714285715</c:v>
                </c:pt>
                <c:pt idx="6">
                  <c:v>23.841369902857146</c:v>
                </c:pt>
                <c:pt idx="7">
                  <c:v>23.894881112857146</c:v>
                </c:pt>
                <c:pt idx="8">
                  <c:v>22.406962801428573</c:v>
                </c:pt>
                <c:pt idx="9">
                  <c:v>23.828572680000001</c:v>
                </c:pt>
                <c:pt idx="10">
                  <c:v>23.809881482805473</c:v>
                </c:pt>
                <c:pt idx="11">
                  <c:v>19.572964258571432</c:v>
                </c:pt>
                <c:pt idx="12">
                  <c:v>12.582738467142859</c:v>
                </c:pt>
                <c:pt idx="13">
                  <c:v>21.303751674285714</c:v>
                </c:pt>
                <c:pt idx="14">
                  <c:v>17.810774395714287</c:v>
                </c:pt>
                <c:pt idx="15">
                  <c:v>12.210951395714286</c:v>
                </c:pt>
                <c:pt idx="16">
                  <c:v>12.949641501428573</c:v>
                </c:pt>
                <c:pt idx="17">
                  <c:v>11.493274145714285</c:v>
                </c:pt>
                <c:pt idx="18">
                  <c:v>10.883738517142858</c:v>
                </c:pt>
                <c:pt idx="19">
                  <c:v>11.153748650000001</c:v>
                </c:pt>
                <c:pt idx="20">
                  <c:v>12</c:v>
                </c:pt>
                <c:pt idx="21">
                  <c:v>10.442797251571431</c:v>
                </c:pt>
                <c:pt idx="22">
                  <c:v>10.979225701428572</c:v>
                </c:pt>
                <c:pt idx="23">
                  <c:v>11.096784181428571</c:v>
                </c:pt>
                <c:pt idx="24">
                  <c:v>10.461965969999998</c:v>
                </c:pt>
                <c:pt idx="25">
                  <c:v>11.259941372857144</c:v>
                </c:pt>
                <c:pt idx="26">
                  <c:v>10.758154460361988</c:v>
                </c:pt>
                <c:pt idx="27">
                  <c:v>11.139168601428571</c:v>
                </c:pt>
                <c:pt idx="28">
                  <c:v>10.810358456202879</c:v>
                </c:pt>
                <c:pt idx="29">
                  <c:v>12.61</c:v>
                </c:pt>
                <c:pt idx="30">
                  <c:v>12.322975702857141</c:v>
                </c:pt>
                <c:pt idx="31">
                  <c:v>12.551451548571427</c:v>
                </c:pt>
                <c:pt idx="32">
                  <c:v>12.137084417142857</c:v>
                </c:pt>
                <c:pt idx="33">
                  <c:v>12.034524235714285</c:v>
                </c:pt>
                <c:pt idx="34">
                  <c:v>12.041607177142856</c:v>
                </c:pt>
                <c:pt idx="35">
                  <c:v>12.055594308571429</c:v>
                </c:pt>
                <c:pt idx="36">
                  <c:v>12.130952835714286</c:v>
                </c:pt>
                <c:pt idx="37">
                  <c:v>12.194285714285716</c:v>
                </c:pt>
                <c:pt idx="38">
                  <c:v>12.167024339948341</c:v>
                </c:pt>
                <c:pt idx="39">
                  <c:v>12.594642775714282</c:v>
                </c:pt>
                <c:pt idx="40">
                  <c:v>13.274107117142858</c:v>
                </c:pt>
                <c:pt idx="41">
                  <c:v>13.001428571428571</c:v>
                </c:pt>
                <c:pt idx="42">
                  <c:v>13.139822822857143</c:v>
                </c:pt>
                <c:pt idx="43">
                  <c:v>13.275356975714287</c:v>
                </c:pt>
                <c:pt idx="44">
                  <c:v>14</c:v>
                </c:pt>
                <c:pt idx="45">
                  <c:v>14.050535747142858</c:v>
                </c:pt>
                <c:pt idx="46">
                  <c:v>13.985775811428573</c:v>
                </c:pt>
                <c:pt idx="47">
                  <c:v>13.781128474285714</c:v>
                </c:pt>
                <c:pt idx="48">
                  <c:v>13.148691448571428</c:v>
                </c:pt>
                <c:pt idx="49">
                  <c:v>12.61392865857143</c:v>
                </c:pt>
                <c:pt idx="50">
                  <c:v>12.600475584285714</c:v>
                </c:pt>
                <c:pt idx="51">
                  <c:v>12.617798667142859</c:v>
                </c:pt>
                <c:pt idx="52">
                  <c:v>12.85226127</c:v>
                </c:pt>
                <c:pt idx="53">
                  <c:v>14.514315741402715</c:v>
                </c:pt>
                <c:pt idx="54">
                  <c:v>13.21958133142857</c:v>
                </c:pt>
                <c:pt idx="55">
                  <c:v>16.855534282857143</c:v>
                </c:pt>
                <c:pt idx="56">
                  <c:v>22.011848449999999</c:v>
                </c:pt>
                <c:pt idx="57">
                  <c:v>14.496191432857142</c:v>
                </c:pt>
                <c:pt idx="58">
                  <c:v>17.659045491899729</c:v>
                </c:pt>
                <c:pt idx="59">
                  <c:v>23.642735891428568</c:v>
                </c:pt>
                <c:pt idx="60">
                  <c:v>23.681545802525072</c:v>
                </c:pt>
                <c:pt idx="61">
                  <c:v>23.625475747142854</c:v>
                </c:pt>
                <c:pt idx="62">
                  <c:v>23.72583552857143</c:v>
                </c:pt>
                <c:pt idx="63">
                  <c:v>23.714347295714287</c:v>
                </c:pt>
                <c:pt idx="64">
                  <c:v>23.623331614903002</c:v>
                </c:pt>
                <c:pt idx="65">
                  <c:v>22.128154209681874</c:v>
                </c:pt>
                <c:pt idx="66">
                  <c:v>21.36</c:v>
                </c:pt>
                <c:pt idx="67">
                  <c:v>23.601429802857144</c:v>
                </c:pt>
                <c:pt idx="68">
                  <c:v>16.145714351428573</c:v>
                </c:pt>
                <c:pt idx="69">
                  <c:v>14.007261548723459</c:v>
                </c:pt>
                <c:pt idx="70">
                  <c:v>12.484048571428572</c:v>
                </c:pt>
                <c:pt idx="71">
                  <c:v>11.436902861999998</c:v>
                </c:pt>
                <c:pt idx="72">
                  <c:v>12.01881</c:v>
                </c:pt>
                <c:pt idx="73">
                  <c:v>11.963334356035457</c:v>
                </c:pt>
                <c:pt idx="74">
                  <c:v>11.972144264285713</c:v>
                </c:pt>
                <c:pt idx="75">
                  <c:v>12.060297148571431</c:v>
                </c:pt>
                <c:pt idx="76">
                  <c:v>12.025059972490542</c:v>
                </c:pt>
                <c:pt idx="77">
                  <c:v>11.867550168571428</c:v>
                </c:pt>
                <c:pt idx="78">
                  <c:v>11.961507115714285</c:v>
                </c:pt>
                <c:pt idx="79">
                  <c:v>12.125935554504371</c:v>
                </c:pt>
                <c:pt idx="80">
                  <c:v>12.036131450000001</c:v>
                </c:pt>
                <c:pt idx="81">
                  <c:v>12.01250158142857</c:v>
                </c:pt>
                <c:pt idx="82">
                  <c:v>12.065415654285715</c:v>
                </c:pt>
                <c:pt idx="83">
                  <c:v>12.064045632857143</c:v>
                </c:pt>
                <c:pt idx="84">
                  <c:v>11.89809417724604</c:v>
                </c:pt>
                <c:pt idx="85">
                  <c:v>11.954105787142856</c:v>
                </c:pt>
                <c:pt idx="86">
                  <c:v>11.958392961428572</c:v>
                </c:pt>
                <c:pt idx="87">
                  <c:v>12.309941428048228</c:v>
                </c:pt>
                <c:pt idx="88">
                  <c:v>12.697084290640644</c:v>
                </c:pt>
                <c:pt idx="89">
                  <c:v>12.722499983651257</c:v>
                </c:pt>
                <c:pt idx="90">
                  <c:v>12.757261548723429</c:v>
                </c:pt>
                <c:pt idx="91">
                  <c:v>12.744882855714284</c:v>
                </c:pt>
                <c:pt idx="92">
                  <c:v>13.59601129857143</c:v>
                </c:pt>
                <c:pt idx="93">
                  <c:v>13.258037294285714</c:v>
                </c:pt>
                <c:pt idx="94">
                  <c:v>12.748987061636742</c:v>
                </c:pt>
                <c:pt idx="95">
                  <c:v>12.771309988571426</c:v>
                </c:pt>
                <c:pt idx="96">
                  <c:v>13.156308445714286</c:v>
                </c:pt>
                <c:pt idx="97">
                  <c:v>12.687737055714285</c:v>
                </c:pt>
                <c:pt idx="98">
                  <c:v>13.157975741428572</c:v>
                </c:pt>
                <c:pt idx="99">
                  <c:v>12.246785572857144</c:v>
                </c:pt>
                <c:pt idx="100">
                  <c:v>13.367501529999998</c:v>
                </c:pt>
                <c:pt idx="101">
                  <c:v>13.053452899999998</c:v>
                </c:pt>
                <c:pt idx="102">
                  <c:v>13.068511554285712</c:v>
                </c:pt>
                <c:pt idx="103">
                  <c:v>12.987917082857143</c:v>
                </c:pt>
                <c:pt idx="104">
                  <c:v>18.967856814285714</c:v>
                </c:pt>
                <c:pt idx="105">
                  <c:v>22.357858387142851</c:v>
                </c:pt>
                <c:pt idx="106">
                  <c:v>16.044107027142857</c:v>
                </c:pt>
                <c:pt idx="107">
                  <c:v>18.835116929999998</c:v>
                </c:pt>
                <c:pt idx="108">
                  <c:v>16.004641395714284</c:v>
                </c:pt>
                <c:pt idx="109">
                  <c:v>16.024463924285715</c:v>
                </c:pt>
                <c:pt idx="110">
                  <c:v>15.963094302857142</c:v>
                </c:pt>
                <c:pt idx="111">
                  <c:v>14.07</c:v>
                </c:pt>
                <c:pt idx="112">
                  <c:v>13.162619047619055</c:v>
                </c:pt>
                <c:pt idx="113">
                  <c:v>11.839642660958372</c:v>
                </c:pt>
                <c:pt idx="114">
                  <c:v>10.568511418142858</c:v>
                </c:pt>
                <c:pt idx="115">
                  <c:v>11.367022922857142</c:v>
                </c:pt>
                <c:pt idx="116">
                  <c:v>14.060239925714285</c:v>
                </c:pt>
                <c:pt idx="117">
                  <c:v>20.107797215142853</c:v>
                </c:pt>
                <c:pt idx="118">
                  <c:v>23.453333172857139</c:v>
                </c:pt>
                <c:pt idx="119" formatCode="0.00">
                  <c:v>23.194762912857147</c:v>
                </c:pt>
                <c:pt idx="120">
                  <c:v>18.780238424285709</c:v>
                </c:pt>
                <c:pt idx="121">
                  <c:v>13.920417241428572</c:v>
                </c:pt>
                <c:pt idx="122">
                  <c:v>10.773084301857143</c:v>
                </c:pt>
                <c:pt idx="123">
                  <c:v>11.989167077142856</c:v>
                </c:pt>
                <c:pt idx="124">
                  <c:v>12.071368352857144</c:v>
                </c:pt>
                <c:pt idx="125">
                  <c:v>12.066725457142857</c:v>
                </c:pt>
                <c:pt idx="126">
                  <c:v>12.046847342857143</c:v>
                </c:pt>
                <c:pt idx="127">
                  <c:v>12.030653000000001</c:v>
                </c:pt>
                <c:pt idx="128">
                  <c:v>11.902322768571427</c:v>
                </c:pt>
                <c:pt idx="129">
                  <c:v>11.966488567142857</c:v>
                </c:pt>
                <c:pt idx="130">
                  <c:v>11.885477065714285</c:v>
                </c:pt>
                <c:pt idx="131">
                  <c:v>11.995894294285714</c:v>
                </c:pt>
                <c:pt idx="132">
                  <c:v>11.927797181428572</c:v>
                </c:pt>
                <c:pt idx="133">
                  <c:v>12.045535904285714</c:v>
                </c:pt>
                <c:pt idx="134">
                  <c:v>11.927261488571427</c:v>
                </c:pt>
                <c:pt idx="135">
                  <c:v>13.712319918571428</c:v>
                </c:pt>
                <c:pt idx="136">
                  <c:v>13.989404405714286</c:v>
                </c:pt>
                <c:pt idx="137">
                  <c:v>13.973928587142856</c:v>
                </c:pt>
                <c:pt idx="138">
                  <c:v>14.050774301428572</c:v>
                </c:pt>
                <c:pt idx="139">
                  <c:v>13.988035748571429</c:v>
                </c:pt>
                <c:pt idx="140">
                  <c:v>13.989464348571429</c:v>
                </c:pt>
                <c:pt idx="141">
                  <c:v>13.932678497142856</c:v>
                </c:pt>
                <c:pt idx="142">
                  <c:v>14.030597005714284</c:v>
                </c:pt>
                <c:pt idx="143">
                  <c:v>14.026608604285714</c:v>
                </c:pt>
                <c:pt idx="144">
                  <c:v>14.026192801428573</c:v>
                </c:pt>
                <c:pt idx="145">
                  <c:v>14.020297051428571</c:v>
                </c:pt>
                <c:pt idx="146">
                  <c:v>13.992498534285714</c:v>
                </c:pt>
                <c:pt idx="147">
                  <c:v>14.015835900000001</c:v>
                </c:pt>
                <c:pt idx="148">
                  <c:v>13.927204130000002</c:v>
                </c:pt>
                <c:pt idx="149">
                  <c:v>13.944405964285716</c:v>
                </c:pt>
                <c:pt idx="150">
                  <c:v>14.053689955714287</c:v>
                </c:pt>
                <c:pt idx="151">
                  <c:v>14.02023874</c:v>
                </c:pt>
                <c:pt idx="152">
                  <c:v>14.0819443290476</c:v>
                </c:pt>
                <c:pt idx="153">
                  <c:v>14.414462907142859</c:v>
                </c:pt>
                <c:pt idx="154">
                  <c:v>14.382619995714284</c:v>
                </c:pt>
                <c:pt idx="155">
                  <c:v>13.809047154285716</c:v>
                </c:pt>
                <c:pt idx="156">
                  <c:v>13.759048734285715</c:v>
                </c:pt>
                <c:pt idx="157">
                  <c:v>12.151368549999999</c:v>
                </c:pt>
                <c:pt idx="158">
                  <c:v>15.379761560000002</c:v>
                </c:pt>
                <c:pt idx="159">
                  <c:v>13.331011501428572</c:v>
                </c:pt>
                <c:pt idx="160">
                  <c:v>12.147084100000001</c:v>
                </c:pt>
                <c:pt idx="161">
                  <c:v>11.764999934285715</c:v>
                </c:pt>
                <c:pt idx="162">
                  <c:v>11.749167034285714</c:v>
                </c:pt>
                <c:pt idx="163">
                  <c:v>10.9661612507143</c:v>
                </c:pt>
                <c:pt idx="164">
                  <c:v>11.586785861424</c:v>
                </c:pt>
                <c:pt idx="165">
                  <c:v>15.540178571428571</c:v>
                </c:pt>
                <c:pt idx="166">
                  <c:v>12.489226658966601</c:v>
                </c:pt>
                <c:pt idx="167">
                  <c:v>15.861725670950701</c:v>
                </c:pt>
                <c:pt idx="168">
                  <c:v>15.601665633065315</c:v>
                </c:pt>
                <c:pt idx="169">
                  <c:v>14.272857142857143</c:v>
                </c:pt>
                <c:pt idx="170">
                  <c:v>12.459285599844744</c:v>
                </c:pt>
                <c:pt idx="171">
                  <c:v>12.322202818571428</c:v>
                </c:pt>
                <c:pt idx="172">
                  <c:v>12.955415725707971</c:v>
                </c:pt>
                <c:pt idx="173">
                  <c:v>13.5886286328445</c:v>
                </c:pt>
                <c:pt idx="174">
                  <c:v>12.145714285714286</c:v>
                </c:pt>
                <c:pt idx="175">
                  <c:v>11.9720828192574</c:v>
                </c:pt>
                <c:pt idx="176">
                  <c:v>12.044524329049228</c:v>
                </c:pt>
                <c:pt idx="177">
                  <c:v>12.004824365888286</c:v>
                </c:pt>
                <c:pt idx="178">
                  <c:v>12.003629958571429</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'13.Caudales'!$N$4:$O$182</c:f>
              <c:multiLvlStrCache>
                <c:ptCount val="179"/>
                <c:lvl>
                  <c:pt idx="0">
                    <c:v>1</c:v>
                  </c:pt>
                  <c:pt idx="7">
                    <c:v>8</c:v>
                  </c:pt>
                  <c:pt idx="15">
                    <c:v>16</c:v>
                  </c:pt>
                  <c:pt idx="25">
                    <c:v>26</c:v>
                  </c:pt>
                  <c:pt idx="35">
                    <c:v>36</c:v>
                  </c:pt>
                  <c:pt idx="43">
                    <c:v>44</c:v>
                  </c:pt>
                  <c:pt idx="52">
                    <c:v>53</c:v>
                  </c:pt>
                  <c:pt idx="60">
                    <c:v>8</c:v>
                  </c:pt>
                  <c:pt idx="68">
                    <c:v>16</c:v>
                  </c:pt>
                  <c:pt idx="76">
                    <c:v>24</c:v>
                  </c:pt>
                  <c:pt idx="84">
                    <c:v>32</c:v>
                  </c:pt>
                  <c:pt idx="92">
                    <c:v>40</c:v>
                  </c:pt>
                  <c:pt idx="104">
                    <c:v>52</c:v>
                  </c:pt>
                  <c:pt idx="117">
                    <c:v>13</c:v>
                  </c:pt>
                  <c:pt idx="130">
                    <c:v>26</c:v>
                  </c:pt>
                  <c:pt idx="137">
                    <c:v>33</c:v>
                  </c:pt>
                  <c:pt idx="148">
                    <c:v>44</c:v>
                  </c:pt>
                  <c:pt idx="156">
                    <c:v>52</c:v>
                  </c:pt>
                  <c:pt idx="162">
                    <c:v>6</c:v>
                  </c:pt>
                  <c:pt idx="169">
                    <c:v>13</c:v>
                  </c:pt>
                  <c:pt idx="174">
                    <c:v>18</c:v>
                  </c:pt>
                  <c:pt idx="178">
                    <c:v>22</c:v>
                  </c:pt>
                </c:lvl>
                <c:lvl>
                  <c:pt idx="0">
                    <c:v>2019</c:v>
                  </c:pt>
                  <c:pt idx="53">
                    <c:v>2020</c:v>
                  </c:pt>
                  <c:pt idx="105">
                    <c:v>2021</c:v>
                  </c:pt>
                  <c:pt idx="157">
                    <c:v>2022</c:v>
                  </c:pt>
                </c:lvl>
              </c:multiLvlStrCache>
            </c:multiLvlStrRef>
          </c:cat>
          <c:val>
            <c:numRef>
              <c:f>'13.Caudales'!$W$4:$W$182</c:f>
              <c:numCache>
                <c:formatCode>0.0</c:formatCode>
                <c:ptCount val="179"/>
                <c:pt idx="0">
                  <c:v>1.2999999520000001</c:v>
                </c:pt>
                <c:pt idx="1">
                  <c:v>1.2999999520000001</c:v>
                </c:pt>
                <c:pt idx="2">
                  <c:v>1.33</c:v>
                </c:pt>
                <c:pt idx="3">
                  <c:v>3.0287143159999999</c:v>
                </c:pt>
                <c:pt idx="4">
                  <c:v>6.6928571292857146</c:v>
                </c:pt>
                <c:pt idx="5">
                  <c:v>14.464285714285714</c:v>
                </c:pt>
                <c:pt idx="6">
                  <c:v>21.059571402857141</c:v>
                </c:pt>
                <c:pt idx="7">
                  <c:v>6.8928571428571432</c:v>
                </c:pt>
                <c:pt idx="8">
                  <c:v>3.3807143142857146</c:v>
                </c:pt>
                <c:pt idx="9">
                  <c:v>2.3840000118571427</c:v>
                </c:pt>
                <c:pt idx="10">
                  <c:v>1.9291428668158341</c:v>
                </c:pt>
                <c:pt idx="11">
                  <c:v>1.7968571012857144</c:v>
                </c:pt>
                <c:pt idx="12">
                  <c:v>1.6904285634285714</c:v>
                </c:pt>
                <c:pt idx="13">
                  <c:v>1.6808571647142858</c:v>
                </c:pt>
                <c:pt idx="14">
                  <c:v>1.7205714498571432</c:v>
                </c:pt>
                <c:pt idx="15">
                  <c:v>1.789857131857143</c:v>
                </c:pt>
                <c:pt idx="16">
                  <c:v>1.6648571664285714</c:v>
                </c:pt>
                <c:pt idx="17">
                  <c:v>1.55</c:v>
                </c:pt>
                <c:pt idx="18">
                  <c:v>1.5914285865714286</c:v>
                </c:pt>
                <c:pt idx="19">
                  <c:v>1.5371428389999999</c:v>
                </c:pt>
                <c:pt idx="20">
                  <c:v>1.5128571304285714</c:v>
                </c:pt>
                <c:pt idx="21">
                  <c:v>1.5</c:v>
                </c:pt>
                <c:pt idx="22">
                  <c:v>1.5</c:v>
                </c:pt>
                <c:pt idx="23">
                  <c:v>1.5</c:v>
                </c:pt>
                <c:pt idx="24">
                  <c:v>1.5</c:v>
                </c:pt>
                <c:pt idx="25">
                  <c:v>1.5</c:v>
                </c:pt>
                <c:pt idx="26">
                  <c:v>1.59</c:v>
                </c:pt>
                <c:pt idx="27">
                  <c:v>1.6000000240000001</c:v>
                </c:pt>
                <c:pt idx="28">
                  <c:v>1.6000000238418504</c:v>
                </c:pt>
                <c:pt idx="29">
                  <c:v>1.6285714285714283</c:v>
                </c:pt>
                <c:pt idx="30">
                  <c:v>1.7000000479999999</c:v>
                </c:pt>
                <c:pt idx="31">
                  <c:v>1.7214285988571427</c:v>
                </c:pt>
                <c:pt idx="32">
                  <c:v>1.7482857022857143</c:v>
                </c:pt>
                <c:pt idx="33">
                  <c:v>1.7482857022857143</c:v>
                </c:pt>
                <c:pt idx="34">
                  <c:v>1.75</c:v>
                </c:pt>
                <c:pt idx="35">
                  <c:v>1.6425714154285713</c:v>
                </c:pt>
                <c:pt idx="36">
                  <c:v>1.6457142658571429</c:v>
                </c:pt>
                <c:pt idx="37">
                  <c:v>1.6014285714285712</c:v>
                </c:pt>
                <c:pt idx="38">
                  <c:v>1.4285714115415273</c:v>
                </c:pt>
                <c:pt idx="39">
                  <c:v>1.3999999759999999</c:v>
                </c:pt>
                <c:pt idx="40">
                  <c:v>1.3785714251428571</c:v>
                </c:pt>
                <c:pt idx="41">
                  <c:v>1.3499999999999999</c:v>
                </c:pt>
                <c:pt idx="42">
                  <c:v>1.2642857177142857</c:v>
                </c:pt>
                <c:pt idx="43">
                  <c:v>1.1857142621428574</c:v>
                </c:pt>
                <c:pt idx="44">
                  <c:v>1.1200000049999999</c:v>
                </c:pt>
                <c:pt idx="45">
                  <c:v>1.1085714441428569</c:v>
                </c:pt>
                <c:pt idx="46">
                  <c:v>1.1000000240000001</c:v>
                </c:pt>
                <c:pt idx="47">
                  <c:v>1.1000000240000001</c:v>
                </c:pt>
                <c:pt idx="48">
                  <c:v>1.1000000000000001</c:v>
                </c:pt>
                <c:pt idx="49">
                  <c:v>1.1014285939999999</c:v>
                </c:pt>
                <c:pt idx="50">
                  <c:v>1.1000000240000001</c:v>
                </c:pt>
                <c:pt idx="51">
                  <c:v>1.4000000274285713</c:v>
                </c:pt>
                <c:pt idx="52">
                  <c:v>1.4571428811428571</c:v>
                </c:pt>
                <c:pt idx="53">
                  <c:v>2.278571367263786</c:v>
                </c:pt>
                <c:pt idx="54">
                  <c:v>1.8857142757142857</c:v>
                </c:pt>
                <c:pt idx="55">
                  <c:v>6.3075712748571418</c:v>
                </c:pt>
                <c:pt idx="56">
                  <c:v>4.3669999327142861</c:v>
                </c:pt>
                <c:pt idx="57">
                  <c:v>2.6891428574285712</c:v>
                </c:pt>
                <c:pt idx="58">
                  <c:v>9.7964284079415354</c:v>
                </c:pt>
                <c:pt idx="59">
                  <c:v>10.810714449000001</c:v>
                </c:pt>
                <c:pt idx="60">
                  <c:v>21.290571621486073</c:v>
                </c:pt>
                <c:pt idx="61">
                  <c:v>11.064000130142858</c:v>
                </c:pt>
                <c:pt idx="62">
                  <c:v>5.0324285712857142</c:v>
                </c:pt>
                <c:pt idx="63">
                  <c:v>12.165999821428571</c:v>
                </c:pt>
                <c:pt idx="64">
                  <c:v>11.119714055742502</c:v>
                </c:pt>
                <c:pt idx="65">
                  <c:v>6.0048571995326432</c:v>
                </c:pt>
                <c:pt idx="66">
                  <c:v>4.6619999238571435</c:v>
                </c:pt>
                <c:pt idx="67">
                  <c:v>2.5870000464285714</c:v>
                </c:pt>
                <c:pt idx="68">
                  <c:v>1.9568571534285717</c:v>
                </c:pt>
                <c:pt idx="69">
                  <c:v>2.0897142546517471</c:v>
                </c:pt>
                <c:pt idx="70">
                  <c:v>2.074857081857143</c:v>
                </c:pt>
                <c:pt idx="71">
                  <c:v>1.6491428614285712</c:v>
                </c:pt>
                <c:pt idx="72">
                  <c:v>1.6491428614285712</c:v>
                </c:pt>
                <c:pt idx="73">
                  <c:v>1.6175714560917398</c:v>
                </c:pt>
                <c:pt idx="74">
                  <c:v>1.7258571555714286</c:v>
                </c:pt>
                <c:pt idx="75">
                  <c:v>2.2755714314285713</c:v>
                </c:pt>
                <c:pt idx="76">
                  <c:v>2.2755714314324473</c:v>
                </c:pt>
                <c:pt idx="77">
                  <c:v>1.7577142885714285</c:v>
                </c:pt>
                <c:pt idx="78">
                  <c:v>1.7387143204285713</c:v>
                </c:pt>
                <c:pt idx="79">
                  <c:v>2.0545714242117699</c:v>
                </c:pt>
                <c:pt idx="80">
                  <c:v>1.862857103571429</c:v>
                </c:pt>
                <c:pt idx="81">
                  <c:v>2.1428571427142855</c:v>
                </c:pt>
                <c:pt idx="82">
                  <c:v>2.0148571899999999</c:v>
                </c:pt>
                <c:pt idx="83">
                  <c:v>2.0708571672857143</c:v>
                </c:pt>
                <c:pt idx="84">
                  <c:v>1.7728571551186658</c:v>
                </c:pt>
                <c:pt idx="85">
                  <c:v>1.7154285907142857</c:v>
                </c:pt>
                <c:pt idx="86">
                  <c:v>2.26100002</c:v>
                </c:pt>
                <c:pt idx="87">
                  <c:v>1.5178571258272411</c:v>
                </c:pt>
                <c:pt idx="88">
                  <c:v>1.0650000040020247</c:v>
                </c:pt>
                <c:pt idx="89">
                  <c:v>1.5737142903464156</c:v>
                </c:pt>
                <c:pt idx="90">
                  <c:v>1.6808571304593714</c:v>
                </c:pt>
                <c:pt idx="91">
                  <c:v>1.6871428661428571</c:v>
                </c:pt>
                <c:pt idx="92">
                  <c:v>1.6130000010000001</c:v>
                </c:pt>
                <c:pt idx="93">
                  <c:v>1.8452857051428571</c:v>
                </c:pt>
                <c:pt idx="94">
                  <c:v>1.9990000043596503</c:v>
                </c:pt>
                <c:pt idx="95">
                  <c:v>1.5481428758571429</c:v>
                </c:pt>
                <c:pt idx="96">
                  <c:v>1.4392857041428573</c:v>
                </c:pt>
                <c:pt idx="97">
                  <c:v>1.380714297142857</c:v>
                </c:pt>
                <c:pt idx="98">
                  <c:v>1.3845714331428574</c:v>
                </c:pt>
                <c:pt idx="99">
                  <c:v>1.5065714290000003</c:v>
                </c:pt>
                <c:pt idx="100">
                  <c:v>1.0268571504285715</c:v>
                </c:pt>
                <c:pt idx="101">
                  <c:v>1.0737142817142857</c:v>
                </c:pt>
                <c:pt idx="102">
                  <c:v>1.2921428212857144</c:v>
                </c:pt>
                <c:pt idx="103">
                  <c:v>1.2780000142857142</c:v>
                </c:pt>
                <c:pt idx="104">
                  <c:v>7.1757142371428566</c:v>
                </c:pt>
                <c:pt idx="105">
                  <c:v>6.7241427552857145</c:v>
                </c:pt>
                <c:pt idx="106">
                  <c:v>3.2384286270000002</c:v>
                </c:pt>
                <c:pt idx="107">
                  <c:v>6.560571466571429</c:v>
                </c:pt>
                <c:pt idx="108">
                  <c:v>5.1067142825714296</c:v>
                </c:pt>
                <c:pt idx="109">
                  <c:v>3.1654285022857147</c:v>
                </c:pt>
                <c:pt idx="110">
                  <c:v>5.8411428927142861</c:v>
                </c:pt>
                <c:pt idx="111">
                  <c:v>3.3580000000000001</c:v>
                </c:pt>
                <c:pt idx="112">
                  <c:v>2.181</c:v>
                </c:pt>
                <c:pt idx="113">
                  <c:v>2.5798570939472714</c:v>
                </c:pt>
                <c:pt idx="114">
                  <c:v>2.1962857415714288</c:v>
                </c:pt>
                <c:pt idx="115">
                  <c:v>2.7152857098571426</c:v>
                </c:pt>
                <c:pt idx="116">
                  <c:v>3.625</c:v>
                </c:pt>
                <c:pt idx="117">
                  <c:v>4.0744285582857147</c:v>
                </c:pt>
                <c:pt idx="118">
                  <c:v>2.8194285800000003</c:v>
                </c:pt>
                <c:pt idx="119" formatCode="0.00">
                  <c:v>2.7518571105714291</c:v>
                </c:pt>
                <c:pt idx="120">
                  <c:v>1.8839999778571432</c:v>
                </c:pt>
                <c:pt idx="121">
                  <c:v>1.7985714162857143</c:v>
                </c:pt>
                <c:pt idx="122">
                  <c:v>1.8058571475714285</c:v>
                </c:pt>
                <c:pt idx="123">
                  <c:v>1.8551428488571429</c:v>
                </c:pt>
                <c:pt idx="124">
                  <c:v>1.7121428761428572</c:v>
                </c:pt>
                <c:pt idx="125">
                  <c:v>1.9470000094285715</c:v>
                </c:pt>
                <c:pt idx="126">
                  <c:v>1.9281428372857143</c:v>
                </c:pt>
                <c:pt idx="127">
                  <c:v>1.8262857195714286</c:v>
                </c:pt>
                <c:pt idx="128">
                  <c:v>1.3272857154285713</c:v>
                </c:pt>
                <c:pt idx="129">
                  <c:v>1.2890000087142857</c:v>
                </c:pt>
                <c:pt idx="130">
                  <c:v>1.732857125</c:v>
                </c:pt>
                <c:pt idx="131">
                  <c:v>1.8799999952857143</c:v>
                </c:pt>
                <c:pt idx="132">
                  <c:v>1.8718571149999998</c:v>
                </c:pt>
                <c:pt idx="133">
                  <c:v>1.7868571450000001</c:v>
                </c:pt>
                <c:pt idx="134">
                  <c:v>1.8862856968571431</c:v>
                </c:pt>
                <c:pt idx="135">
                  <c:v>1.8420000075714285</c:v>
                </c:pt>
                <c:pt idx="136">
                  <c:v>1.8741428512857143</c:v>
                </c:pt>
                <c:pt idx="137">
                  <c:v>1.871857132285714</c:v>
                </c:pt>
                <c:pt idx="138">
                  <c:v>1.8375714168571429</c:v>
                </c:pt>
                <c:pt idx="139">
                  <c:v>1.654571413857143</c:v>
                </c:pt>
                <c:pt idx="140">
                  <c:v>1.7275714362857142</c:v>
                </c:pt>
                <c:pt idx="141">
                  <c:v>1.6434285640000001</c:v>
                </c:pt>
                <c:pt idx="142">
                  <c:v>1.7824285711428571</c:v>
                </c:pt>
                <c:pt idx="143">
                  <c:v>1.7897142852857144</c:v>
                </c:pt>
                <c:pt idx="144">
                  <c:v>1.7887142725714287</c:v>
                </c:pt>
                <c:pt idx="145">
                  <c:v>1.4745714322857144</c:v>
                </c:pt>
                <c:pt idx="146">
                  <c:v>1.325428571</c:v>
                </c:pt>
                <c:pt idx="147">
                  <c:v>1.3259999922857142</c:v>
                </c:pt>
                <c:pt idx="148">
                  <c:v>1.0918571607142857</c:v>
                </c:pt>
                <c:pt idx="149">
                  <c:v>1.1197142941428571</c:v>
                </c:pt>
                <c:pt idx="150">
                  <c:v>1.2584285650000002</c:v>
                </c:pt>
                <c:pt idx="151">
                  <c:v>1.6037142788571426</c:v>
                </c:pt>
                <c:pt idx="152">
                  <c:v>1.686999981</c:v>
                </c:pt>
                <c:pt idx="153">
                  <c:v>1.509857126857143</c:v>
                </c:pt>
                <c:pt idx="154">
                  <c:v>1.5802857021428574</c:v>
                </c:pt>
                <c:pt idx="155">
                  <c:v>1.0052857144285714</c:v>
                </c:pt>
                <c:pt idx="156">
                  <c:v>1.2590000118571429</c:v>
                </c:pt>
                <c:pt idx="157">
                  <c:v>1.4929999965714287</c:v>
                </c:pt>
                <c:pt idx="158">
                  <c:v>4.383714250142857</c:v>
                </c:pt>
                <c:pt idx="159">
                  <c:v>3.4292857477142862</c:v>
                </c:pt>
                <c:pt idx="160">
                  <c:v>5.8837143019999996</c:v>
                </c:pt>
                <c:pt idx="161">
                  <c:v>5.8837143019999996</c:v>
                </c:pt>
                <c:pt idx="162">
                  <c:v>5.6551427840000006</c:v>
                </c:pt>
                <c:pt idx="163">
                  <c:v>2.0952857050000002</c:v>
                </c:pt>
                <c:pt idx="164">
                  <c:v>3.7204570871142901</c:v>
                </c:pt>
                <c:pt idx="165">
                  <c:v>4.1637142385755217</c:v>
                </c:pt>
                <c:pt idx="166">
                  <c:v>4.8724285875714282</c:v>
                </c:pt>
                <c:pt idx="167">
                  <c:v>3.3848571777343723</c:v>
                </c:pt>
                <c:pt idx="168">
                  <c:v>2.6404285430908159</c:v>
                </c:pt>
                <c:pt idx="169">
                  <c:v>2.0657142857142858</c:v>
                </c:pt>
                <c:pt idx="170">
                  <c:v>1.8045714242117685</c:v>
                </c:pt>
                <c:pt idx="171">
                  <c:v>1.5654285974285713</c:v>
                </c:pt>
                <c:pt idx="172">
                  <c:v>1.6847143173217742</c:v>
                </c:pt>
                <c:pt idx="173">
                  <c:v>1.80400003721498</c:v>
                </c:pt>
                <c:pt idx="174">
                  <c:v>1.5071428571428569</c:v>
                </c:pt>
                <c:pt idx="175">
                  <c:v>1.5408571277345884</c:v>
                </c:pt>
                <c:pt idx="176">
                  <c:v>1.2638571347509076</c:v>
                </c:pt>
                <c:pt idx="177">
                  <c:v>1.5594285896846185</c:v>
                </c:pt>
                <c:pt idx="178">
                  <c:v>1.5562856965714285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'13.Caudales'!$Y$4:$Y$182</c:f>
              <c:numCache>
                <c:formatCode>0.0</c:formatCode>
                <c:ptCount val="179"/>
                <c:pt idx="0">
                  <c:v>64.398429325714275</c:v>
                </c:pt>
                <c:pt idx="1">
                  <c:v>70.997858864285703</c:v>
                </c:pt>
                <c:pt idx="2">
                  <c:v>68.83</c:v>
                </c:pt>
                <c:pt idx="3">
                  <c:v>70.089428494285713</c:v>
                </c:pt>
                <c:pt idx="4">
                  <c:v>74.655428748571438</c:v>
                </c:pt>
                <c:pt idx="5">
                  <c:v>117.82857142857142</c:v>
                </c:pt>
                <c:pt idx="6">
                  <c:v>118.07871352857144</c:v>
                </c:pt>
                <c:pt idx="7">
                  <c:v>98.32</c:v>
                </c:pt>
                <c:pt idx="8">
                  <c:v>120.90099988571428</c:v>
                </c:pt>
                <c:pt idx="9">
                  <c:v>78.177285328571429</c:v>
                </c:pt>
                <c:pt idx="10">
                  <c:v>44.638999938964801</c:v>
                </c:pt>
                <c:pt idx="11">
                  <c:v>98.4</c:v>
                </c:pt>
                <c:pt idx="12">
                  <c:v>92.103571201428579</c:v>
                </c:pt>
                <c:pt idx="13">
                  <c:v>65.665856497142855</c:v>
                </c:pt>
                <c:pt idx="14">
                  <c:v>49.633285522857136</c:v>
                </c:pt>
                <c:pt idx="15">
                  <c:v>31.291000095714285</c:v>
                </c:pt>
                <c:pt idx="16">
                  <c:v>25.921857015714284</c:v>
                </c:pt>
                <c:pt idx="17">
                  <c:v>22.190428595714284</c:v>
                </c:pt>
                <c:pt idx="18">
                  <c:v>20.991285870000006</c:v>
                </c:pt>
                <c:pt idx="19">
                  <c:v>23.085714070000002</c:v>
                </c:pt>
                <c:pt idx="20">
                  <c:v>17.858285902857144</c:v>
                </c:pt>
                <c:pt idx="21">
                  <c:v>15.324571202857143</c:v>
                </c:pt>
                <c:pt idx="22">
                  <c:v>13.868142808571431</c:v>
                </c:pt>
                <c:pt idx="23">
                  <c:v>12.512571334285715</c:v>
                </c:pt>
                <c:pt idx="24">
                  <c:v>11.450428658571429</c:v>
                </c:pt>
                <c:pt idx="25">
                  <c:v>9.6660000944285702</c:v>
                </c:pt>
                <c:pt idx="26">
                  <c:v>8.27</c:v>
                </c:pt>
                <c:pt idx="27">
                  <c:v>7.4899999752857136</c:v>
                </c:pt>
                <c:pt idx="28">
                  <c:v>6.46428571428571</c:v>
                </c:pt>
                <c:pt idx="29">
                  <c:v>8.2285714285714295</c:v>
                </c:pt>
                <c:pt idx="30">
                  <c:v>6.7562857354285706</c:v>
                </c:pt>
                <c:pt idx="31">
                  <c:v>6.4201429230000002</c:v>
                </c:pt>
                <c:pt idx="32">
                  <c:v>4.7154285567142855</c:v>
                </c:pt>
                <c:pt idx="33">
                  <c:v>5.7421428814285713</c:v>
                </c:pt>
                <c:pt idx="34">
                  <c:v>6.5945714541428577</c:v>
                </c:pt>
                <c:pt idx="35">
                  <c:v>4.9847143037142851</c:v>
                </c:pt>
                <c:pt idx="36">
                  <c:v>5.502714293285714</c:v>
                </c:pt>
                <c:pt idx="37">
                  <c:v>6.8414285714285716</c:v>
                </c:pt>
                <c:pt idx="38">
                  <c:v>5.5879999569484111</c:v>
                </c:pt>
                <c:pt idx="39">
                  <c:v>8.0550000327142861</c:v>
                </c:pt>
                <c:pt idx="40">
                  <c:v>6.9969999451428562</c:v>
                </c:pt>
                <c:pt idx="41">
                  <c:v>6.2985714285714289</c:v>
                </c:pt>
                <c:pt idx="42">
                  <c:v>11.989999907285712</c:v>
                </c:pt>
                <c:pt idx="43">
                  <c:v>7.9394285338571438</c:v>
                </c:pt>
                <c:pt idx="44">
                  <c:v>10.621285710571428</c:v>
                </c:pt>
                <c:pt idx="45">
                  <c:v>19.484428541428574</c:v>
                </c:pt>
                <c:pt idx="46">
                  <c:v>19.475428171428575</c:v>
                </c:pt>
                <c:pt idx="47">
                  <c:v>16.918428555714282</c:v>
                </c:pt>
                <c:pt idx="48">
                  <c:v>23.580285755714289</c:v>
                </c:pt>
                <c:pt idx="49">
                  <c:v>41.892142702857143</c:v>
                </c:pt>
                <c:pt idx="50">
                  <c:v>39.827428544285716</c:v>
                </c:pt>
                <c:pt idx="51">
                  <c:v>62.57285690285714</c:v>
                </c:pt>
                <c:pt idx="52">
                  <c:v>97.806430279999987</c:v>
                </c:pt>
                <c:pt idx="53">
                  <c:v>152.80385916573601</c:v>
                </c:pt>
                <c:pt idx="54">
                  <c:v>97.949856347142855</c:v>
                </c:pt>
                <c:pt idx="55">
                  <c:v>78.131857190000005</c:v>
                </c:pt>
                <c:pt idx="56">
                  <c:v>52.875</c:v>
                </c:pt>
                <c:pt idx="57">
                  <c:v>99.128998899999985</c:v>
                </c:pt>
                <c:pt idx="58">
                  <c:v>151.47385733468144</c:v>
                </c:pt>
                <c:pt idx="59">
                  <c:v>148.12728554285715</c:v>
                </c:pt>
                <c:pt idx="60">
                  <c:v>143.28899928501644</c:v>
                </c:pt>
                <c:pt idx="61">
                  <c:v>84.357999531428575</c:v>
                </c:pt>
                <c:pt idx="62">
                  <c:v>76.472572329999977</c:v>
                </c:pt>
                <c:pt idx="63">
                  <c:v>110.78628649857141</c:v>
                </c:pt>
                <c:pt idx="64">
                  <c:v>113.32999965122723</c:v>
                </c:pt>
                <c:pt idx="65">
                  <c:v>97.158571515764294</c:v>
                </c:pt>
                <c:pt idx="66">
                  <c:v>87.023999895714283</c:v>
                </c:pt>
                <c:pt idx="67">
                  <c:v>56.692000798571428</c:v>
                </c:pt>
                <c:pt idx="68">
                  <c:v>41.578285762857142</c:v>
                </c:pt>
                <c:pt idx="69">
                  <c:v>32.277857099260544</c:v>
                </c:pt>
                <c:pt idx="70">
                  <c:v>27.218570980000003</c:v>
                </c:pt>
                <c:pt idx="71">
                  <c:v>23.996714454285712</c:v>
                </c:pt>
                <c:pt idx="72">
                  <c:v>27.218570980000003</c:v>
                </c:pt>
                <c:pt idx="73">
                  <c:v>17.639571326119512</c:v>
                </c:pt>
                <c:pt idx="74">
                  <c:v>13.389714241428573</c:v>
                </c:pt>
                <c:pt idx="75">
                  <c:v>13.06000001</c:v>
                </c:pt>
                <c:pt idx="76">
                  <c:v>10.094714164733857</c:v>
                </c:pt>
                <c:pt idx="77">
                  <c:v>9.1595716474285691</c:v>
                </c:pt>
                <c:pt idx="78">
                  <c:v>8.8348572594285706</c:v>
                </c:pt>
                <c:pt idx="79">
                  <c:v>8.4665715353829452</c:v>
                </c:pt>
                <c:pt idx="80">
                  <c:v>7.6952857290000001</c:v>
                </c:pt>
                <c:pt idx="81">
                  <c:v>7.1297142847142867</c:v>
                </c:pt>
                <c:pt idx="82">
                  <c:v>8.1214285577142853</c:v>
                </c:pt>
                <c:pt idx="83">
                  <c:v>8.1097143717142863</c:v>
                </c:pt>
                <c:pt idx="84">
                  <c:v>10.538714272635294</c:v>
                </c:pt>
                <c:pt idx="85">
                  <c:v>6.1292857952857149</c:v>
                </c:pt>
                <c:pt idx="86">
                  <c:v>6.0765714645714288</c:v>
                </c:pt>
                <c:pt idx="87">
                  <c:v>5.9287142923900031</c:v>
                </c:pt>
                <c:pt idx="88">
                  <c:v>6.6625714302062962</c:v>
                </c:pt>
                <c:pt idx="89">
                  <c:v>6.7525714465549971</c:v>
                </c:pt>
                <c:pt idx="90">
                  <c:v>6.3287143026079411</c:v>
                </c:pt>
                <c:pt idx="91">
                  <c:v>7.4534285069999999</c:v>
                </c:pt>
                <c:pt idx="92">
                  <c:v>6.0369999748571432</c:v>
                </c:pt>
                <c:pt idx="93">
                  <c:v>6.8767141612857143</c:v>
                </c:pt>
                <c:pt idx="94">
                  <c:v>6.4478571755545433</c:v>
                </c:pt>
                <c:pt idx="95">
                  <c:v>6.2457143240000006</c:v>
                </c:pt>
                <c:pt idx="96">
                  <c:v>6.5374285491428568</c:v>
                </c:pt>
                <c:pt idx="97">
                  <c:v>6.183142798285715</c:v>
                </c:pt>
                <c:pt idx="98">
                  <c:v>7.3267143794285712</c:v>
                </c:pt>
                <c:pt idx="99">
                  <c:v>9.6325714934285713</c:v>
                </c:pt>
                <c:pt idx="100">
                  <c:v>13.102857045714286</c:v>
                </c:pt>
                <c:pt idx="101">
                  <c:v>17.667142595714285</c:v>
                </c:pt>
                <c:pt idx="102">
                  <c:v>14.238999775714285</c:v>
                </c:pt>
                <c:pt idx="103">
                  <c:v>17.224714688571428</c:v>
                </c:pt>
                <c:pt idx="104">
                  <c:v>54.019857132857133</c:v>
                </c:pt>
                <c:pt idx="105">
                  <c:v>70.259001594285721</c:v>
                </c:pt>
                <c:pt idx="106">
                  <c:v>58.126999447142857</c:v>
                </c:pt>
                <c:pt idx="107">
                  <c:v>74.927428108571434</c:v>
                </c:pt>
                <c:pt idx="108">
                  <c:v>68.394571574285706</c:v>
                </c:pt>
                <c:pt idx="109">
                  <c:v>56.864572254285704</c:v>
                </c:pt>
                <c:pt idx="110">
                  <c:v>60.405000412857149</c:v>
                </c:pt>
                <c:pt idx="111">
                  <c:v>76.87</c:v>
                </c:pt>
                <c:pt idx="112">
                  <c:v>119.958</c:v>
                </c:pt>
                <c:pt idx="113">
                  <c:v>71.76285661969861</c:v>
                </c:pt>
                <c:pt idx="114">
                  <c:v>56.04871422714286</c:v>
                </c:pt>
                <c:pt idx="115">
                  <c:v>63.309571402857145</c:v>
                </c:pt>
                <c:pt idx="116">
                  <c:v>68.27</c:v>
                </c:pt>
                <c:pt idx="117">
                  <c:v>61.654713765714291</c:v>
                </c:pt>
                <c:pt idx="118">
                  <c:v>68.710573468571425</c:v>
                </c:pt>
                <c:pt idx="119" formatCode="0.00">
                  <c:v>74.239000592857138</c:v>
                </c:pt>
                <c:pt idx="120">
                  <c:v>39.415857042857148</c:v>
                </c:pt>
                <c:pt idx="121">
                  <c:v>25.886856898571434</c:v>
                </c:pt>
                <c:pt idx="122">
                  <c:v>19.646428789999998</c:v>
                </c:pt>
                <c:pt idx="123">
                  <c:v>16.286999974285717</c:v>
                </c:pt>
                <c:pt idx="124">
                  <c:v>14.018428667142857</c:v>
                </c:pt>
                <c:pt idx="125">
                  <c:v>14.466285705714286</c:v>
                </c:pt>
                <c:pt idx="126">
                  <c:v>11.637142864285716</c:v>
                </c:pt>
                <c:pt idx="127">
                  <c:v>10.373285701857142</c:v>
                </c:pt>
                <c:pt idx="128">
                  <c:v>9.3365716934285707</c:v>
                </c:pt>
                <c:pt idx="129">
                  <c:v>8.5024284634285721</c:v>
                </c:pt>
                <c:pt idx="130">
                  <c:v>7.8322857448571428</c:v>
                </c:pt>
                <c:pt idx="131">
                  <c:v>7.0652857510000002</c:v>
                </c:pt>
                <c:pt idx="132">
                  <c:v>6.2407143457142853</c:v>
                </c:pt>
                <c:pt idx="133">
                  <c:v>6.221285752</c:v>
                </c:pt>
                <c:pt idx="134">
                  <c:v>5.7022857667142848</c:v>
                </c:pt>
                <c:pt idx="135">
                  <c:v>7.1649999617142859</c:v>
                </c:pt>
                <c:pt idx="136">
                  <c:v>7.2785714695714301</c:v>
                </c:pt>
                <c:pt idx="137">
                  <c:v>5.154142958714286</c:v>
                </c:pt>
                <c:pt idx="138">
                  <c:v>6.0459999357142857</c:v>
                </c:pt>
                <c:pt idx="139">
                  <c:v>5.7705714702857147</c:v>
                </c:pt>
                <c:pt idx="140">
                  <c:v>7.9151426724285718</c:v>
                </c:pt>
                <c:pt idx="141">
                  <c:v>5.2711429254285713</c:v>
                </c:pt>
                <c:pt idx="142">
                  <c:v>4.8772857188571432</c:v>
                </c:pt>
                <c:pt idx="143">
                  <c:v>6.1969999587142857</c:v>
                </c:pt>
                <c:pt idx="144">
                  <c:v>10.280285493285716</c:v>
                </c:pt>
                <c:pt idx="145">
                  <c:v>7.658571379714286</c:v>
                </c:pt>
                <c:pt idx="146">
                  <c:v>5.9647143228571426</c:v>
                </c:pt>
                <c:pt idx="147">
                  <c:v>6.7207142624285723</c:v>
                </c:pt>
                <c:pt idx="148">
                  <c:v>5.8240000180000004</c:v>
                </c:pt>
                <c:pt idx="149">
                  <c:v>7.255428586571429</c:v>
                </c:pt>
                <c:pt idx="150">
                  <c:v>7.569857052142857</c:v>
                </c:pt>
                <c:pt idx="151">
                  <c:v>11.491143022142859</c:v>
                </c:pt>
                <c:pt idx="152">
                  <c:v>11.491143022142859</c:v>
                </c:pt>
                <c:pt idx="153">
                  <c:v>11.52</c:v>
                </c:pt>
                <c:pt idx="154">
                  <c:v>63.42214257285714</c:v>
                </c:pt>
                <c:pt idx="155">
                  <c:v>105.71028573142858</c:v>
                </c:pt>
                <c:pt idx="156">
                  <c:v>86.07714135142858</c:v>
                </c:pt>
                <c:pt idx="157">
                  <c:v>45.721570695714284</c:v>
                </c:pt>
                <c:pt idx="158">
                  <c:v>44.29957117428571</c:v>
                </c:pt>
                <c:pt idx="159">
                  <c:v>55.850142344285707</c:v>
                </c:pt>
                <c:pt idx="160">
                  <c:v>129.95414407142854</c:v>
                </c:pt>
                <c:pt idx="161">
                  <c:v>128.39200045714284</c:v>
                </c:pt>
                <c:pt idx="162">
                  <c:v>133.21328737142855</c:v>
                </c:pt>
                <c:pt idx="163">
                  <c:v>133.77895393333301</c:v>
                </c:pt>
                <c:pt idx="164">
                  <c:v>69.417142050606813</c:v>
                </c:pt>
                <c:pt idx="165">
                  <c:v>186.68128532857142</c:v>
                </c:pt>
                <c:pt idx="166">
                  <c:v>146.131261154827</c:v>
                </c:pt>
                <c:pt idx="167">
                  <c:v>110.17142813546286</c:v>
                </c:pt>
                <c:pt idx="168">
                  <c:v>81.900570460728204</c:v>
                </c:pt>
                <c:pt idx="169">
                  <c:v>61.771428571428579</c:v>
                </c:pt>
                <c:pt idx="170">
                  <c:v>46.260999952043754</c:v>
                </c:pt>
                <c:pt idx="171">
                  <c:v>36.220571791428576</c:v>
                </c:pt>
                <c:pt idx="172">
                  <c:v>27.017142704554924</c:v>
                </c:pt>
                <c:pt idx="173">
                  <c:v>26.255714235187</c:v>
                </c:pt>
                <c:pt idx="174">
                  <c:v>16.581428571428575</c:v>
                </c:pt>
                <c:pt idx="175">
                  <c:v>69.459999084472599</c:v>
                </c:pt>
                <c:pt idx="176">
                  <c:v>66.260002136230398</c:v>
                </c:pt>
                <c:pt idx="177">
                  <c:v>65.75</c:v>
                </c:pt>
                <c:pt idx="178">
                  <c:v>65.72000122</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'13.Caudales'!$X$4:$X$182</c:f>
              <c:numCache>
                <c:formatCode>0.0</c:formatCode>
                <c:ptCount val="179"/>
                <c:pt idx="0">
                  <c:v>121.75642612857142</c:v>
                </c:pt>
                <c:pt idx="1">
                  <c:v>180.32999965714288</c:v>
                </c:pt>
                <c:pt idx="2">
                  <c:v>167.22</c:v>
                </c:pt>
                <c:pt idx="3">
                  <c:v>185.51500375714286</c:v>
                </c:pt>
                <c:pt idx="4">
                  <c:v>199.03571430000002</c:v>
                </c:pt>
                <c:pt idx="5">
                  <c:v>338.89857142857142</c:v>
                </c:pt>
                <c:pt idx="6">
                  <c:v>288.0957205571429</c:v>
                </c:pt>
                <c:pt idx="7">
                  <c:v>411.75142995714288</c:v>
                </c:pt>
                <c:pt idx="8">
                  <c:v>249.46285358571427</c:v>
                </c:pt>
                <c:pt idx="9">
                  <c:v>225.10000174285716</c:v>
                </c:pt>
                <c:pt idx="10">
                  <c:v>217.45642525809117</c:v>
                </c:pt>
                <c:pt idx="11">
                  <c:v>327.82142857142861</c:v>
                </c:pt>
                <c:pt idx="12">
                  <c:v>339.04356602857143</c:v>
                </c:pt>
                <c:pt idx="13">
                  <c:v>250.08571298571431</c:v>
                </c:pt>
                <c:pt idx="14">
                  <c:v>148.48785617142858</c:v>
                </c:pt>
                <c:pt idx="15">
                  <c:v>105.47928511571429</c:v>
                </c:pt>
                <c:pt idx="16">
                  <c:v>103.81928579571429</c:v>
                </c:pt>
                <c:pt idx="17">
                  <c:v>91.532855442857141</c:v>
                </c:pt>
                <c:pt idx="18">
                  <c:v>82.45500183</c:v>
                </c:pt>
                <c:pt idx="19">
                  <c:v>76.857142859999996</c:v>
                </c:pt>
                <c:pt idx="20">
                  <c:v>58.057856968571436</c:v>
                </c:pt>
                <c:pt idx="21">
                  <c:v>51.520714895714285</c:v>
                </c:pt>
                <c:pt idx="22">
                  <c:v>46.520714351428573</c:v>
                </c:pt>
                <c:pt idx="23">
                  <c:v>42.473571777142858</c:v>
                </c:pt>
                <c:pt idx="24">
                  <c:v>43.729285104285715</c:v>
                </c:pt>
                <c:pt idx="25">
                  <c:v>44.616428919999997</c:v>
                </c:pt>
                <c:pt idx="26">
                  <c:v>43.84</c:v>
                </c:pt>
                <c:pt idx="27">
                  <c:v>39.995714458571435</c:v>
                </c:pt>
                <c:pt idx="28">
                  <c:v>42.704285757882197</c:v>
                </c:pt>
                <c:pt idx="29">
                  <c:v>44.611428571428576</c:v>
                </c:pt>
                <c:pt idx="30">
                  <c:v>43.444999694285706</c:v>
                </c:pt>
                <c:pt idx="31">
                  <c:v>38.432857512857147</c:v>
                </c:pt>
                <c:pt idx="32">
                  <c:v>36.690713608571421</c:v>
                </c:pt>
                <c:pt idx="33">
                  <c:v>34.872856138571429</c:v>
                </c:pt>
                <c:pt idx="34">
                  <c:v>34.16142872428572</c:v>
                </c:pt>
                <c:pt idx="35">
                  <c:v>35.968571799999999</c:v>
                </c:pt>
                <c:pt idx="36">
                  <c:v>34.324999674285714</c:v>
                </c:pt>
                <c:pt idx="37">
                  <c:v>33.131428571428572</c:v>
                </c:pt>
                <c:pt idx="38">
                  <c:v>32.532142911638481</c:v>
                </c:pt>
                <c:pt idx="39">
                  <c:v>36.384999957142853</c:v>
                </c:pt>
                <c:pt idx="40">
                  <c:v>40.987143380000006</c:v>
                </c:pt>
                <c:pt idx="41">
                  <c:v>37.554285714285712</c:v>
                </c:pt>
                <c:pt idx="42">
                  <c:v>52.87071446142857</c:v>
                </c:pt>
                <c:pt idx="43">
                  <c:v>36.208572388571426</c:v>
                </c:pt>
                <c:pt idx="44">
                  <c:v>61.867856707142856</c:v>
                </c:pt>
                <c:pt idx="45">
                  <c:v>108.26642826857143</c:v>
                </c:pt>
                <c:pt idx="46">
                  <c:v>123.16000039999999</c:v>
                </c:pt>
                <c:pt idx="47">
                  <c:v>94.382143292857137</c:v>
                </c:pt>
                <c:pt idx="48">
                  <c:v>134.38285718142859</c:v>
                </c:pt>
                <c:pt idx="49">
                  <c:v>210.99928282857144</c:v>
                </c:pt>
                <c:pt idx="50">
                  <c:v>166.85428727142857</c:v>
                </c:pt>
                <c:pt idx="51">
                  <c:v>293.28928701428578</c:v>
                </c:pt>
                <c:pt idx="52">
                  <c:v>278.16286141428571</c:v>
                </c:pt>
                <c:pt idx="53">
                  <c:v>468.15499877929659</c:v>
                </c:pt>
                <c:pt idx="54">
                  <c:v>213.59428187142859</c:v>
                </c:pt>
                <c:pt idx="55">
                  <c:v>247.26214164285713</c:v>
                </c:pt>
                <c:pt idx="56">
                  <c:v>212.78856985714287</c:v>
                </c:pt>
                <c:pt idx="57">
                  <c:v>410.15428595714286</c:v>
                </c:pt>
                <c:pt idx="58">
                  <c:v>622.45499965122758</c:v>
                </c:pt>
                <c:pt idx="59">
                  <c:v>434.32357352857144</c:v>
                </c:pt>
                <c:pt idx="60">
                  <c:v>403.40571376255542</c:v>
                </c:pt>
                <c:pt idx="61">
                  <c:v>388.35356794285718</c:v>
                </c:pt>
                <c:pt idx="62">
                  <c:v>317.96785625714284</c:v>
                </c:pt>
                <c:pt idx="63">
                  <c:v>377.62500435714281</c:v>
                </c:pt>
                <c:pt idx="64">
                  <c:v>380.85929216657314</c:v>
                </c:pt>
                <c:pt idx="65">
                  <c:v>332.15285818917374</c:v>
                </c:pt>
                <c:pt idx="66">
                  <c:v>272.16142927142863</c:v>
                </c:pt>
                <c:pt idx="67">
                  <c:v>174.17928642857143</c:v>
                </c:pt>
                <c:pt idx="68">
                  <c:v>124.01500048571428</c:v>
                </c:pt>
                <c:pt idx="69">
                  <c:v>109.72071402413471</c:v>
                </c:pt>
                <c:pt idx="70">
                  <c:v>121.69785745714287</c:v>
                </c:pt>
                <c:pt idx="71">
                  <c:v>98.23285565285714</c:v>
                </c:pt>
                <c:pt idx="72">
                  <c:v>74.486427307142861</c:v>
                </c:pt>
                <c:pt idx="73">
                  <c:v>66.354285648890865</c:v>
                </c:pt>
                <c:pt idx="74">
                  <c:v>60.742857795714293</c:v>
                </c:pt>
                <c:pt idx="75">
                  <c:v>60.932143074285719</c:v>
                </c:pt>
                <c:pt idx="76">
                  <c:v>56.771429334367994</c:v>
                </c:pt>
                <c:pt idx="77">
                  <c:v>51.780714305714291</c:v>
                </c:pt>
                <c:pt idx="78">
                  <c:v>47.265713828571435</c:v>
                </c:pt>
                <c:pt idx="79">
                  <c:v>44.601428440638877</c:v>
                </c:pt>
                <c:pt idx="80">
                  <c:v>42.742857252857149</c:v>
                </c:pt>
                <c:pt idx="81">
                  <c:v>40.262857164285712</c:v>
                </c:pt>
                <c:pt idx="82">
                  <c:v>39.827141895714291</c:v>
                </c:pt>
                <c:pt idx="83">
                  <c:v>37.761428834285709</c:v>
                </c:pt>
                <c:pt idx="84">
                  <c:v>37.760714394705587</c:v>
                </c:pt>
                <c:pt idx="85">
                  <c:v>38.402142115714284</c:v>
                </c:pt>
                <c:pt idx="86">
                  <c:v>36.792856487142856</c:v>
                </c:pt>
                <c:pt idx="87">
                  <c:v>37.991428375244077</c:v>
                </c:pt>
                <c:pt idx="88">
                  <c:v>40.24999999999995</c:v>
                </c:pt>
                <c:pt idx="89">
                  <c:v>41.220714024135006</c:v>
                </c:pt>
                <c:pt idx="90">
                  <c:v>38.451428549630243</c:v>
                </c:pt>
                <c:pt idx="91">
                  <c:v>41.307143075714286</c:v>
                </c:pt>
                <c:pt idx="92">
                  <c:v>45.036428724285713</c:v>
                </c:pt>
                <c:pt idx="93">
                  <c:v>44.255714417142862</c:v>
                </c:pt>
                <c:pt idx="94">
                  <c:v>49.407857077462303</c:v>
                </c:pt>
                <c:pt idx="95">
                  <c:v>49.056428090000004</c:v>
                </c:pt>
                <c:pt idx="96">
                  <c:v>48.241428374285711</c:v>
                </c:pt>
                <c:pt idx="97">
                  <c:v>46.33071463571428</c:v>
                </c:pt>
                <c:pt idx="98">
                  <c:v>44.693571362857142</c:v>
                </c:pt>
                <c:pt idx="99">
                  <c:v>42.967857361428564</c:v>
                </c:pt>
                <c:pt idx="100">
                  <c:v>63.644285474285716</c:v>
                </c:pt>
                <c:pt idx="101">
                  <c:v>90.734285625714293</c:v>
                </c:pt>
                <c:pt idx="102">
                  <c:v>57.20714296714285</c:v>
                </c:pt>
                <c:pt idx="103">
                  <c:v>76.025713785714288</c:v>
                </c:pt>
                <c:pt idx="104">
                  <c:v>180.25785610000003</c:v>
                </c:pt>
                <c:pt idx="105">
                  <c:v>233.42357307142856</c:v>
                </c:pt>
                <c:pt idx="106">
                  <c:v>199.51214380000002</c:v>
                </c:pt>
                <c:pt idx="107">
                  <c:v>380.69428361428572</c:v>
                </c:pt>
                <c:pt idx="108">
                  <c:v>322.4650006857143</c:v>
                </c:pt>
                <c:pt idx="109">
                  <c:v>203.94785854285715</c:v>
                </c:pt>
                <c:pt idx="110">
                  <c:v>317.90785435714287</c:v>
                </c:pt>
                <c:pt idx="111">
                  <c:v>339.78</c:v>
                </c:pt>
                <c:pt idx="112">
                  <c:v>264.85700000000003</c:v>
                </c:pt>
                <c:pt idx="113">
                  <c:v>195.40928431919602</c:v>
                </c:pt>
                <c:pt idx="114">
                  <c:v>212.2000013</c:v>
                </c:pt>
                <c:pt idx="115">
                  <c:v>229.93857247142856</c:v>
                </c:pt>
                <c:pt idx="116">
                  <c:v>287.37429152857146</c:v>
                </c:pt>
                <c:pt idx="117">
                  <c:v>292.37857055714284</c:v>
                </c:pt>
                <c:pt idx="118">
                  <c:v>281.81714740000001</c:v>
                </c:pt>
                <c:pt idx="119" formatCode="0.00">
                  <c:v>319.64357211428575</c:v>
                </c:pt>
                <c:pt idx="120">
                  <c:v>174.665717</c:v>
                </c:pt>
                <c:pt idx="121">
                  <c:v>112.05499922142857</c:v>
                </c:pt>
                <c:pt idx="122">
                  <c:v>79.242856705714289</c:v>
                </c:pt>
                <c:pt idx="123">
                  <c:v>73.040000915714288</c:v>
                </c:pt>
                <c:pt idx="124">
                  <c:v>68.874286108571425</c:v>
                </c:pt>
                <c:pt idx="125">
                  <c:v>68.332856858571418</c:v>
                </c:pt>
                <c:pt idx="126">
                  <c:v>60.234999522857144</c:v>
                </c:pt>
                <c:pt idx="127">
                  <c:v>55.279285977142862</c:v>
                </c:pt>
                <c:pt idx="128">
                  <c:v>49.072856904285722</c:v>
                </c:pt>
                <c:pt idx="129">
                  <c:v>43.960000174285717</c:v>
                </c:pt>
                <c:pt idx="130">
                  <c:v>41.416428701428572</c:v>
                </c:pt>
                <c:pt idx="131">
                  <c:v>38.669285909999992</c:v>
                </c:pt>
                <c:pt idx="132">
                  <c:v>36.412143161428574</c:v>
                </c:pt>
                <c:pt idx="133">
                  <c:v>36.787142614285713</c:v>
                </c:pt>
                <c:pt idx="134">
                  <c:v>39.564285824285712</c:v>
                </c:pt>
                <c:pt idx="135">
                  <c:v>41.400714874285711</c:v>
                </c:pt>
                <c:pt idx="136">
                  <c:v>39.942857471428567</c:v>
                </c:pt>
                <c:pt idx="137">
                  <c:v>37.965715135714291</c:v>
                </c:pt>
                <c:pt idx="138">
                  <c:v>37.97857121285714</c:v>
                </c:pt>
                <c:pt idx="139">
                  <c:v>37.199285234285711</c:v>
                </c:pt>
                <c:pt idx="140">
                  <c:v>36.553570882857137</c:v>
                </c:pt>
                <c:pt idx="141">
                  <c:v>36.635714938571432</c:v>
                </c:pt>
                <c:pt idx="142">
                  <c:v>36.422143117142859</c:v>
                </c:pt>
                <c:pt idx="143">
                  <c:v>36.457856858571432</c:v>
                </c:pt>
                <c:pt idx="144">
                  <c:v>44.888571058571429</c:v>
                </c:pt>
                <c:pt idx="145">
                  <c:v>49.243571144285717</c:v>
                </c:pt>
                <c:pt idx="146">
                  <c:v>38.599999562857143</c:v>
                </c:pt>
                <c:pt idx="147">
                  <c:v>35.493572237142857</c:v>
                </c:pt>
                <c:pt idx="148">
                  <c:v>46.067856924285714</c:v>
                </c:pt>
                <c:pt idx="149">
                  <c:v>41.25857108142857</c:v>
                </c:pt>
                <c:pt idx="150">
                  <c:v>59.822143555714284</c:v>
                </c:pt>
                <c:pt idx="151">
                  <c:v>58.205000194285724</c:v>
                </c:pt>
                <c:pt idx="152">
                  <c:v>108.646</c:v>
                </c:pt>
                <c:pt idx="153">
                  <c:v>183.08428410000002</c:v>
                </c:pt>
                <c:pt idx="154">
                  <c:v>192.18500408571427</c:v>
                </c:pt>
                <c:pt idx="155">
                  <c:v>189.54214041428571</c:v>
                </c:pt>
                <c:pt idx="156">
                  <c:v>169.73285565714286</c:v>
                </c:pt>
                <c:pt idx="157">
                  <c:v>101.56500134142858</c:v>
                </c:pt>
                <c:pt idx="158">
                  <c:v>191.4592830114286</c:v>
                </c:pt>
                <c:pt idx="159">
                  <c:v>222.21500070000002</c:v>
                </c:pt>
                <c:pt idx="160">
                  <c:v>439.25357492857148</c:v>
                </c:pt>
                <c:pt idx="161">
                  <c:v>404.03070942857141</c:v>
                </c:pt>
                <c:pt idx="162">
                  <c:v>420.1207101</c:v>
                </c:pt>
                <c:pt idx="163">
                  <c:v>427.15742450542803</c:v>
                </c:pt>
                <c:pt idx="164">
                  <c:v>294.89857700892827</c:v>
                </c:pt>
                <c:pt idx="165">
                  <c:v>302.25500487142864</c:v>
                </c:pt>
                <c:pt idx="166">
                  <c:v>288.89999999999998</c:v>
                </c:pt>
                <c:pt idx="167">
                  <c:v>414.23214285714226</c:v>
                </c:pt>
                <c:pt idx="168">
                  <c:v>293.36786106654517</c:v>
                </c:pt>
                <c:pt idx="169">
                  <c:v>268.19142857142862</c:v>
                </c:pt>
                <c:pt idx="170">
                  <c:v>229.34857395717026</c:v>
                </c:pt>
                <c:pt idx="171">
                  <c:v>215.08928787142855</c:v>
                </c:pt>
                <c:pt idx="172">
                  <c:v>128.73071398053784</c:v>
                </c:pt>
                <c:pt idx="173">
                  <c:v>118.43833195974599</c:v>
                </c:pt>
                <c:pt idx="174">
                  <c:v>73.115714285714276</c:v>
                </c:pt>
                <c:pt idx="175">
                  <c:v>69.296428135463117</c:v>
                </c:pt>
                <c:pt idx="176">
                  <c:v>62.86000006539475</c:v>
                </c:pt>
                <c:pt idx="177">
                  <c:v>54.305714198521159</c:v>
                </c:pt>
                <c:pt idx="178">
                  <c:v>53.467142922857143</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30.547584588949697</c:v>
                </c:pt>
                <c:pt idx="1">
                  <c:v>30.193176926426617</c:v>
                </c:pt>
                <c:pt idx="2">
                  <c:v>29.91583597563902</c:v>
                </c:pt>
                <c:pt idx="3">
                  <c:v>29.756586237784692</c:v>
                </c:pt>
                <c:pt idx="4">
                  <c:v>29.634617451073364</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28.913051277226195</c:v>
                </c:pt>
                <c:pt idx="1">
                  <c:v>28.883714123019317</c:v>
                </c:pt>
                <c:pt idx="2">
                  <c:v>28.911870374197651</c:v>
                </c:pt>
                <c:pt idx="3">
                  <c:v>28.732999866207788</c:v>
                </c:pt>
                <c:pt idx="4">
                  <c:v>29.04803997087755</c:v>
                </c:pt>
                <c:pt idx="5">
                  <c:v>28.210019179422169</c:v>
                </c:pt>
                <c:pt idx="6">
                  <c:v>27.960521032027511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31.750141690850764</c:v>
                </c:pt>
                <c:pt idx="1">
                  <c:v>30.64061347991014</c:v>
                </c:pt>
                <c:pt idx="2">
                  <c:v>30.641072660775389</c:v>
                </c:pt>
                <c:pt idx="3">
                  <c:v>30.876206534027517</c:v>
                </c:pt>
                <c:pt idx="4">
                  <c:v>29.039477022909331</c:v>
                </c:pt>
                <c:pt idx="5">
                  <c:v>28.80727637555805</c:v>
                </c:pt>
                <c:pt idx="6">
                  <c:v>28.612707701355504</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2265685835002626"/>
          <c:w val="0.85204524309047014"/>
          <c:h val="0.50535040451545921"/>
        </c:manualLayout>
      </c:layout>
      <c:barChart>
        <c:barDir val="col"/>
        <c:grouping val="clustered"/>
        <c:varyColors val="0"/>
        <c:ser>
          <c:idx val="0"/>
          <c:order val="0"/>
          <c:tx>
            <c:strRef>
              <c:f>'16. Congestiones'!$D$6</c:f>
              <c:strCache>
                <c:ptCount val="1"/>
                <c:pt idx="0">
                  <c:v>MAYO
 2022</c:v>
                </c:pt>
              </c:strCache>
            </c:strRef>
          </c:tx>
          <c:spPr>
            <a:solidFill>
              <a:schemeClr val="accent1"/>
            </a:solidFill>
            <a:ln>
              <a:noFill/>
            </a:ln>
            <a:effectLst/>
          </c:spPr>
          <c:invertIfNegative val="0"/>
          <c:cat>
            <c:strRef>
              <c:f>'16. Congestiones'!$C$7:$C$15</c:f>
              <c:strCache>
                <c:ptCount val="9"/>
                <c:pt idx="0">
                  <c:v>PACHACHACA - CALLAHUANCA (REP)</c:v>
                </c:pt>
                <c:pt idx="1">
                  <c:v>TINGO MARÍA - AUCAYACU</c:v>
                </c:pt>
                <c:pt idx="2">
                  <c:v>HUANZA-CARABAYLLO</c:v>
                </c:pt>
                <c:pt idx="3">
                  <c:v>POMACOCHA - SAN JUAN</c:v>
                </c:pt>
                <c:pt idx="4">
                  <c:v>CARHUAMAYO - OROYA NUEVA</c:v>
                </c:pt>
                <c:pt idx="5">
                  <c:v>MARCONA - SAN NICOLÁS</c:v>
                </c:pt>
                <c:pt idx="6">
                  <c:v>INDEPENDENCIA</c:v>
                </c:pt>
                <c:pt idx="7">
                  <c:v>MARCONA</c:v>
                </c:pt>
                <c:pt idx="8">
                  <c:v>AZÁNGARO - SAN GABÁN II</c:v>
                </c:pt>
              </c:strCache>
            </c:strRef>
          </c:cat>
          <c:val>
            <c:numRef>
              <c:f>'16. Congestiones'!$D$7:$D$15</c:f>
              <c:numCache>
                <c:formatCode>#,##0.00</c:formatCode>
                <c:ptCount val="9"/>
                <c:pt idx="1">
                  <c:v>2.6666666666666652</c:v>
                </c:pt>
                <c:pt idx="6">
                  <c:v>11.566666666666666</c:v>
                </c:pt>
                <c:pt idx="7">
                  <c:v>12.933333333333334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MAYO
 2021</c:v>
                </c:pt>
              </c:strCache>
            </c:strRef>
          </c:tx>
          <c:spPr>
            <a:solidFill>
              <a:schemeClr val="accent2"/>
            </a:solidFill>
            <a:ln>
              <a:noFill/>
            </a:ln>
            <a:effectLst/>
          </c:spPr>
          <c:invertIfNegative val="0"/>
          <c:cat>
            <c:strRef>
              <c:f>'16. Congestiones'!$C$7:$C$15</c:f>
              <c:strCache>
                <c:ptCount val="9"/>
                <c:pt idx="0">
                  <c:v>PACHACHACA - CALLAHUANCA (REP)</c:v>
                </c:pt>
                <c:pt idx="1">
                  <c:v>TINGO MARÍA - AUCAYACU</c:v>
                </c:pt>
                <c:pt idx="2">
                  <c:v>HUANZA-CARABAYLLO</c:v>
                </c:pt>
                <c:pt idx="3">
                  <c:v>POMACOCHA - SAN JUAN</c:v>
                </c:pt>
                <c:pt idx="4">
                  <c:v>CARHUAMAYO - OROYA NUEVA</c:v>
                </c:pt>
                <c:pt idx="5">
                  <c:v>MARCONA - SAN NICOLÁS</c:v>
                </c:pt>
                <c:pt idx="6">
                  <c:v>INDEPENDENCIA</c:v>
                </c:pt>
                <c:pt idx="7">
                  <c:v>MARCONA</c:v>
                </c:pt>
                <c:pt idx="8">
                  <c:v>AZÁNGARO - SAN GABÁN II</c:v>
                </c:pt>
              </c:strCache>
            </c:strRef>
          </c:cat>
          <c:val>
            <c:numRef>
              <c:f>'16. Congestiones'!$E$7:$E$15</c:f>
              <c:numCache>
                <c:formatCode>#,##0.00</c:formatCode>
                <c:ptCount val="9"/>
                <c:pt idx="5">
                  <c:v>21.1</c:v>
                </c:pt>
                <c:pt idx="6">
                  <c:v>226.63333333333338</c:v>
                </c:pt>
                <c:pt idx="7">
                  <c:v>12.81666666666667</c:v>
                </c:pt>
                <c:pt idx="8">
                  <c:v>0.91666666666666874</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MAYO
 2020</c:v>
                </c:pt>
              </c:strCache>
            </c:strRef>
          </c:tx>
          <c:spPr>
            <a:solidFill>
              <a:schemeClr val="accent6"/>
            </a:solidFill>
            <a:ln>
              <a:noFill/>
            </a:ln>
            <a:effectLst/>
          </c:spPr>
          <c:invertIfNegative val="0"/>
          <c:val>
            <c:numRef>
              <c:f>'16. Congestiones'!$F$7:$F$15</c:f>
              <c:numCache>
                <c:formatCode>#,##0.00</c:formatCode>
                <c:ptCount val="9"/>
                <c:pt idx="0">
                  <c:v>38.266666666666666</c:v>
                </c:pt>
                <c:pt idx="2">
                  <c:v>186.35000000000002</c:v>
                </c:pt>
                <c:pt idx="3">
                  <c:v>98.566666666666663</c:v>
                </c:pt>
                <c:pt idx="4">
                  <c:v>2.5833333333333348</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4.8714431783265268E-2"/>
              <c:y val="0.1111696116196981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105435797370834"/>
          <c:y val="0.197177456227057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2.6939571270316261E-2"/>
                  <c:y val="-3.398586055780448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2.9263071229072891E-2"/>
                  <c:y val="2.8350490369097377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0.38593149298363144"/>
                  <c:y val="-0.63866487509726644"/>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FB78BC4-28D5-47C7-B7DB-8191FAC6D7D2}"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26928316094669907"/>
                  <c:y val="4.9424352848295057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26879633605487591"/>
                  <c:y val="0.6036992500237333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Eventos'!$B$9:$H$9</c:f>
              <c:numCache>
                <c:formatCode>General</c:formatCode>
                <c:ptCount val="7"/>
                <c:pt idx="0">
                  <c:v>3</c:v>
                </c:pt>
                <c:pt idx="1">
                  <c:v>3</c:v>
                </c:pt>
                <c:pt idx="2">
                  <c:v>3</c:v>
                </c:pt>
                <c:pt idx="3">
                  <c:v>0</c:v>
                </c:pt>
                <c:pt idx="4">
                  <c:v>10</c:v>
                </c:pt>
                <c:pt idx="5">
                  <c:v>0</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Eventos'!$A$7:$A$8</c:f>
              <c:strCache>
                <c:ptCount val="2"/>
                <c:pt idx="0">
                  <c:v>LINEA DE TRANSMISION</c:v>
                </c:pt>
                <c:pt idx="1">
                  <c:v>TRANSFORMADOR 3D</c:v>
                </c:pt>
              </c:strCache>
            </c:strRef>
          </c:cat>
          <c:val>
            <c:numRef>
              <c:f>'17. Eventos'!$J$7:$J$8</c:f>
              <c:numCache>
                <c:formatCode>#,##0.00</c:formatCode>
                <c:ptCount val="2"/>
                <c:pt idx="0">
                  <c:v>230.04</c:v>
                </c:pt>
                <c:pt idx="1">
                  <c:v>13.83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14163821766617"/>
          <c:y val="0.2077097698529051"/>
          <c:w val="0.50536734632933233"/>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Eventos'!$A$7:$A$8</c:f>
              <c:strCache>
                <c:ptCount val="2"/>
                <c:pt idx="0">
                  <c:v>LINEA DE TRANSMISION</c:v>
                </c:pt>
                <c:pt idx="1">
                  <c:v>TRANSFORMADOR 3D</c:v>
                </c:pt>
              </c:strCache>
            </c:strRef>
          </c:cat>
          <c:val>
            <c:numRef>
              <c:f>'17. Eventos'!$B$7:$B$8</c:f>
              <c:numCache>
                <c:formatCode>General</c:formatCode>
                <c:ptCount val="2"/>
                <c:pt idx="0">
                  <c:v>3</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Eventos'!$A$7:$A$8</c:f>
              <c:strCache>
                <c:ptCount val="2"/>
                <c:pt idx="0">
                  <c:v>LINEA DE TRANSMISION</c:v>
                </c:pt>
                <c:pt idx="1">
                  <c:v>TRANSFORMADOR 3D</c:v>
                </c:pt>
              </c:strCache>
            </c:strRef>
          </c:cat>
          <c:val>
            <c:numRef>
              <c:f>'17. Eventos'!$C$7:$C$8</c:f>
              <c:numCache>
                <c:formatCode>General</c:formatCode>
                <c:ptCount val="2"/>
                <c:pt idx="0">
                  <c:v>3</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Eventos'!$A$7:$A$8</c:f>
              <c:strCache>
                <c:ptCount val="2"/>
                <c:pt idx="0">
                  <c:v>LINEA DE TRANSMISION</c:v>
                </c:pt>
                <c:pt idx="1">
                  <c:v>TRANSFORMADOR 3D</c:v>
                </c:pt>
              </c:strCache>
            </c:strRef>
          </c:cat>
          <c:val>
            <c:numRef>
              <c:f>'17. Eventos'!$D$7:$D$8</c:f>
              <c:numCache>
                <c:formatCode>General</c:formatCode>
                <c:ptCount val="2"/>
                <c:pt idx="0">
                  <c:v>2</c:v>
                </c:pt>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Eventos'!$A$7:$A$8</c:f>
              <c:strCache>
                <c:ptCount val="2"/>
                <c:pt idx="0">
                  <c:v>LINEA DE TRANSMISION</c:v>
                </c:pt>
                <c:pt idx="1">
                  <c:v>TRANSFORMADOR 3D</c:v>
                </c:pt>
              </c:strCache>
            </c:strRef>
          </c:cat>
          <c:val>
            <c:numRef>
              <c:f>'17. Eventos'!$E$7:$E$8</c:f>
              <c:numCache>
                <c:formatCode>General</c:formatCode>
                <c:ptCount val="2"/>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Eventos'!$A$7:$A$8</c:f>
              <c:strCache>
                <c:ptCount val="2"/>
                <c:pt idx="0">
                  <c:v>LINEA DE TRANSMISION</c:v>
                </c:pt>
                <c:pt idx="1">
                  <c:v>TRANSFORMADOR 3D</c:v>
                </c:pt>
              </c:strCache>
            </c:strRef>
          </c:cat>
          <c:val>
            <c:numRef>
              <c:f>'17. Eventos'!$F$7:$F$8</c:f>
              <c:numCache>
                <c:formatCode>General</c:formatCode>
                <c:ptCount val="2"/>
                <c:pt idx="0">
                  <c:v>9</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Eventos'!$A$7:$A$8</c:f>
              <c:strCache>
                <c:ptCount val="2"/>
                <c:pt idx="0">
                  <c:v>LINEA DE TRANSMISION</c:v>
                </c:pt>
                <c:pt idx="1">
                  <c:v>TRANSFORMADOR 3D</c:v>
                </c:pt>
              </c:strCache>
            </c:strRef>
          </c:cat>
          <c:val>
            <c:numRef>
              <c:f>'17. Eventos'!$G$7:$G$8</c:f>
              <c:numCache>
                <c:formatCode>General</c:formatCode>
                <c:ptCount val="2"/>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Eventos'!$A$7:$A$8</c:f>
              <c:strCache>
                <c:ptCount val="2"/>
                <c:pt idx="0">
                  <c:v>LINEA DE TRANSMISION</c:v>
                </c:pt>
                <c:pt idx="1">
                  <c:v>TRANSFORMADOR 3D</c:v>
                </c:pt>
              </c:strCache>
            </c:strRef>
          </c:cat>
          <c:val>
            <c:numRef>
              <c:f>'17. Eventos'!$H$7:$H$8</c:f>
              <c:numCache>
                <c:formatCode>General</c:formatCode>
                <c:ptCount val="2"/>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generación'!$B$19:$C$19</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generación'!$D$18:$E$18</c:f>
              <c:strCache>
                <c:ptCount val="2"/>
                <c:pt idx="0">
                  <c:v>MAYO 2022</c:v>
                </c:pt>
                <c:pt idx="1">
                  <c:v>MAYO 2021</c:v>
                </c:pt>
              </c:strCache>
            </c:strRef>
          </c:cat>
          <c:val>
            <c:numRef>
              <c:f>'2. Oferta de generación'!$D$19:$E$19</c:f>
              <c:numCache>
                <c:formatCode>#,##0.0</c:formatCode>
                <c:ptCount val="2"/>
                <c:pt idx="0">
                  <c:v>5261.9382474999966</c:v>
                </c:pt>
                <c:pt idx="1">
                  <c:v>5214.3692474999998</c:v>
                </c:pt>
              </c:numCache>
            </c:numRef>
          </c:val>
          <c:extLst>
            <c:ext xmlns:c16="http://schemas.microsoft.com/office/drawing/2014/chart" uri="{C3380CC4-5D6E-409C-BE32-E72D297353CC}">
              <c16:uniqueId val="{00000004-54B0-402D-913D-0304413B844F}"/>
            </c:ext>
          </c:extLst>
        </c:ser>
        <c:ser>
          <c:idx val="1"/>
          <c:order val="1"/>
          <c:tx>
            <c:strRef>
              <c:f>'2. Oferta de generación'!$B$20:$C$20</c:f>
              <c:strCache>
                <c:ptCount val="2"/>
                <c:pt idx="0">
                  <c:v>TERMOELÉCTRICA</c:v>
                </c:pt>
              </c:strCache>
            </c:strRef>
          </c:tx>
          <c:spPr>
            <a:solidFill>
              <a:schemeClr val="accent2"/>
            </a:solidFill>
          </c:spPr>
          <c:invertIfNegative val="0"/>
          <c:cat>
            <c:strRef>
              <c:f>'2. Oferta de generación'!$D$18:$E$18</c:f>
              <c:strCache>
                <c:ptCount val="2"/>
                <c:pt idx="0">
                  <c:v>MAYO 2022</c:v>
                </c:pt>
                <c:pt idx="1">
                  <c:v>MAYO 2021</c:v>
                </c:pt>
              </c:strCache>
            </c:strRef>
          </c:cat>
          <c:val>
            <c:numRef>
              <c:f>'2. Oferta de generación'!$D$20:$E$20</c:f>
              <c:numCache>
                <c:formatCode>#,##0.0</c:formatCode>
                <c:ptCount val="2"/>
                <c:pt idx="0">
                  <c:v>7490.5944999999983</c:v>
                </c:pt>
                <c:pt idx="1">
                  <c:v>7398.3644999999997</c:v>
                </c:pt>
              </c:numCache>
            </c:numRef>
          </c:val>
          <c:extLst>
            <c:ext xmlns:c16="http://schemas.microsoft.com/office/drawing/2014/chart" uri="{C3380CC4-5D6E-409C-BE32-E72D297353CC}">
              <c16:uniqueId val="{00000005-54B0-402D-913D-0304413B844F}"/>
            </c:ext>
          </c:extLst>
        </c:ser>
        <c:ser>
          <c:idx val="2"/>
          <c:order val="2"/>
          <c:tx>
            <c:strRef>
              <c:f>'2. Oferta de generación'!$B$21:$C$21</c:f>
              <c:strCache>
                <c:ptCount val="2"/>
                <c:pt idx="0">
                  <c:v>EÓLICA</c:v>
                </c:pt>
              </c:strCache>
            </c:strRef>
          </c:tx>
          <c:spPr>
            <a:solidFill>
              <a:srgbClr val="6DA6D9"/>
            </a:solidFill>
          </c:spPr>
          <c:invertIfNegative val="0"/>
          <c:cat>
            <c:strRef>
              <c:f>'2. Oferta de generación'!$D$18:$E$18</c:f>
              <c:strCache>
                <c:ptCount val="2"/>
                <c:pt idx="0">
                  <c:v>MAYO 2022</c:v>
                </c:pt>
                <c:pt idx="1">
                  <c:v>MAYO 2021</c:v>
                </c:pt>
              </c:strCache>
            </c:strRef>
          </c:cat>
          <c:val>
            <c:numRef>
              <c:f>'2. Oferta de generación'!$D$21:$E$21</c:f>
              <c:numCache>
                <c:formatCode>#,##0.0</c:formatCode>
                <c:ptCount val="2"/>
                <c:pt idx="0">
                  <c:v>412.2</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generación'!$B$22:$C$22</c:f>
              <c:strCache>
                <c:ptCount val="2"/>
                <c:pt idx="0">
                  <c:v>SOLAR</c:v>
                </c:pt>
              </c:strCache>
            </c:strRef>
          </c:tx>
          <c:invertIfNegative val="0"/>
          <c:cat>
            <c:strRef>
              <c:f>'2. Oferta de generación'!$D$18:$E$18</c:f>
              <c:strCache>
                <c:ptCount val="2"/>
                <c:pt idx="0">
                  <c:v>MAYO 2022</c:v>
                </c:pt>
                <c:pt idx="1">
                  <c:v>MAYO 2021</c:v>
                </c:pt>
              </c:strCache>
            </c:strRef>
          </c:cat>
          <c:val>
            <c:numRef>
              <c:f>'2. Oferta de generación'!$D$22:$E$22</c:f>
              <c:numCache>
                <c:formatCode>#,##0.0</c:formatCode>
                <c:ptCount val="2"/>
                <c:pt idx="0">
                  <c:v>282.27499999999992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2020</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14814.754279759998</c:v>
                </c:pt>
                <c:pt idx="1">
                  <c:v>3637.5644862999993</c:v>
                </c:pt>
                <c:pt idx="2">
                  <c:v>639.11072728500005</c:v>
                </c:pt>
                <c:pt idx="3">
                  <c:v>295.56485379999998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2021</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15133.552678110002</c:v>
                </c:pt>
                <c:pt idx="1">
                  <c:v>6003.5913541275004</c:v>
                </c:pt>
                <c:pt idx="2">
                  <c:v>729.61732822250008</c:v>
                </c:pt>
                <c:pt idx="3">
                  <c:v>319.97087847500001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2022</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14685.151487617499</c:v>
                </c:pt>
                <c:pt idx="1">
                  <c:v>6972.328039112499</c:v>
                </c:pt>
                <c:pt idx="2">
                  <c:v>767.46051931</c:v>
                </c:pt>
                <c:pt idx="3">
                  <c:v>324.81442078750001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2022</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14685.151487617499</c:v>
                </c:pt>
                <c:pt idx="1">
                  <c:v>6573.4237099800002</c:v>
                </c:pt>
                <c:pt idx="2">
                  <c:v>227.83920125</c:v>
                </c:pt>
                <c:pt idx="3">
                  <c:v>39.6636422475</c:v>
                </c:pt>
                <c:pt idx="4">
                  <c:v>0</c:v>
                </c:pt>
                <c:pt idx="5">
                  <c:v>6.0839352225000001</c:v>
                </c:pt>
                <c:pt idx="6">
                  <c:v>6.1898244674999994</c:v>
                </c:pt>
                <c:pt idx="7">
                  <c:v>0</c:v>
                </c:pt>
                <c:pt idx="8">
                  <c:v>8.2947443674999999</c:v>
                </c:pt>
                <c:pt idx="9">
                  <c:v>80.797038177499985</c:v>
                </c:pt>
                <c:pt idx="10">
                  <c:v>30.035943400000004</c:v>
                </c:pt>
                <c:pt idx="11">
                  <c:v>324.81442078750001</c:v>
                </c:pt>
                <c:pt idx="12">
                  <c:v>767.46051931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2021</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15133.552678110002</c:v>
                </c:pt>
                <c:pt idx="1">
                  <c:v>5541.8829084074996</c:v>
                </c:pt>
                <c:pt idx="2">
                  <c:v>269.11075402749998</c:v>
                </c:pt>
                <c:pt idx="3">
                  <c:v>49.3202158</c:v>
                </c:pt>
                <c:pt idx="4">
                  <c:v>0</c:v>
                </c:pt>
                <c:pt idx="5">
                  <c:v>12.778767482499999</c:v>
                </c:pt>
                <c:pt idx="6">
                  <c:v>3.5194904300000003</c:v>
                </c:pt>
                <c:pt idx="7">
                  <c:v>0</c:v>
                </c:pt>
                <c:pt idx="8">
                  <c:v>6.9599989525000003</c:v>
                </c:pt>
                <c:pt idx="9">
                  <c:v>84.65486937</c:v>
                </c:pt>
                <c:pt idx="10">
                  <c:v>35.3643496575</c:v>
                </c:pt>
                <c:pt idx="11">
                  <c:v>319.97087847500001</c:v>
                </c:pt>
                <c:pt idx="12">
                  <c:v>729.61732822250008</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2020</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14814.754279759998</c:v>
                </c:pt>
                <c:pt idx="1">
                  <c:v>3340.6473741374998</c:v>
                </c:pt>
                <c:pt idx="2">
                  <c:v>166.27014947750001</c:v>
                </c:pt>
                <c:pt idx="3">
                  <c:v>15.849262879999999</c:v>
                </c:pt>
                <c:pt idx="4">
                  <c:v>0</c:v>
                </c:pt>
                <c:pt idx="5">
                  <c:v>0</c:v>
                </c:pt>
                <c:pt idx="6">
                  <c:v>1.2236413724999999</c:v>
                </c:pt>
                <c:pt idx="7">
                  <c:v>0</c:v>
                </c:pt>
                <c:pt idx="8">
                  <c:v>8.0358538100000008</c:v>
                </c:pt>
                <c:pt idx="9">
                  <c:v>86.986966707500002</c:v>
                </c:pt>
                <c:pt idx="10">
                  <c:v>18.551237915000002</c:v>
                </c:pt>
                <c:pt idx="11">
                  <c:v>295.56485379999998</c:v>
                </c:pt>
                <c:pt idx="12">
                  <c:v>639.11072728500005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2020</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1126.94391636</c:v>
                </c:pt>
                <c:pt idx="1">
                  <c:v>639.11072728500005</c:v>
                </c:pt>
                <c:pt idx="2">
                  <c:v>295.56485379999998</c:v>
                </c:pt>
                <c:pt idx="3">
                  <c:v>86.986966707500002</c:v>
                </c:pt>
                <c:pt idx="4">
                  <c:v>18.551237915000002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2021</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1191.3876939424999</c:v>
                </c:pt>
                <c:pt idx="1">
                  <c:v>729.61732822250008</c:v>
                </c:pt>
                <c:pt idx="2">
                  <c:v>319.97087847500001</c:v>
                </c:pt>
                <c:pt idx="3">
                  <c:v>84.65486937</c:v>
                </c:pt>
                <c:pt idx="4">
                  <c:v>35.3643496575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2022</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1113.4323514824998</c:v>
                </c:pt>
                <c:pt idx="1">
                  <c:v>767.46051931</c:v>
                </c:pt>
                <c:pt idx="2">
                  <c:v>324.81442078750001</c:v>
                </c:pt>
                <c:pt idx="3">
                  <c:v>80.797038177499985</c:v>
                </c:pt>
                <c:pt idx="4">
                  <c:v>30.035943400000004</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1.224924388577886E-2"/>
                  <c:y val="-0.15432064054203254"/>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6.7784938475619477E-2"/>
                  <c:y val="0.1645880360850001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9,588%</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4154.4049443674994</c:v>
                </c:pt>
                <c:pt idx="1">
                  <c:v>182.05815145249997</c:v>
                </c:pt>
                <c:pt idx="2">
                  <c:v>171.76328389</c:v>
                </c:pt>
                <c:pt idx="3">
                  <c:v>62.212973372500002</c:v>
                </c:pt>
                <c:pt idx="4">
                  <c:v>19.601933642500001</c:v>
                </c:pt>
                <c:pt idx="5">
                  <c:v>4.9106999500000006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CHANCAY</c:v>
                </c:pt>
                <c:pt idx="2">
                  <c:v>C.H. YARUCAYA</c:v>
                </c:pt>
                <c:pt idx="3">
                  <c:v>C.H. RUCUY</c:v>
                </c:pt>
                <c:pt idx="4">
                  <c:v>C.H. 8 DE AGOSTO</c:v>
                </c:pt>
                <c:pt idx="5">
                  <c:v>C.H. POTRERO</c:v>
                </c:pt>
                <c:pt idx="6">
                  <c:v>C.H. LAS PIZARRAS</c:v>
                </c:pt>
                <c:pt idx="7">
                  <c:v>C.H. RUNATULLO III</c:v>
                </c:pt>
                <c:pt idx="8">
                  <c:v>C.H. CARHUAQUERO IV</c:v>
                </c:pt>
                <c:pt idx="9">
                  <c:v>C.H. ÁNGEL III</c:v>
                </c:pt>
                <c:pt idx="10">
                  <c:v>C.H. ÁNGEL II</c:v>
                </c:pt>
                <c:pt idx="11">
                  <c:v>C.H. CARHUAC</c:v>
                </c:pt>
                <c:pt idx="12">
                  <c:v>C.H. POECHOS II</c:v>
                </c:pt>
                <c:pt idx="13">
                  <c:v>C.H. ÁNGEL I</c:v>
                </c:pt>
                <c:pt idx="14">
                  <c:v>C.H. RUNATULLO II</c:v>
                </c:pt>
                <c:pt idx="15">
                  <c:v>C.H. LA JOYA</c:v>
                </c:pt>
                <c:pt idx="16">
                  <c:v>C.H. HUASAHUASI II</c:v>
                </c:pt>
                <c:pt idx="17">
                  <c:v>C.H. EL CARMEN</c:v>
                </c:pt>
                <c:pt idx="18">
                  <c:v>C.H. HUASAHUASI I</c:v>
                </c:pt>
                <c:pt idx="19">
                  <c:v>C.H. CAÑA BRAVA</c:v>
                </c:pt>
                <c:pt idx="20">
                  <c:v>C.H. MANTA I</c:v>
                </c:pt>
                <c:pt idx="21">
                  <c:v>C.H. YANAPAMPA</c:v>
                </c:pt>
                <c:pt idx="22">
                  <c:v>C.H. IMPERIAL</c:v>
                </c:pt>
                <c:pt idx="23">
                  <c:v>C.H. SANTA CRUZ II</c:v>
                </c:pt>
                <c:pt idx="24">
                  <c:v>C.H. SANTA CRUZ I</c:v>
                </c:pt>
                <c:pt idx="25">
                  <c:v>C.H. CANCHAYLLO</c:v>
                </c:pt>
                <c:pt idx="26">
                  <c:v>C.H. RONCADOR</c:v>
                </c:pt>
                <c:pt idx="27">
                  <c:v>C.H. HER 1</c:v>
                </c:pt>
                <c:pt idx="28">
                  <c:v>C.H. PURMACANA</c:v>
                </c:pt>
              </c:strCache>
            </c:strRef>
          </c:cat>
          <c:val>
            <c:numRef>
              <c:f>'6. FP RER'!$O$6:$O$34</c:f>
              <c:numCache>
                <c:formatCode>0.00</c:formatCode>
                <c:ptCount val="29"/>
                <c:pt idx="0">
                  <c:v>14.6079875</c:v>
                </c:pt>
                <c:pt idx="1">
                  <c:v>14.014749957500001</c:v>
                </c:pt>
                <c:pt idx="2">
                  <c:v>13.584064712500002</c:v>
                </c:pt>
                <c:pt idx="3">
                  <c:v>13.080604107500001</c:v>
                </c:pt>
                <c:pt idx="4">
                  <c:v>12.28704312</c:v>
                </c:pt>
                <c:pt idx="5">
                  <c:v>12.083802577499998</c:v>
                </c:pt>
                <c:pt idx="6">
                  <c:v>11.585898784999998</c:v>
                </c:pt>
                <c:pt idx="7">
                  <c:v>8.2599745325000011</c:v>
                </c:pt>
                <c:pt idx="8">
                  <c:v>7.4019872500000004</c:v>
                </c:pt>
                <c:pt idx="9">
                  <c:v>6.5880159899999997</c:v>
                </c:pt>
                <c:pt idx="10">
                  <c:v>6.5002178724999995</c:v>
                </c:pt>
                <c:pt idx="11">
                  <c:v>6.3175623700000001</c:v>
                </c:pt>
                <c:pt idx="12">
                  <c:v>6.2042504750000003</c:v>
                </c:pt>
                <c:pt idx="13">
                  <c:v>5.9731057924999993</c:v>
                </c:pt>
                <c:pt idx="14">
                  <c:v>5.7972597974999998</c:v>
                </c:pt>
                <c:pt idx="15">
                  <c:v>4.852208172500001</c:v>
                </c:pt>
                <c:pt idx="16">
                  <c:v>4.5516981724999992</c:v>
                </c:pt>
                <c:pt idx="17">
                  <c:v>4.4901533350000005</c:v>
                </c:pt>
                <c:pt idx="18">
                  <c:v>4.2534628274999999</c:v>
                </c:pt>
                <c:pt idx="19">
                  <c:v>4.0544322499999996</c:v>
                </c:pt>
                <c:pt idx="20">
                  <c:v>3.0608849125000002</c:v>
                </c:pt>
                <c:pt idx="21">
                  <c:v>2.6795507250000004</c:v>
                </c:pt>
                <c:pt idx="22">
                  <c:v>2.3294999999999999</c:v>
                </c:pt>
                <c:pt idx="23">
                  <c:v>2.3200215050000002</c:v>
                </c:pt>
                <c:pt idx="24">
                  <c:v>2.0734716400000002</c:v>
                </c:pt>
                <c:pt idx="25">
                  <c:v>1.9864998225000001</c:v>
                </c:pt>
                <c:pt idx="26">
                  <c:v>0.88898949999999999</c:v>
                </c:pt>
                <c:pt idx="27">
                  <c:v>0.23075375000000001</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CHANCAY</c:v>
                </c:pt>
                <c:pt idx="2">
                  <c:v>C.H. YARUCAYA</c:v>
                </c:pt>
                <c:pt idx="3">
                  <c:v>C.H. RUCUY</c:v>
                </c:pt>
                <c:pt idx="4">
                  <c:v>C.H. 8 DE AGOSTO</c:v>
                </c:pt>
                <c:pt idx="5">
                  <c:v>C.H. POTRERO</c:v>
                </c:pt>
                <c:pt idx="6">
                  <c:v>C.H. LAS PIZARRAS</c:v>
                </c:pt>
                <c:pt idx="7">
                  <c:v>C.H. RUNATULLO III</c:v>
                </c:pt>
                <c:pt idx="8">
                  <c:v>C.H. CARHUAQUERO IV</c:v>
                </c:pt>
                <c:pt idx="9">
                  <c:v>C.H. ÁNGEL III</c:v>
                </c:pt>
                <c:pt idx="10">
                  <c:v>C.H. ÁNGEL II</c:v>
                </c:pt>
                <c:pt idx="11">
                  <c:v>C.H. CARHUAC</c:v>
                </c:pt>
                <c:pt idx="12">
                  <c:v>C.H. POECHOS II</c:v>
                </c:pt>
                <c:pt idx="13">
                  <c:v>C.H. ÁNGEL I</c:v>
                </c:pt>
                <c:pt idx="14">
                  <c:v>C.H. RUNATULLO II</c:v>
                </c:pt>
                <c:pt idx="15">
                  <c:v>C.H. LA JOYA</c:v>
                </c:pt>
                <c:pt idx="16">
                  <c:v>C.H. HUASAHUASI II</c:v>
                </c:pt>
                <c:pt idx="17">
                  <c:v>C.H. EL CARMEN</c:v>
                </c:pt>
                <c:pt idx="18">
                  <c:v>C.H. HUASAHUASI I</c:v>
                </c:pt>
                <c:pt idx="19">
                  <c:v>C.H. CAÑA BRAVA</c:v>
                </c:pt>
                <c:pt idx="20">
                  <c:v>C.H. MANTA I</c:v>
                </c:pt>
                <c:pt idx="21">
                  <c:v>C.H. YANAPAMPA</c:v>
                </c:pt>
                <c:pt idx="22">
                  <c:v>C.H. IMPERIAL</c:v>
                </c:pt>
                <c:pt idx="23">
                  <c:v>C.H. SANTA CRUZ II</c:v>
                </c:pt>
                <c:pt idx="24">
                  <c:v>C.H. SANTA CRUZ I</c:v>
                </c:pt>
                <c:pt idx="25">
                  <c:v>C.H. CANCHAYLLO</c:v>
                </c:pt>
                <c:pt idx="26">
                  <c:v>C.H. RONCADOR</c:v>
                </c:pt>
                <c:pt idx="27">
                  <c:v>C.H. HER 1</c:v>
                </c:pt>
                <c:pt idx="28">
                  <c:v>C.H. PURMACANA</c:v>
                </c:pt>
              </c:strCache>
            </c:strRef>
          </c:cat>
          <c:val>
            <c:numRef>
              <c:f>'6. FP RER'!$P$6:$P$34</c:f>
              <c:numCache>
                <c:formatCode>0.00</c:formatCode>
                <c:ptCount val="29"/>
                <c:pt idx="0">
                  <c:v>0.94115577610369416</c:v>
                </c:pt>
                <c:pt idx="1">
                  <c:v>0.92811536818924023</c:v>
                </c:pt>
                <c:pt idx="2">
                  <c:v>1</c:v>
                </c:pt>
                <c:pt idx="3">
                  <c:v>0.86736345011033844</c:v>
                </c:pt>
                <c:pt idx="4">
                  <c:v>0.80247050064265346</c:v>
                </c:pt>
                <c:pt idx="5">
                  <c:v>0.80396347545037039</c:v>
                </c:pt>
                <c:pt idx="6">
                  <c:v>0.81108594512849919</c:v>
                </c:pt>
                <c:pt idx="7">
                  <c:v>0.55605110222997367</c:v>
                </c:pt>
                <c:pt idx="8">
                  <c:v>1</c:v>
                </c:pt>
                <c:pt idx="9">
                  <c:v>0.44088994962238226</c:v>
                </c:pt>
                <c:pt idx="10">
                  <c:v>0.43712301337141107</c:v>
                </c:pt>
                <c:pt idx="11">
                  <c:v>0.41693802315850292</c:v>
                </c:pt>
                <c:pt idx="12">
                  <c:v>0.87173806579192881</c:v>
                </c:pt>
                <c:pt idx="13">
                  <c:v>0.40039958329391073</c:v>
                </c:pt>
                <c:pt idx="14">
                  <c:v>0.39024469659211897</c:v>
                </c:pt>
                <c:pt idx="15">
                  <c:v>0.71826856310623377</c:v>
                </c:pt>
                <c:pt idx="16">
                  <c:v>0.61397744632793338</c:v>
                </c:pt>
                <c:pt idx="17">
                  <c:v>0.70339770769105459</c:v>
                </c:pt>
                <c:pt idx="18">
                  <c:v>0.58040811466350084</c:v>
                </c:pt>
                <c:pt idx="19">
                  <c:v>0.96111211858299683</c:v>
                </c:pt>
                <c:pt idx="20">
                  <c:v>0.19814194929568035</c:v>
                </c:pt>
                <c:pt idx="21">
                  <c:v>0.91965105890314802</c:v>
                </c:pt>
                <c:pt idx="22">
                  <c:v>0.78808164789750157</c:v>
                </c:pt>
                <c:pt idx="23">
                  <c:v>0.47959219847160345</c:v>
                </c:pt>
                <c:pt idx="24">
                  <c:v>0.41997050140322906</c:v>
                </c:pt>
                <c:pt idx="25">
                  <c:v>0.51455514417906367</c:v>
                </c:pt>
                <c:pt idx="26">
                  <c:v>0.36090866426491092</c:v>
                </c:pt>
                <c:pt idx="27">
                  <c:v>0.45701921302503123</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RER'!$O$35:$O$41</c:f>
              <c:numCache>
                <c:formatCode>0.00</c:formatCode>
                <c:ptCount val="7"/>
                <c:pt idx="0">
                  <c:v>51.553472500000005</c:v>
                </c:pt>
                <c:pt idx="1">
                  <c:v>40.466045890000004</c:v>
                </c:pt>
                <c:pt idx="2">
                  <c:v>38.592950250000001</c:v>
                </c:pt>
                <c:pt idx="3">
                  <c:v>14.89197506</c:v>
                </c:pt>
                <c:pt idx="4">
                  <c:v>14.1280351</c:v>
                </c:pt>
                <c:pt idx="5">
                  <c:v>7.3036391325000007</c:v>
                </c:pt>
                <c:pt idx="6">
                  <c:v>4.8271659575000001</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RER'!$L$35:$L$41</c:f>
              <c:strCache>
                <c:ptCount val="7"/>
                <c:pt idx="0">
                  <c:v>C.E. WAYRA I</c:v>
                </c:pt>
                <c:pt idx="1">
                  <c:v>C.E. TRES HERMANAS</c:v>
                </c:pt>
                <c:pt idx="2">
                  <c:v>C.E. CUPISNIQUE</c:v>
                </c:pt>
                <c:pt idx="3">
                  <c:v>C.E. MARCONA</c:v>
                </c:pt>
                <c:pt idx="4">
                  <c:v>C.E. TALARA</c:v>
                </c:pt>
                <c:pt idx="5">
                  <c:v>C.E. DUNA</c:v>
                </c:pt>
                <c:pt idx="6">
                  <c:v>C.E. HUAMBOS</c:v>
                </c:pt>
              </c:strCache>
            </c:strRef>
          </c:cat>
          <c:val>
            <c:numRef>
              <c:f>'6. FP RER'!$P$35:$P$41</c:f>
              <c:numCache>
                <c:formatCode>0.00</c:formatCode>
                <c:ptCount val="7"/>
                <c:pt idx="0">
                  <c:v>0.52375133595851719</c:v>
                </c:pt>
                <c:pt idx="1">
                  <c:v>0.55985431421867304</c:v>
                </c:pt>
                <c:pt idx="2">
                  <c:v>0.62383938616569357</c:v>
                </c:pt>
                <c:pt idx="3">
                  <c:v>0.6255029847110215</c:v>
                </c:pt>
                <c:pt idx="4">
                  <c:v>0.61533682726012029</c:v>
                </c:pt>
                <c:pt idx="5">
                  <c:v>0.53438863713189455</c:v>
                </c:pt>
                <c:pt idx="6">
                  <c:v>0.3531914146413917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12</xdr:col>
      <xdr:colOff>9525</xdr:colOff>
      <xdr:row>9</xdr:row>
      <xdr:rowOff>9525</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0"/>
          <a:ext cx="7391400" cy="1295400"/>
        </a:xfrm>
        <a:prstGeom prst="rect">
          <a:avLst/>
        </a:prstGeom>
      </xdr:spPr>
    </xdr:pic>
    <xdr:clientData/>
  </xdr:twoCellAnchor>
  <xdr:twoCellAnchor editAs="oneCell">
    <xdr:from>
      <xdr:col>0</xdr:col>
      <xdr:colOff>199056</xdr:colOff>
      <xdr:row>60</xdr:row>
      <xdr:rowOff>93085</xdr:rowOff>
    </xdr:from>
    <xdr:to>
      <xdr:col>4</xdr:col>
      <xdr:colOff>221888</xdr:colOff>
      <xdr:row>68</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67</xdr:row>
      <xdr:rowOff>11907</xdr:rowOff>
    </xdr:from>
    <xdr:to>
      <xdr:col>11</xdr:col>
      <xdr:colOff>1073727</xdr:colOff>
      <xdr:row>73</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junio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2022</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mayo 2022</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INFSGI-MES-05-2022</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9</xdr:col>
      <xdr:colOff>579120</xdr:colOff>
      <xdr:row>68</xdr:row>
      <xdr:rowOff>79512</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134399</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69145</xdr:colOff>
      <xdr:row>2</xdr:row>
      <xdr:rowOff>45104</xdr:rowOff>
    </xdr:from>
    <xdr:to>
      <xdr:col>11</xdr:col>
      <xdr:colOff>615993</xdr:colOff>
      <xdr:row>61</xdr:row>
      <xdr:rowOff>96748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69145" y="509924"/>
          <a:ext cx="6101828" cy="85098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(29,63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(30,19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(29,76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(30,55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(28,81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(29,04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(29,92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(30,88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(28,91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(30,64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(28,61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(28,91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(29,05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(27,96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(31,75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(28,21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(28,73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(28,88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(30,64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354969</xdr:colOff>
      <xdr:row>18</xdr:row>
      <xdr:rowOff>76670</xdr:rowOff>
    </xdr:from>
    <xdr:to>
      <xdr:col>7</xdr:col>
      <xdr:colOff>590550</xdr:colOff>
      <xdr:row>56</xdr:row>
      <xdr:rowOff>28575</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97244</xdr:colOff>
      <xdr:row>13</xdr:row>
      <xdr:rowOff>42042</xdr:rowOff>
    </xdr:from>
    <xdr:to>
      <xdr:col>3</xdr:col>
      <xdr:colOff>383625</xdr:colOff>
      <xdr:row>30</xdr:row>
      <xdr:rowOff>15766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812006</xdr:colOff>
      <xdr:row>34</xdr:row>
      <xdr:rowOff>5953</xdr:rowOff>
    </xdr:from>
    <xdr:to>
      <xdr:col>8</xdr:col>
      <xdr:colOff>109537</xdr:colOff>
      <xdr:row>52</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13</xdr:row>
      <xdr:rowOff>38663</xdr:rowOff>
    </xdr:from>
    <xdr:to>
      <xdr:col>9</xdr:col>
      <xdr:colOff>582009</xdr:colOff>
      <xdr:row>30</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27</xdr:row>
      <xdr:rowOff>78442</xdr:rowOff>
    </xdr:from>
    <xdr:to>
      <xdr:col>9</xdr:col>
      <xdr:colOff>474133</xdr:colOff>
      <xdr:row>55</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55</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63</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59</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9</xdr:col>
      <xdr:colOff>479534</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59</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I11:I53"/>
  <sheetViews>
    <sheetView showGridLines="0" tabSelected="1" view="pageBreakPreview" zoomScale="85" zoomScaleNormal="70" zoomScaleSheetLayoutView="85" workbookViewId="0">
      <selection activeCell="R35" sqref="R35"/>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56"/>
    </row>
    <row r="12" spans="9:9" ht="15.6">
      <c r="I12" s="356"/>
    </row>
    <row r="13" spans="9:9" ht="15.6">
      <c r="I13" s="356"/>
    </row>
    <row r="14" spans="9:9" ht="15.6">
      <c r="I14" s="356"/>
    </row>
    <row r="15" spans="9:9" ht="15.6">
      <c r="I15" s="356"/>
    </row>
    <row r="49" customFormat="1"/>
    <row r="50" customFormat="1"/>
    <row r="51" customFormat="1"/>
    <row r="52" customFormat="1"/>
    <row r="53" ht="15" customHeight="1"/>
  </sheetData>
  <pageMargins left="0.59055118110236227" right="0.39370078740157483" top="0.55000000000000004" bottom="0.62992125984251968" header="0.31496062992125984" footer="0.31496062992125984"/>
  <pageSetup paperSize="9" scale="88" orientation="portrait" r:id="rId1"/>
  <headerFooter>
    <oddFooter>&amp;LCOES, 2022&amp;RDirección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62"/>
  <sheetViews>
    <sheetView showGridLines="0" view="pageBreakPreview" zoomScale="130" zoomScaleNormal="100" zoomScaleSheetLayoutView="130" zoomScalePageLayoutView="115" workbookViewId="0">
      <selection activeCell="B11" sqref="B11"/>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40" t="s">
        <v>244</v>
      </c>
      <c r="B2" s="840"/>
      <c r="C2" s="840"/>
      <c r="D2" s="840"/>
      <c r="E2" s="840"/>
      <c r="F2" s="840"/>
      <c r="G2" s="840"/>
      <c r="H2" s="840"/>
      <c r="I2" s="840"/>
      <c r="J2" s="840"/>
      <c r="K2" s="840"/>
    </row>
    <row r="3" spans="1:12" ht="11.25" customHeight="1">
      <c r="A3" s="17"/>
      <c r="B3" s="17"/>
      <c r="C3" s="17"/>
      <c r="D3" s="17"/>
      <c r="E3" s="17"/>
      <c r="F3" s="17"/>
      <c r="G3" s="17"/>
      <c r="H3" s="17"/>
      <c r="I3" s="17"/>
      <c r="J3" s="17"/>
      <c r="K3" s="17"/>
      <c r="L3" s="36"/>
    </row>
    <row r="4" spans="1:12" ht="11.25" customHeight="1">
      <c r="A4" s="841" t="s">
        <v>379</v>
      </c>
      <c r="B4" s="841"/>
      <c r="C4" s="841"/>
      <c r="D4" s="841"/>
      <c r="E4" s="841"/>
      <c r="F4" s="841"/>
      <c r="G4" s="841"/>
      <c r="H4" s="841"/>
      <c r="I4" s="841"/>
      <c r="J4" s="841"/>
      <c r="K4" s="841"/>
      <c r="L4" s="36"/>
    </row>
    <row r="5" spans="1:12" ht="11.25" customHeight="1">
      <c r="A5" s="17"/>
      <c r="B5" s="67"/>
      <c r="C5" s="68"/>
      <c r="D5" s="69"/>
      <c r="E5" s="69"/>
      <c r="F5" s="69"/>
      <c r="G5" s="69"/>
      <c r="H5" s="70"/>
      <c r="I5" s="66"/>
      <c r="J5" s="66"/>
      <c r="K5" s="71"/>
      <c r="L5" s="8"/>
    </row>
    <row r="6" spans="1:12" ht="12.75" customHeight="1">
      <c r="A6" s="847" t="s">
        <v>212</v>
      </c>
      <c r="B6" s="842" t="s">
        <v>247</v>
      </c>
      <c r="C6" s="843"/>
      <c r="D6" s="843"/>
      <c r="E6" s="843" t="s">
        <v>34</v>
      </c>
      <c r="F6" s="843"/>
      <c r="G6" s="844" t="s">
        <v>246</v>
      </c>
      <c r="H6" s="844"/>
      <c r="I6" s="844"/>
      <c r="J6" s="844"/>
      <c r="K6" s="844"/>
      <c r="L6" s="15"/>
    </row>
    <row r="7" spans="1:12" ht="12.75" customHeight="1">
      <c r="A7" s="847"/>
      <c r="B7" s="448">
        <v>44630.8125</v>
      </c>
      <c r="C7" s="448">
        <v>44670.791666666664</v>
      </c>
      <c r="D7" s="448">
        <v>44712.78125</v>
      </c>
      <c r="E7" s="448">
        <v>44342.75</v>
      </c>
      <c r="F7" s="845" t="s">
        <v>120</v>
      </c>
      <c r="G7" s="586">
        <v>2022</v>
      </c>
      <c r="H7" s="586">
        <v>2021</v>
      </c>
      <c r="I7" s="845" t="s">
        <v>555</v>
      </c>
      <c r="J7" s="586">
        <v>2020</v>
      </c>
      <c r="K7" s="845" t="s">
        <v>470</v>
      </c>
      <c r="L7" s="13"/>
    </row>
    <row r="8" spans="1:12" ht="12.75" customHeight="1">
      <c r="A8" s="847"/>
      <c r="B8" s="449">
        <v>44630.8125</v>
      </c>
      <c r="C8" s="449">
        <v>44670.791666666664</v>
      </c>
      <c r="D8" s="449">
        <v>44712.78125</v>
      </c>
      <c r="E8" s="449">
        <v>44342.75</v>
      </c>
      <c r="F8" s="846"/>
      <c r="G8" s="450">
        <v>44614.822916666664</v>
      </c>
      <c r="H8" s="450">
        <v>44204.822916666664</v>
      </c>
      <c r="I8" s="846"/>
      <c r="J8" s="450">
        <v>43886.8125</v>
      </c>
      <c r="K8" s="846"/>
      <c r="L8" s="14"/>
    </row>
    <row r="9" spans="1:12" ht="12.75" customHeight="1">
      <c r="A9" s="847"/>
      <c r="B9" s="451">
        <v>44630.8125</v>
      </c>
      <c r="C9" s="451">
        <v>44670.791666666664</v>
      </c>
      <c r="D9" s="451">
        <v>44712.78125</v>
      </c>
      <c r="E9" s="451">
        <v>44342.75</v>
      </c>
      <c r="F9" s="846"/>
      <c r="G9" s="452">
        <v>44614.822916666664</v>
      </c>
      <c r="H9" s="452">
        <v>44204.822916666664</v>
      </c>
      <c r="I9" s="846"/>
      <c r="J9" s="452">
        <v>43886.8125</v>
      </c>
      <c r="K9" s="846"/>
      <c r="L9" s="14"/>
    </row>
    <row r="10" spans="1:12" ht="12.75" customHeight="1">
      <c r="A10" s="453" t="s">
        <v>36</v>
      </c>
      <c r="B10" s="454">
        <v>4666.1270100000002</v>
      </c>
      <c r="C10" s="455">
        <v>4623.0060999999987</v>
      </c>
      <c r="D10" s="456">
        <v>3789.1081299999996</v>
      </c>
      <c r="E10" s="454">
        <v>3942.3593100000007</v>
      </c>
      <c r="F10" s="457">
        <f>+IF(E10=0,"",D10/E10-1)</f>
        <v>-3.8872961074672086E-2</v>
      </c>
      <c r="G10" s="454">
        <v>4553.9270599999991</v>
      </c>
      <c r="H10" s="455">
        <v>4594.55105</v>
      </c>
      <c r="I10" s="457">
        <f>+IF(H10=0,"",G10/H10-1)</f>
        <v>-8.8417757378059791E-3</v>
      </c>
      <c r="J10" s="454">
        <v>4604.1638600000006</v>
      </c>
      <c r="K10" s="457">
        <f t="shared" ref="K10:K18" si="0">+IF(J10=0,"",H10/J10-1)</f>
        <v>-2.0878514084857747E-3</v>
      </c>
      <c r="L10" s="14"/>
    </row>
    <row r="11" spans="1:12" ht="12.75" customHeight="1">
      <c r="A11" s="458" t="s">
        <v>37</v>
      </c>
      <c r="B11" s="459">
        <v>2105.8510799999995</v>
      </c>
      <c r="C11" s="460">
        <v>2110.3728599999999</v>
      </c>
      <c r="D11" s="461">
        <v>2935.4026900000003</v>
      </c>
      <c r="E11" s="459">
        <v>2699.0438099999997</v>
      </c>
      <c r="F11" s="462">
        <f>+IF(E11=0,"",D11/E11-1)</f>
        <v>8.7571338829065093E-2</v>
      </c>
      <c r="G11" s="459">
        <v>2455.9372199999998</v>
      </c>
      <c r="H11" s="460">
        <v>2012.4400399999995</v>
      </c>
      <c r="I11" s="462">
        <f>+IF(H11=0,"",G11/H11-1)</f>
        <v>0.22037783545590783</v>
      </c>
      <c r="J11" s="459">
        <v>2265.9101700000001</v>
      </c>
      <c r="K11" s="462">
        <f>+IF(J11=0,"",H11/J11-1)</f>
        <v>-0.11186239126152142</v>
      </c>
      <c r="L11" s="14"/>
    </row>
    <row r="12" spans="1:12" ht="12.75" customHeight="1">
      <c r="A12" s="463" t="s">
        <v>38</v>
      </c>
      <c r="B12" s="464">
        <v>293.44470000000001</v>
      </c>
      <c r="C12" s="465">
        <v>290.92526999999995</v>
      </c>
      <c r="D12" s="466">
        <v>184.44288</v>
      </c>
      <c r="E12" s="464">
        <v>188.69861</v>
      </c>
      <c r="F12" s="467">
        <f>+IF(E12=0,"",D12/E12-1)</f>
        <v>-2.2553054312376752E-2</v>
      </c>
      <c r="G12" s="464">
        <v>136.90030000000002</v>
      </c>
      <c r="H12" s="465">
        <v>302.64609999999999</v>
      </c>
      <c r="I12" s="467">
        <f>+IF(H12=0,"",G12/H12-1)</f>
        <v>-0.54765549597368013</v>
      </c>
      <c r="J12" s="464">
        <v>255.22534999999999</v>
      </c>
      <c r="K12" s="467">
        <f>+IF(J12=0,"",H12/J12-1)</f>
        <v>0.18579952970972524</v>
      </c>
      <c r="L12" s="13"/>
    </row>
    <row r="13" spans="1:12" ht="12.75" customHeight="1">
      <c r="A13" s="468" t="s">
        <v>30</v>
      </c>
      <c r="B13" s="469">
        <v>0</v>
      </c>
      <c r="C13" s="470">
        <v>0</v>
      </c>
      <c r="D13" s="471">
        <v>0</v>
      </c>
      <c r="E13" s="469">
        <v>0</v>
      </c>
      <c r="F13" s="472" t="str">
        <f>+IF(E13=0,"",D13/E13-1)</f>
        <v/>
      </c>
      <c r="G13" s="469">
        <v>0</v>
      </c>
      <c r="H13" s="470">
        <v>0</v>
      </c>
      <c r="I13" s="472" t="str">
        <f>+IF(H13=0,"",G13/H13-1)</f>
        <v/>
      </c>
      <c r="J13" s="469">
        <v>0</v>
      </c>
      <c r="K13" s="472" t="str">
        <f t="shared" si="0"/>
        <v/>
      </c>
      <c r="L13" s="14"/>
    </row>
    <row r="14" spans="1:12" ht="12.75" customHeight="1">
      <c r="A14" s="473" t="s">
        <v>42</v>
      </c>
      <c r="B14" s="444">
        <f>+SUM(B10:B13)</f>
        <v>7065.4227899999996</v>
      </c>
      <c r="C14" s="445">
        <f t="shared" ref="C14:J14" si="1">+SUM(C10:C13)</f>
        <v>7024.3042299999979</v>
      </c>
      <c r="D14" s="446">
        <f t="shared" si="1"/>
        <v>6908.9536999999991</v>
      </c>
      <c r="E14" s="444">
        <f t="shared" si="1"/>
        <v>6830.1017300000012</v>
      </c>
      <c r="F14" s="500">
        <f>+IF(E14=0,"",D14/E14-1)</f>
        <v>1.1544772408536019E-2</v>
      </c>
      <c r="G14" s="497">
        <f t="shared" si="1"/>
        <v>7146.7645799999991</v>
      </c>
      <c r="H14" s="445">
        <f t="shared" si="1"/>
        <v>6909.6371899999995</v>
      </c>
      <c r="I14" s="500">
        <f>+IF(H14=0,"",G14/H14-1)</f>
        <v>3.4318356156699981E-2</v>
      </c>
      <c r="J14" s="445">
        <f t="shared" si="1"/>
        <v>7125.2993800000004</v>
      </c>
      <c r="K14" s="500">
        <f>+IF(J14=0,"",H14/J14-1)</f>
        <v>-3.0267105773175373E-2</v>
      </c>
      <c r="L14" s="14"/>
    </row>
    <row r="15" spans="1:12" ht="6.75" customHeight="1">
      <c r="A15" s="474"/>
      <c r="B15" s="474"/>
      <c r="C15" s="474"/>
      <c r="D15" s="474"/>
      <c r="E15" s="474"/>
      <c r="F15" s="475"/>
      <c r="G15" s="474"/>
      <c r="H15" s="474"/>
      <c r="I15" s="475"/>
      <c r="J15" s="474"/>
      <c r="K15" s="475"/>
      <c r="L15" s="14"/>
    </row>
    <row r="16" spans="1:12" ht="12.75" customHeight="1">
      <c r="A16" s="476" t="s">
        <v>39</v>
      </c>
      <c r="B16" s="477">
        <v>0</v>
      </c>
      <c r="C16" s="478">
        <v>0</v>
      </c>
      <c r="D16" s="479">
        <v>52.414000000000001</v>
      </c>
      <c r="E16" s="477">
        <v>39.607999999999997</v>
      </c>
      <c r="F16" s="479">
        <v>0</v>
      </c>
      <c r="G16" s="477">
        <v>0</v>
      </c>
      <c r="H16" s="478">
        <v>0</v>
      </c>
      <c r="I16" s="479">
        <v>0</v>
      </c>
      <c r="J16" s="477">
        <v>0</v>
      </c>
      <c r="K16" s="480" t="str">
        <f t="shared" si="0"/>
        <v/>
      </c>
      <c r="L16" s="15"/>
    </row>
    <row r="17" spans="1:12" ht="12.75" customHeight="1">
      <c r="A17" s="481" t="s">
        <v>40</v>
      </c>
      <c r="B17" s="482">
        <v>0</v>
      </c>
      <c r="C17" s="483">
        <v>0</v>
      </c>
      <c r="D17" s="484">
        <v>0</v>
      </c>
      <c r="E17" s="482">
        <v>0</v>
      </c>
      <c r="F17" s="484">
        <v>0</v>
      </c>
      <c r="G17" s="482">
        <v>0</v>
      </c>
      <c r="H17" s="483">
        <v>0</v>
      </c>
      <c r="I17" s="484">
        <v>0</v>
      </c>
      <c r="J17" s="482">
        <v>0</v>
      </c>
      <c r="K17" s="485" t="str">
        <f t="shared" si="0"/>
        <v/>
      </c>
      <c r="L17" s="15"/>
    </row>
    <row r="18" spans="1:12" ht="24" customHeight="1">
      <c r="A18" s="486" t="s">
        <v>41</v>
      </c>
      <c r="B18" s="487">
        <f t="shared" ref="B18:I18" si="2">+B17-B16</f>
        <v>0</v>
      </c>
      <c r="C18" s="488">
        <f t="shared" si="2"/>
        <v>0</v>
      </c>
      <c r="D18" s="489">
        <f t="shared" si="2"/>
        <v>-52.414000000000001</v>
      </c>
      <c r="E18" s="487">
        <f t="shared" si="2"/>
        <v>-39.607999999999997</v>
      </c>
      <c r="F18" s="489">
        <f t="shared" si="2"/>
        <v>0</v>
      </c>
      <c r="G18" s="487">
        <f t="shared" si="2"/>
        <v>0</v>
      </c>
      <c r="H18" s="488">
        <f t="shared" si="2"/>
        <v>0</v>
      </c>
      <c r="I18" s="489">
        <f t="shared" si="2"/>
        <v>0</v>
      </c>
      <c r="J18" s="487">
        <v>0</v>
      </c>
      <c r="K18" s="490" t="str">
        <f t="shared" si="0"/>
        <v/>
      </c>
      <c r="L18" s="15"/>
    </row>
    <row r="19" spans="1:12" ht="6" customHeight="1">
      <c r="A19" s="491"/>
      <c r="B19" s="491"/>
      <c r="C19" s="491"/>
      <c r="D19" s="491"/>
      <c r="E19" s="491"/>
      <c r="F19" s="492"/>
      <c r="G19" s="491"/>
      <c r="H19" s="491"/>
      <c r="I19" s="492"/>
      <c r="J19" s="491"/>
      <c r="K19" s="492"/>
      <c r="L19" s="15"/>
    </row>
    <row r="20" spans="1:12" ht="24" customHeight="1">
      <c r="A20" s="493" t="s">
        <v>245</v>
      </c>
      <c r="B20" s="494">
        <f>+B14-B18</f>
        <v>7065.4227899999996</v>
      </c>
      <c r="C20" s="495">
        <f t="shared" ref="C20" si="3">+C14-C18</f>
        <v>7024.3042299999979</v>
      </c>
      <c r="D20" s="496">
        <f>+D14-D18</f>
        <v>6961.3676999999989</v>
      </c>
      <c r="E20" s="494">
        <f>+E14-E18</f>
        <v>6869.7097300000014</v>
      </c>
      <c r="F20" s="447">
        <f>+IF(E20=0,"",D20/E20-1)</f>
        <v>1.3342335208098799E-2</v>
      </c>
      <c r="G20" s="494">
        <f>+G14-G18</f>
        <v>7146.7645799999991</v>
      </c>
      <c r="H20" s="494">
        <f>+H14-H18</f>
        <v>6909.6371899999995</v>
      </c>
      <c r="I20" s="447">
        <f>+IF(H20=0,"",G20/H20-1)</f>
        <v>3.4318356156699981E-2</v>
      </c>
      <c r="J20" s="494">
        <f>+J14-J18</f>
        <v>7125.2993800000004</v>
      </c>
      <c r="K20" s="447">
        <f>+IF(J20=0,"",H20/J20-1)</f>
        <v>-3.0267105773175373E-2</v>
      </c>
      <c r="L20" s="15"/>
    </row>
    <row r="21" spans="1:12" ht="11.25" customHeight="1">
      <c r="A21" s="258" t="s">
        <v>401</v>
      </c>
      <c r="B21" s="138"/>
      <c r="C21" s="138"/>
      <c r="D21" s="138"/>
      <c r="E21" s="138"/>
      <c r="F21" s="138"/>
      <c r="G21" s="138"/>
      <c r="H21" s="138"/>
      <c r="I21" s="138"/>
      <c r="J21" s="138"/>
      <c r="K21" s="138"/>
      <c r="L21" s="16"/>
    </row>
    <row r="22" spans="1:12" ht="17.25" customHeight="1">
      <c r="A22" s="838"/>
      <c r="B22" s="838"/>
      <c r="C22" s="838"/>
      <c r="D22" s="838"/>
      <c r="E22" s="838"/>
      <c r="F22" s="838"/>
      <c r="G22" s="838"/>
      <c r="H22" s="838"/>
      <c r="I22" s="838"/>
      <c r="J22" s="838"/>
      <c r="K22" s="838"/>
      <c r="L22" s="15"/>
    </row>
    <row r="23" spans="1:12" ht="11.25" customHeight="1">
      <c r="A23" s="150"/>
      <c r="B23" s="150"/>
      <c r="C23" s="150"/>
      <c r="D23" s="150"/>
      <c r="E23" s="150"/>
      <c r="F23" s="150"/>
      <c r="G23" s="150"/>
      <c r="H23" s="150"/>
      <c r="I23" s="150"/>
      <c r="J23" s="150"/>
      <c r="K23" s="150"/>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15"/>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36"/>
      <c r="B52" s="138"/>
      <c r="C52" s="138"/>
      <c r="D52" s="138"/>
      <c r="E52" s="138"/>
      <c r="F52" s="138"/>
      <c r="G52" s="138"/>
      <c r="H52" s="138"/>
      <c r="I52" s="138"/>
      <c r="J52" s="138"/>
      <c r="K52" s="138"/>
      <c r="L52" s="38"/>
    </row>
    <row r="53" spans="1:12" ht="11.25" customHeight="1">
      <c r="A53" s="136"/>
      <c r="B53" s="138"/>
      <c r="C53" s="138"/>
      <c r="D53" s="138"/>
      <c r="E53" s="138"/>
      <c r="F53" s="138"/>
      <c r="G53" s="138"/>
      <c r="H53" s="138"/>
      <c r="I53" s="138"/>
      <c r="J53" s="138"/>
      <c r="K53" s="138"/>
      <c r="L53" s="15"/>
    </row>
    <row r="54" spans="1:12" ht="11.25" customHeight="1">
      <c r="A54" s="136"/>
      <c r="B54" s="138"/>
      <c r="C54" s="138"/>
      <c r="D54" s="138"/>
      <c r="E54" s="138"/>
      <c r="F54" s="138"/>
      <c r="G54" s="138"/>
      <c r="H54" s="138"/>
      <c r="I54" s="138"/>
      <c r="J54" s="138"/>
      <c r="K54" s="138"/>
      <c r="L54" s="15"/>
    </row>
    <row r="55" spans="1:12" ht="11.25" customHeight="1">
      <c r="A55" s="151"/>
      <c r="B55" s="151"/>
      <c r="C55" s="151"/>
      <c r="D55" s="151"/>
      <c r="E55" s="151"/>
      <c r="F55" s="151"/>
      <c r="G55" s="151"/>
      <c r="H55" s="151"/>
      <c r="I55" s="151"/>
      <c r="J55" s="151"/>
      <c r="K55" s="151"/>
      <c r="L55" s="15"/>
    </row>
    <row r="56" spans="1:12" ht="11.25" customHeight="1">
      <c r="L56" s="11"/>
    </row>
    <row r="57" spans="1:12" ht="11.25" customHeight="1">
      <c r="A57" s="152"/>
      <c r="B57" s="138"/>
      <c r="C57" s="138"/>
      <c r="D57" s="138"/>
      <c r="E57" s="138"/>
      <c r="F57" s="138"/>
      <c r="G57" s="138"/>
      <c r="H57" s="138"/>
      <c r="I57" s="138"/>
      <c r="J57" s="138"/>
      <c r="K57" s="138"/>
      <c r="L57" s="11"/>
    </row>
    <row r="58" spans="1:12" ht="11.25" customHeight="1">
      <c r="A58" s="152"/>
      <c r="B58" s="153"/>
      <c r="C58" s="153"/>
      <c r="D58" s="153"/>
      <c r="E58" s="153"/>
      <c r="F58" s="153"/>
      <c r="G58" s="138"/>
      <c r="H58" s="138"/>
      <c r="I58" s="138"/>
      <c r="J58" s="138"/>
      <c r="K58" s="138"/>
      <c r="L58" s="11"/>
    </row>
    <row r="59" spans="1:12" ht="11.25" customHeight="1">
      <c r="A59" s="132"/>
      <c r="B59" s="154"/>
      <c r="C59" s="154"/>
      <c r="D59" s="155"/>
      <c r="E59" s="155"/>
      <c r="F59" s="155"/>
      <c r="G59" s="138"/>
      <c r="H59" s="138"/>
      <c r="I59" s="138"/>
      <c r="J59" s="138"/>
      <c r="K59" s="138"/>
      <c r="L59" s="11"/>
    </row>
    <row r="60" spans="1:12" ht="11.25" customHeight="1">
      <c r="L60" s="11"/>
    </row>
    <row r="61" spans="1:12" ht="11.4">
      <c r="A61" s="839" t="str">
        <f>"Gráfico N° 11: Comparación de la máxima potencia coincidente (MW) anual por tipo de generación en el SEIN."</f>
        <v>Gráfico N° 11: Comparación de la máxima potencia coincidente (MW) anual por tipo de generación en el SEIN.</v>
      </c>
      <c r="B61" s="839"/>
      <c r="C61" s="839"/>
      <c r="D61" s="839"/>
      <c r="E61" s="839"/>
      <c r="F61" s="839"/>
      <c r="G61" s="839"/>
      <c r="H61" s="839"/>
      <c r="I61" s="839"/>
      <c r="J61" s="839"/>
      <c r="K61" s="839"/>
      <c r="L61" s="11"/>
    </row>
    <row r="62" spans="1:12" ht="11.4">
      <c r="A62" s="132"/>
      <c r="B62" s="154"/>
      <c r="C62" s="154"/>
      <c r="D62" s="155"/>
      <c r="E62" s="155"/>
      <c r="F62" s="155"/>
      <c r="G62" s="138"/>
      <c r="H62" s="138"/>
      <c r="I62" s="138"/>
      <c r="J62" s="138"/>
      <c r="K62" s="138"/>
      <c r="L62" s="11"/>
    </row>
  </sheetData>
  <mergeCells count="11">
    <mergeCell ref="A22:K22"/>
    <mergeCell ref="A61:K61"/>
    <mergeCell ref="A2:K2"/>
    <mergeCell ref="A4:K4"/>
    <mergeCell ref="B6:D6"/>
    <mergeCell ref="E6:F6"/>
    <mergeCell ref="G6:K6"/>
    <mergeCell ref="F7:F9"/>
    <mergeCell ref="I7:I9"/>
    <mergeCell ref="K7:K9"/>
    <mergeCell ref="A6:A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Q74"/>
  <sheetViews>
    <sheetView showGridLines="0" view="pageBreakPreview" zoomScaleNormal="100" zoomScaleSheetLayoutView="100" zoomScalePageLayoutView="115" workbookViewId="0">
      <selection activeCell="R35" sqref="R35"/>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10" max="10" width="11.85546875" customWidth="1"/>
    <col min="11" max="11" width="9.28515625" customWidth="1"/>
    <col min="12" max="12" width="27.85546875" style="558" customWidth="1"/>
    <col min="13" max="14" width="9.28515625" style="275"/>
    <col min="15" max="17" width="9.28515625" style="681"/>
  </cols>
  <sheetData>
    <row r="1" spans="1:15" ht="25.5" customHeight="1">
      <c r="A1" s="850" t="s">
        <v>249</v>
      </c>
      <c r="B1" s="850"/>
      <c r="C1" s="850"/>
      <c r="D1" s="850"/>
      <c r="E1" s="850"/>
      <c r="F1" s="850"/>
      <c r="G1" s="850"/>
      <c r="H1" s="850"/>
      <c r="I1" s="850"/>
      <c r="J1" s="850"/>
    </row>
    <row r="2" spans="1:15" ht="7.5" customHeight="1">
      <c r="A2" s="74"/>
      <c r="B2" s="73"/>
      <c r="C2" s="73"/>
      <c r="D2" s="73"/>
      <c r="E2" s="73"/>
      <c r="F2" s="73"/>
      <c r="G2" s="73"/>
      <c r="H2" s="73"/>
      <c r="I2" s="73"/>
      <c r="J2" s="73"/>
      <c r="K2" s="296"/>
      <c r="L2" s="667"/>
    </row>
    <row r="3" spans="1:15" ht="11.25" customHeight="1">
      <c r="A3" s="851" t="s">
        <v>121</v>
      </c>
      <c r="B3" s="853" t="str">
        <f>+'1. Resumen'!Q4</f>
        <v>mayo</v>
      </c>
      <c r="C3" s="854"/>
      <c r="D3" s="855"/>
      <c r="E3" s="138"/>
      <c r="F3" s="138"/>
      <c r="G3" s="856" t="s">
        <v>577</v>
      </c>
      <c r="H3" s="856"/>
      <c r="I3" s="856"/>
      <c r="J3" s="138"/>
      <c r="K3" s="718"/>
      <c r="L3" s="667"/>
    </row>
    <row r="4" spans="1:15" ht="11.25" customHeight="1">
      <c r="A4" s="851"/>
      <c r="B4" s="368">
        <v>2022</v>
      </c>
      <c r="C4" s="369">
        <v>2021</v>
      </c>
      <c r="D4" s="855" t="s">
        <v>35</v>
      </c>
      <c r="E4" s="138"/>
      <c r="F4" s="138"/>
      <c r="G4" s="138"/>
      <c r="H4" s="138"/>
      <c r="I4" s="138"/>
      <c r="J4" s="138"/>
      <c r="K4" s="523"/>
      <c r="L4" s="668"/>
    </row>
    <row r="5" spans="1:15" ht="11.25" customHeight="1">
      <c r="A5" s="851"/>
      <c r="B5" s="370">
        <f>+'8. Max Potencia'!D8</f>
        <v>44712.78125</v>
      </c>
      <c r="C5" s="370">
        <f>+'8. Max Potencia'!E8</f>
        <v>44342.75</v>
      </c>
      <c r="D5" s="855"/>
      <c r="E5" s="138"/>
      <c r="F5" s="138"/>
      <c r="G5" s="138"/>
      <c r="H5" s="138"/>
      <c r="I5" s="138"/>
      <c r="J5" s="138"/>
      <c r="K5" s="523"/>
      <c r="L5" s="669"/>
    </row>
    <row r="6" spans="1:15" ht="11.25" customHeight="1" thickBot="1">
      <c r="A6" s="852"/>
      <c r="B6" s="371">
        <f>+'8. Max Potencia'!D9</f>
        <v>44712.78125</v>
      </c>
      <c r="C6" s="371">
        <f>+'8. Max Potencia'!E9</f>
        <v>44342.75</v>
      </c>
      <c r="D6" s="857"/>
      <c r="E6" s="138"/>
      <c r="F6" s="138"/>
      <c r="G6" s="138"/>
      <c r="H6" s="138"/>
      <c r="I6" s="138"/>
      <c r="J6" s="138"/>
      <c r="L6" s="668" t="s">
        <v>248</v>
      </c>
      <c r="M6" s="558">
        <v>2022</v>
      </c>
      <c r="N6" s="558">
        <v>2021</v>
      </c>
    </row>
    <row r="7" spans="1:15" ht="9.75" customHeight="1">
      <c r="A7" s="613" t="s">
        <v>88</v>
      </c>
      <c r="B7" s="768">
        <v>1144.3260000000002</v>
      </c>
      <c r="C7" s="768">
        <v>1001.5786200000001</v>
      </c>
      <c r="D7" s="614">
        <f>IF(C7=0,"",B7/C7-1)</f>
        <v>0.14252239130264188</v>
      </c>
      <c r="E7" s="138"/>
      <c r="F7" s="138"/>
      <c r="G7" s="138"/>
      <c r="H7" s="138"/>
      <c r="I7" s="138"/>
      <c r="J7" s="138"/>
      <c r="K7" s="714"/>
      <c r="L7" s="670" t="s">
        <v>417</v>
      </c>
      <c r="M7" s="671"/>
      <c r="N7" s="671">
        <v>13.16489</v>
      </c>
      <c r="O7" s="746"/>
    </row>
    <row r="8" spans="1:15" ht="9.75" customHeight="1">
      <c r="A8" s="615" t="s">
        <v>87</v>
      </c>
      <c r="B8" s="769">
        <v>1083.2693999999999</v>
      </c>
      <c r="C8" s="769">
        <v>703.57690000000002</v>
      </c>
      <c r="D8" s="616">
        <f t="shared" ref="D8:D70" si="0">IF(C8=0,"",B8/C8-1)</f>
        <v>0.53966027025617214</v>
      </c>
      <c r="E8" s="138"/>
      <c r="F8" s="138"/>
      <c r="G8" s="138"/>
      <c r="H8" s="138"/>
      <c r="I8" s="138"/>
      <c r="J8" s="138"/>
      <c r="K8" s="715"/>
      <c r="L8" s="670" t="s">
        <v>544</v>
      </c>
      <c r="M8" s="669">
        <v>0</v>
      </c>
      <c r="N8" s="669"/>
      <c r="O8" s="746"/>
    </row>
    <row r="9" spans="1:15" ht="9.75" customHeight="1">
      <c r="A9" s="617" t="s">
        <v>89</v>
      </c>
      <c r="B9" s="770">
        <v>860.88816000000008</v>
      </c>
      <c r="C9" s="770">
        <v>855.30192</v>
      </c>
      <c r="D9" s="618">
        <f t="shared" si="0"/>
        <v>6.5313076813857673E-3</v>
      </c>
      <c r="E9" s="320"/>
      <c r="F9" s="138"/>
      <c r="G9" s="138"/>
      <c r="H9" s="138"/>
      <c r="I9" s="138"/>
      <c r="J9" s="138"/>
      <c r="L9" s="670" t="s">
        <v>466</v>
      </c>
      <c r="M9" s="669">
        <v>0</v>
      </c>
      <c r="N9" s="669">
        <v>0.74041000000000001</v>
      </c>
      <c r="O9" s="746"/>
    </row>
    <row r="10" spans="1:15" ht="9.75" customHeight="1">
      <c r="A10" s="615" t="s">
        <v>406</v>
      </c>
      <c r="B10" s="769">
        <v>715.96</v>
      </c>
      <c r="C10" s="769">
        <v>1172.84726</v>
      </c>
      <c r="D10" s="616">
        <f t="shared" si="0"/>
        <v>-0.38955393049219378</v>
      </c>
      <c r="E10" s="138"/>
      <c r="F10" s="138"/>
      <c r="G10" s="138"/>
      <c r="H10" s="138"/>
      <c r="I10" s="138"/>
      <c r="J10" s="138"/>
      <c r="L10" s="670" t="s">
        <v>463</v>
      </c>
      <c r="M10" s="671">
        <v>0</v>
      </c>
      <c r="N10" s="671">
        <v>0</v>
      </c>
      <c r="O10" s="746"/>
    </row>
    <row r="11" spans="1:15" ht="9.75" customHeight="1">
      <c r="A11" s="617" t="s">
        <v>237</v>
      </c>
      <c r="B11" s="770">
        <v>566.63325000000009</v>
      </c>
      <c r="C11" s="770">
        <v>532.06552999999997</v>
      </c>
      <c r="D11" s="618">
        <f t="shared" si="0"/>
        <v>6.4968914637262953E-2</v>
      </c>
      <c r="E11" s="138"/>
      <c r="F11" s="138"/>
      <c r="G11" s="138"/>
      <c r="H11" s="138"/>
      <c r="I11" s="138"/>
      <c r="J11" s="138"/>
      <c r="L11" s="670" t="s">
        <v>462</v>
      </c>
      <c r="M11" s="669">
        <v>0</v>
      </c>
      <c r="N11" s="669">
        <v>0</v>
      </c>
      <c r="O11" s="746"/>
    </row>
    <row r="12" spans="1:15" ht="9.75" customHeight="1">
      <c r="A12" s="615" t="s">
        <v>235</v>
      </c>
      <c r="B12" s="769">
        <v>460.85230999999999</v>
      </c>
      <c r="C12" s="769">
        <v>334.27980000000002</v>
      </c>
      <c r="D12" s="616">
        <f t="shared" si="0"/>
        <v>0.37864241273328503</v>
      </c>
      <c r="E12" s="138"/>
      <c r="F12" s="138"/>
      <c r="G12" s="138"/>
      <c r="H12" s="138"/>
      <c r="I12" s="138"/>
      <c r="J12" s="138"/>
      <c r="K12" s="714"/>
      <c r="L12" s="670" t="s">
        <v>455</v>
      </c>
      <c r="M12" s="669">
        <v>0</v>
      </c>
      <c r="N12" s="669">
        <v>16.0748</v>
      </c>
      <c r="O12" s="746"/>
    </row>
    <row r="13" spans="1:15" ht="9.75" customHeight="1">
      <c r="A13" s="617" t="s">
        <v>239</v>
      </c>
      <c r="B13" s="770">
        <v>237.09399999999999</v>
      </c>
      <c r="C13" s="770">
        <v>294.78856999999999</v>
      </c>
      <c r="D13" s="618">
        <f t="shared" si="0"/>
        <v>-0.19571508488270084</v>
      </c>
      <c r="E13" s="138"/>
      <c r="F13" s="138"/>
      <c r="G13" s="138"/>
      <c r="H13" s="138"/>
      <c r="I13" s="138"/>
      <c r="J13" s="138"/>
      <c r="K13" s="715"/>
      <c r="L13" s="670" t="s">
        <v>424</v>
      </c>
      <c r="M13" s="669">
        <v>0</v>
      </c>
      <c r="N13" s="669">
        <v>5.915</v>
      </c>
      <c r="O13" s="746"/>
    </row>
    <row r="14" spans="1:15" ht="9.75" customHeight="1">
      <c r="A14" s="615" t="s">
        <v>90</v>
      </c>
      <c r="B14" s="769">
        <v>231.82942000000003</v>
      </c>
      <c r="C14" s="769">
        <v>268.06123000000002</v>
      </c>
      <c r="D14" s="616">
        <f t="shared" si="0"/>
        <v>-0.1351624403126106</v>
      </c>
      <c r="E14" s="138"/>
      <c r="F14" s="138"/>
      <c r="G14" s="138"/>
      <c r="H14" s="138"/>
      <c r="I14" s="138"/>
      <c r="J14" s="138"/>
      <c r="K14" s="715"/>
      <c r="L14" s="670" t="s">
        <v>109</v>
      </c>
      <c r="M14" s="669">
        <v>0</v>
      </c>
      <c r="N14" s="669">
        <v>0</v>
      </c>
      <c r="O14" s="746"/>
    </row>
    <row r="15" spans="1:15" ht="9.75" customHeight="1">
      <c r="A15" s="617" t="s">
        <v>100</v>
      </c>
      <c r="B15" s="770">
        <v>197.02189000000001</v>
      </c>
      <c r="C15" s="770">
        <v>0</v>
      </c>
      <c r="D15" s="618" t="str">
        <f t="shared" si="0"/>
        <v/>
      </c>
      <c r="E15" s="138"/>
      <c r="F15" s="138"/>
      <c r="G15" s="138"/>
      <c r="H15" s="138"/>
      <c r="I15" s="138"/>
      <c r="J15" s="138"/>
      <c r="K15" s="715"/>
      <c r="L15" s="670" t="s">
        <v>117</v>
      </c>
      <c r="M15" s="671">
        <v>0</v>
      </c>
      <c r="N15" s="671">
        <v>0</v>
      </c>
      <c r="O15" s="746"/>
    </row>
    <row r="16" spans="1:15" ht="9.75" customHeight="1">
      <c r="A16" s="615" t="s">
        <v>92</v>
      </c>
      <c r="B16" s="769">
        <v>156.56699999999998</v>
      </c>
      <c r="C16" s="769">
        <v>162.84282999999999</v>
      </c>
      <c r="D16" s="616">
        <f t="shared" si="0"/>
        <v>-3.8539185299101053E-2</v>
      </c>
      <c r="E16" s="138"/>
      <c r="F16" s="138"/>
      <c r="G16" s="138"/>
      <c r="H16" s="138"/>
      <c r="I16" s="138"/>
      <c r="J16" s="138"/>
      <c r="K16" s="715"/>
      <c r="L16" s="670" t="s">
        <v>102</v>
      </c>
      <c r="M16" s="669">
        <v>0</v>
      </c>
      <c r="N16" s="669">
        <v>0</v>
      </c>
      <c r="O16" s="746"/>
    </row>
    <row r="17" spans="1:15" ht="9.75" customHeight="1">
      <c r="A17" s="617" t="s">
        <v>91</v>
      </c>
      <c r="B17" s="770">
        <v>122.08637999999999</v>
      </c>
      <c r="C17" s="770">
        <v>102.45543999999998</v>
      </c>
      <c r="D17" s="618">
        <f t="shared" si="0"/>
        <v>0.19160466247570662</v>
      </c>
      <c r="E17" s="138"/>
      <c r="F17" s="138"/>
      <c r="G17" s="138"/>
      <c r="H17" s="138"/>
      <c r="I17" s="138"/>
      <c r="J17" s="138"/>
      <c r="K17" s="715"/>
      <c r="L17" s="670" t="s">
        <v>242</v>
      </c>
      <c r="M17" s="669">
        <v>0</v>
      </c>
      <c r="N17" s="669">
        <v>0</v>
      </c>
      <c r="O17" s="746"/>
    </row>
    <row r="18" spans="1:15" ht="9.75" customHeight="1">
      <c r="A18" s="615" t="s">
        <v>96</v>
      </c>
      <c r="B18" s="769">
        <v>105.373</v>
      </c>
      <c r="C18" s="769">
        <v>91.58954</v>
      </c>
      <c r="D18" s="616">
        <f t="shared" si="0"/>
        <v>0.15049163911075447</v>
      </c>
      <c r="E18" s="138"/>
      <c r="F18" s="138"/>
      <c r="G18" s="138"/>
      <c r="H18" s="138"/>
      <c r="I18" s="138"/>
      <c r="J18" s="138"/>
      <c r="K18" s="715"/>
      <c r="L18" s="670" t="s">
        <v>241</v>
      </c>
      <c r="M18" s="669">
        <v>0</v>
      </c>
      <c r="N18" s="669">
        <v>0</v>
      </c>
      <c r="O18" s="746"/>
    </row>
    <row r="19" spans="1:15" ht="9.75" customHeight="1">
      <c r="A19" s="617" t="s">
        <v>95</v>
      </c>
      <c r="B19" s="770">
        <v>97.521780000000007</v>
      </c>
      <c r="C19" s="770">
        <v>108.01138</v>
      </c>
      <c r="D19" s="618">
        <f t="shared" si="0"/>
        <v>-9.7115692809405796E-2</v>
      </c>
      <c r="E19" s="138"/>
      <c r="F19" s="138"/>
      <c r="G19" s="138"/>
      <c r="H19" s="138"/>
      <c r="I19" s="138"/>
      <c r="J19" s="138"/>
      <c r="K19" s="715"/>
      <c r="L19" s="670" t="s">
        <v>107</v>
      </c>
      <c r="M19" s="671">
        <v>0</v>
      </c>
      <c r="N19" s="671">
        <v>0</v>
      </c>
      <c r="O19" s="746"/>
    </row>
    <row r="20" spans="1:15" ht="9.75" customHeight="1">
      <c r="A20" s="615" t="s">
        <v>94</v>
      </c>
      <c r="B20" s="769">
        <v>95.272500000000008</v>
      </c>
      <c r="C20" s="769">
        <v>158.32352</v>
      </c>
      <c r="D20" s="616">
        <f t="shared" si="0"/>
        <v>-0.39824165101938103</v>
      </c>
      <c r="E20" s="138"/>
      <c r="F20" s="138"/>
      <c r="G20" s="138"/>
      <c r="H20" s="138"/>
      <c r="I20" s="138"/>
      <c r="J20" s="138"/>
      <c r="K20" s="716"/>
      <c r="L20" s="670" t="s">
        <v>110</v>
      </c>
      <c r="M20" s="671">
        <v>0</v>
      </c>
      <c r="N20" s="671">
        <v>0</v>
      </c>
      <c r="O20" s="746"/>
    </row>
    <row r="21" spans="1:15" ht="9.75" customHeight="1">
      <c r="A21" s="617" t="s">
        <v>97</v>
      </c>
      <c r="B21" s="770">
        <v>87.759799999999998</v>
      </c>
      <c r="C21" s="770">
        <v>50.284660000000002</v>
      </c>
      <c r="D21" s="618">
        <f t="shared" si="0"/>
        <v>0.74525988641466401</v>
      </c>
      <c r="E21" s="138"/>
      <c r="F21" s="138"/>
      <c r="G21" s="138"/>
      <c r="H21" s="138"/>
      <c r="I21" s="138"/>
      <c r="J21" s="138"/>
      <c r="K21" s="715"/>
      <c r="L21" s="670" t="s">
        <v>116</v>
      </c>
      <c r="M21" s="669">
        <v>0</v>
      </c>
      <c r="N21" s="669">
        <v>0</v>
      </c>
      <c r="O21" s="746"/>
    </row>
    <row r="22" spans="1:15" ht="9.75" customHeight="1">
      <c r="A22" s="615" t="s">
        <v>423</v>
      </c>
      <c r="B22" s="769">
        <v>86.90379999999999</v>
      </c>
      <c r="C22" s="769">
        <v>90.555700000000002</v>
      </c>
      <c r="D22" s="616">
        <f t="shared" si="0"/>
        <v>-4.0327665735011897E-2</v>
      </c>
      <c r="E22" s="138"/>
      <c r="F22" s="138"/>
      <c r="G22" s="138"/>
      <c r="H22" s="138"/>
      <c r="I22" s="138"/>
      <c r="J22" s="138"/>
      <c r="K22" s="715"/>
      <c r="L22" s="670" t="s">
        <v>114</v>
      </c>
      <c r="M22" s="669">
        <v>0</v>
      </c>
      <c r="N22" s="669">
        <v>0</v>
      </c>
      <c r="O22" s="746"/>
    </row>
    <row r="23" spans="1:15" ht="9.75" customHeight="1">
      <c r="A23" s="617" t="s">
        <v>105</v>
      </c>
      <c r="B23" s="770">
        <v>86.416169999999994</v>
      </c>
      <c r="C23" s="770">
        <v>86.041039999999995</v>
      </c>
      <c r="D23" s="618">
        <f t="shared" si="0"/>
        <v>4.3598961611808207E-3</v>
      </c>
      <c r="E23" s="138"/>
      <c r="F23" s="138"/>
      <c r="G23" s="138"/>
      <c r="H23" s="138"/>
      <c r="I23" s="138"/>
      <c r="J23" s="138"/>
      <c r="K23" s="715"/>
      <c r="L23" s="670" t="s">
        <v>234</v>
      </c>
      <c r="M23" s="671">
        <v>0</v>
      </c>
      <c r="N23" s="671">
        <v>0</v>
      </c>
      <c r="O23" s="746"/>
    </row>
    <row r="24" spans="1:15" ht="9.75" customHeight="1">
      <c r="A24" s="615" t="s">
        <v>93</v>
      </c>
      <c r="B24" s="769">
        <v>79.022999999999996</v>
      </c>
      <c r="C24" s="769">
        <v>148.22370999999998</v>
      </c>
      <c r="D24" s="616">
        <f t="shared" si="0"/>
        <v>-0.46686667065613185</v>
      </c>
      <c r="E24" s="138"/>
      <c r="F24" s="138"/>
      <c r="G24" s="138"/>
      <c r="H24" s="138"/>
      <c r="I24" s="138"/>
      <c r="J24" s="138"/>
      <c r="K24" s="716"/>
      <c r="L24" s="670" t="s">
        <v>106</v>
      </c>
      <c r="M24" s="669">
        <v>0</v>
      </c>
      <c r="N24" s="669">
        <v>16.481169999999999</v>
      </c>
      <c r="O24" s="746"/>
    </row>
    <row r="25" spans="1:15" ht="9.75" customHeight="1">
      <c r="A25" s="617" t="s">
        <v>98</v>
      </c>
      <c r="B25" s="770">
        <v>77.456999999999994</v>
      </c>
      <c r="C25" s="770">
        <v>87.432640000000006</v>
      </c>
      <c r="D25" s="618">
        <f t="shared" si="0"/>
        <v>-0.11409514799049891</v>
      </c>
      <c r="E25" s="138"/>
      <c r="F25" s="138"/>
      <c r="G25" s="138"/>
      <c r="H25" s="138"/>
      <c r="I25" s="138"/>
      <c r="J25" s="138"/>
      <c r="K25" s="715"/>
      <c r="L25" s="670" t="s">
        <v>408</v>
      </c>
      <c r="M25" s="669">
        <v>0.72</v>
      </c>
      <c r="N25" s="669">
        <v>0</v>
      </c>
      <c r="O25" s="746"/>
    </row>
    <row r="26" spans="1:15" ht="9.75" customHeight="1">
      <c r="A26" s="615" t="s">
        <v>101</v>
      </c>
      <c r="B26" s="769">
        <v>47.310569999999998</v>
      </c>
      <c r="C26" s="769">
        <v>42.715359999999997</v>
      </c>
      <c r="D26" s="616">
        <f t="shared" si="0"/>
        <v>0.10757746159695247</v>
      </c>
      <c r="E26" s="138"/>
      <c r="F26" s="138"/>
      <c r="G26" s="138"/>
      <c r="H26" s="138"/>
      <c r="I26" s="138"/>
      <c r="J26" s="138"/>
      <c r="K26" s="715"/>
      <c r="L26" s="670" t="s">
        <v>465</v>
      </c>
      <c r="M26" s="669">
        <v>1.7532000000000001</v>
      </c>
      <c r="N26" s="669">
        <v>14.436</v>
      </c>
      <c r="O26" s="746"/>
    </row>
    <row r="27" spans="1:15" ht="9.75" customHeight="1">
      <c r="A27" s="617" t="s">
        <v>236</v>
      </c>
      <c r="B27" s="770">
        <v>46.882770000000001</v>
      </c>
      <c r="C27" s="770">
        <v>81.160060000000001</v>
      </c>
      <c r="D27" s="618">
        <f t="shared" si="0"/>
        <v>-0.42234185139833558</v>
      </c>
      <c r="E27" s="138"/>
      <c r="F27" s="138"/>
      <c r="G27" s="138"/>
      <c r="H27" s="138"/>
      <c r="I27" s="138"/>
      <c r="J27" s="138"/>
      <c r="K27" s="715"/>
      <c r="L27" s="670" t="s">
        <v>115</v>
      </c>
      <c r="M27" s="669">
        <v>1.9670000000000001</v>
      </c>
      <c r="N27" s="669">
        <v>3.2687499999999998</v>
      </c>
      <c r="O27" s="746"/>
    </row>
    <row r="28" spans="1:15" ht="9.75" customHeight="1">
      <c r="A28" s="615" t="s">
        <v>475</v>
      </c>
      <c r="B28" s="769">
        <v>36.260019999999997</v>
      </c>
      <c r="C28" s="769">
        <v>53.137209999999996</v>
      </c>
      <c r="D28" s="616">
        <f t="shared" si="0"/>
        <v>-0.31761528315092191</v>
      </c>
      <c r="E28" s="138"/>
      <c r="F28" s="138"/>
      <c r="G28" s="138"/>
      <c r="H28" s="138"/>
      <c r="I28" s="138"/>
      <c r="J28" s="138"/>
      <c r="K28" s="715"/>
      <c r="L28" s="670" t="s">
        <v>543</v>
      </c>
      <c r="M28" s="669">
        <v>2.0614499999999998</v>
      </c>
      <c r="N28" s="669"/>
      <c r="O28" s="746"/>
    </row>
    <row r="29" spans="1:15" ht="9.75" customHeight="1">
      <c r="A29" s="619" t="s">
        <v>108</v>
      </c>
      <c r="B29" s="771">
        <v>26.798539999999999</v>
      </c>
      <c r="C29" s="771">
        <v>48.545000000000002</v>
      </c>
      <c r="D29" s="620">
        <f t="shared" si="0"/>
        <v>-0.44796498094551451</v>
      </c>
      <c r="E29" s="138"/>
      <c r="F29" s="138"/>
      <c r="G29" s="138"/>
      <c r="H29" s="138"/>
      <c r="I29" s="138"/>
      <c r="J29" s="138"/>
      <c r="K29" s="715"/>
      <c r="L29" s="670" t="s">
        <v>112</v>
      </c>
      <c r="M29" s="669">
        <v>2.4933199999999998</v>
      </c>
      <c r="N29" s="669">
        <v>2.5159699999999998</v>
      </c>
      <c r="O29" s="746"/>
    </row>
    <row r="30" spans="1:15" ht="9.75" customHeight="1">
      <c r="A30" s="621" t="s">
        <v>111</v>
      </c>
      <c r="B30" s="772">
        <v>25.91872</v>
      </c>
      <c r="C30" s="772">
        <v>25.65287</v>
      </c>
      <c r="D30" s="622">
        <f t="shared" si="0"/>
        <v>1.0363362851797842E-2</v>
      </c>
      <c r="E30" s="138"/>
      <c r="F30" s="138"/>
      <c r="G30" s="138"/>
      <c r="H30" s="138"/>
      <c r="I30" s="138"/>
      <c r="J30" s="138"/>
      <c r="K30" s="715"/>
      <c r="L30" s="670" t="s">
        <v>464</v>
      </c>
      <c r="M30" s="669">
        <v>2.9041399999999999</v>
      </c>
      <c r="N30" s="669">
        <v>14.686999999999999</v>
      </c>
      <c r="O30" s="746"/>
    </row>
    <row r="31" spans="1:15" ht="9.75" customHeight="1">
      <c r="A31" s="623" t="s">
        <v>467</v>
      </c>
      <c r="B31" s="773">
        <v>25.859540000000003</v>
      </c>
      <c r="C31" s="773">
        <v>39.640680000000003</v>
      </c>
      <c r="D31" s="624">
        <f t="shared" si="0"/>
        <v>-0.34765145300231981</v>
      </c>
      <c r="E31" s="138"/>
      <c r="F31" s="138"/>
      <c r="G31" s="138"/>
      <c r="H31" s="138"/>
      <c r="I31" s="138"/>
      <c r="J31" s="138"/>
      <c r="K31" s="715"/>
      <c r="L31" s="670" t="s">
        <v>240</v>
      </c>
      <c r="M31" s="669">
        <v>3.1380599999999998</v>
      </c>
      <c r="N31" s="669">
        <v>7.5153600000000003</v>
      </c>
      <c r="O31" s="746"/>
    </row>
    <row r="32" spans="1:15" ht="9.75" customHeight="1">
      <c r="A32" s="621" t="s">
        <v>398</v>
      </c>
      <c r="B32" s="772">
        <v>20.015000000000001</v>
      </c>
      <c r="C32" s="772">
        <v>19.994199999999999</v>
      </c>
      <c r="D32" s="622">
        <f t="shared" si="0"/>
        <v>1.0403016874893645E-3</v>
      </c>
      <c r="E32" s="138"/>
      <c r="F32" s="138"/>
      <c r="G32" s="138"/>
      <c r="H32" s="138"/>
      <c r="I32" s="138"/>
      <c r="J32" s="138"/>
      <c r="K32" s="715"/>
      <c r="L32" s="670" t="s">
        <v>113</v>
      </c>
      <c r="M32" s="669">
        <v>3.1509999999999998</v>
      </c>
      <c r="N32" s="669">
        <v>3.7210700000000001</v>
      </c>
      <c r="O32" s="746"/>
    </row>
    <row r="33" spans="1:15" ht="13.5" customHeight="1">
      <c r="A33" s="625" t="s">
        <v>468</v>
      </c>
      <c r="B33" s="773">
        <v>19.828009999999999</v>
      </c>
      <c r="C33" s="773">
        <v>19.58989</v>
      </c>
      <c r="D33" s="624">
        <f t="shared" si="0"/>
        <v>1.2155249467965312E-2</v>
      </c>
      <c r="E33" s="138"/>
      <c r="F33" s="138"/>
      <c r="G33" s="138"/>
      <c r="H33" s="138"/>
      <c r="I33" s="138"/>
      <c r="J33" s="138"/>
      <c r="K33" s="715"/>
      <c r="L33" s="670" t="s">
        <v>407</v>
      </c>
      <c r="M33" s="669">
        <v>8.3617799999999995</v>
      </c>
      <c r="N33" s="669">
        <v>9.588000000000001</v>
      </c>
      <c r="O33" s="746"/>
    </row>
    <row r="34" spans="1:15" ht="13.5" customHeight="1">
      <c r="A34" s="621" t="s">
        <v>103</v>
      </c>
      <c r="B34" s="772">
        <v>19.114570000000001</v>
      </c>
      <c r="C34" s="772">
        <v>9.4109499999999997</v>
      </c>
      <c r="D34" s="622">
        <f t="shared" si="0"/>
        <v>1.0310988794967564</v>
      </c>
      <c r="E34" s="138"/>
      <c r="F34" s="138"/>
      <c r="G34" s="138"/>
      <c r="H34" s="138"/>
      <c r="I34" s="138"/>
      <c r="J34" s="138"/>
      <c r="K34" s="715"/>
      <c r="L34" s="670" t="s">
        <v>445</v>
      </c>
      <c r="M34" s="669">
        <v>9.0587599999999995</v>
      </c>
      <c r="N34" s="669">
        <v>11</v>
      </c>
      <c r="O34" s="746"/>
    </row>
    <row r="35" spans="1:15" ht="13.5" customHeight="1">
      <c r="A35" s="625" t="s">
        <v>238</v>
      </c>
      <c r="B35" s="773">
        <v>18.378430000000002</v>
      </c>
      <c r="C35" s="773">
        <v>18.412590000000002</v>
      </c>
      <c r="D35" s="624">
        <f t="shared" si="0"/>
        <v>-1.8552523029079504E-3</v>
      </c>
      <c r="E35" s="138"/>
      <c r="F35" s="138"/>
      <c r="G35" s="138"/>
      <c r="H35" s="138"/>
      <c r="I35" s="138"/>
      <c r="J35" s="138"/>
      <c r="K35" s="715"/>
      <c r="L35" s="670" t="s">
        <v>118</v>
      </c>
      <c r="M35" s="669">
        <v>10.046860000000001</v>
      </c>
      <c r="N35" s="669">
        <v>19.471919999999997</v>
      </c>
      <c r="O35" s="746"/>
    </row>
    <row r="36" spans="1:15" ht="10.199999999999999" customHeight="1">
      <c r="A36" s="626" t="s">
        <v>119</v>
      </c>
      <c r="B36" s="772">
        <v>18.309740000000001</v>
      </c>
      <c r="C36" s="772">
        <v>10.099550000000001</v>
      </c>
      <c r="D36" s="622">
        <f t="shared" si="0"/>
        <v>0.81292631849933916</v>
      </c>
      <c r="E36" s="138"/>
      <c r="F36" s="138"/>
      <c r="G36" s="138"/>
      <c r="H36" s="138"/>
      <c r="I36" s="138"/>
      <c r="J36" s="138"/>
      <c r="K36" s="715"/>
      <c r="L36" s="670" t="s">
        <v>99</v>
      </c>
      <c r="M36" s="669">
        <v>11.430680000000001</v>
      </c>
      <c r="N36" s="669">
        <v>14.34295</v>
      </c>
      <c r="O36" s="746"/>
    </row>
    <row r="37" spans="1:15" ht="13.5" customHeight="1">
      <c r="A37" s="625" t="s">
        <v>446</v>
      </c>
      <c r="B37" s="773">
        <v>15.47986</v>
      </c>
      <c r="C37" s="773">
        <v>5.2237299999999998</v>
      </c>
      <c r="D37" s="624">
        <f t="shared" si="0"/>
        <v>1.9633729155220507</v>
      </c>
      <c r="E37" s="138"/>
      <c r="F37" s="138"/>
      <c r="G37" s="138"/>
      <c r="H37" s="138"/>
      <c r="I37" s="138"/>
      <c r="J37" s="138"/>
      <c r="K37" s="715"/>
      <c r="L37" s="670" t="s">
        <v>414</v>
      </c>
      <c r="M37" s="671">
        <v>11.69773</v>
      </c>
      <c r="N37" s="671">
        <v>20.338349999999998</v>
      </c>
      <c r="O37" s="746"/>
    </row>
    <row r="38" spans="1:15" ht="11.25" customHeight="1">
      <c r="A38" s="621" t="s">
        <v>104</v>
      </c>
      <c r="B38" s="772">
        <v>14.582840000000001</v>
      </c>
      <c r="C38" s="772">
        <v>18.26586</v>
      </c>
      <c r="D38" s="622">
        <f t="shared" si="0"/>
        <v>-0.20163408676076566</v>
      </c>
      <c r="E38" s="138"/>
      <c r="F38" s="138"/>
      <c r="G38" s="138"/>
      <c r="H38" s="138"/>
      <c r="I38" s="138"/>
      <c r="J38" s="138"/>
      <c r="K38" s="717"/>
      <c r="L38" s="670" t="s">
        <v>437</v>
      </c>
      <c r="M38" s="669">
        <v>13.17625</v>
      </c>
      <c r="N38" s="669">
        <v>16.731850000000001</v>
      </c>
      <c r="O38" s="746"/>
    </row>
    <row r="39" spans="1:15" ht="11.25" customHeight="1">
      <c r="A39" s="625" t="s">
        <v>437</v>
      </c>
      <c r="B39" s="773">
        <v>13.17625</v>
      </c>
      <c r="C39" s="773">
        <v>16.731850000000001</v>
      </c>
      <c r="D39" s="624">
        <f t="shared" si="0"/>
        <v>-0.21250489336206102</v>
      </c>
      <c r="E39" s="138"/>
      <c r="F39" s="138"/>
      <c r="G39" s="138"/>
      <c r="H39" s="138"/>
      <c r="I39" s="138"/>
      <c r="J39" s="138"/>
      <c r="K39" s="717"/>
      <c r="L39" s="670" t="s">
        <v>104</v>
      </c>
      <c r="M39" s="669">
        <v>14.582840000000001</v>
      </c>
      <c r="N39" s="669">
        <v>18.26586</v>
      </c>
      <c r="O39" s="746"/>
    </row>
    <row r="40" spans="1:15" ht="11.4" customHeight="1">
      <c r="A40" s="626" t="s">
        <v>414</v>
      </c>
      <c r="B40" s="772">
        <v>11.69773</v>
      </c>
      <c r="C40" s="772">
        <v>20.338349999999998</v>
      </c>
      <c r="D40" s="622">
        <f t="shared" si="0"/>
        <v>-0.42484370659370096</v>
      </c>
      <c r="E40" s="138"/>
      <c r="F40" s="138"/>
      <c r="G40" s="138"/>
      <c r="H40" s="138"/>
      <c r="I40" s="138"/>
      <c r="J40" s="138"/>
      <c r="K40" s="716"/>
      <c r="L40" s="670" t="s">
        <v>446</v>
      </c>
      <c r="M40" s="669">
        <v>15.47986</v>
      </c>
      <c r="N40" s="669">
        <v>5.2237299999999998</v>
      </c>
      <c r="O40" s="746"/>
    </row>
    <row r="41" spans="1:15" ht="11.25" customHeight="1">
      <c r="A41" s="625" t="s">
        <v>99</v>
      </c>
      <c r="B41" s="773">
        <v>11.430680000000001</v>
      </c>
      <c r="C41" s="773">
        <v>14.34295</v>
      </c>
      <c r="D41" s="624">
        <f t="shared" si="0"/>
        <v>-0.20304539861046711</v>
      </c>
      <c r="E41" s="138"/>
      <c r="F41" s="138"/>
      <c r="G41" s="138"/>
      <c r="H41" s="138"/>
      <c r="I41" s="138"/>
      <c r="J41" s="138"/>
      <c r="K41" s="716"/>
      <c r="L41" s="670" t="s">
        <v>119</v>
      </c>
      <c r="M41" s="669">
        <v>18.309740000000001</v>
      </c>
      <c r="N41" s="669">
        <v>10.099550000000001</v>
      </c>
      <c r="O41" s="746"/>
    </row>
    <row r="42" spans="1:15" ht="11.25" customHeight="1">
      <c r="A42" s="627" t="s">
        <v>118</v>
      </c>
      <c r="B42" s="772">
        <v>10.046860000000001</v>
      </c>
      <c r="C42" s="772">
        <v>19.471919999999997</v>
      </c>
      <c r="D42" s="622">
        <f t="shared" si="0"/>
        <v>-0.4840334183788757</v>
      </c>
      <c r="E42" s="138"/>
      <c r="F42" s="138"/>
      <c r="G42" s="138"/>
      <c r="H42" s="138"/>
      <c r="I42" s="138"/>
      <c r="J42" s="138"/>
      <c r="K42" s="716"/>
      <c r="L42" s="670" t="s">
        <v>238</v>
      </c>
      <c r="M42" s="669">
        <v>18.378430000000002</v>
      </c>
      <c r="N42" s="669">
        <v>18.412590000000002</v>
      </c>
      <c r="O42" s="746"/>
    </row>
    <row r="43" spans="1:15" ht="9.75" customHeight="1">
      <c r="A43" s="623" t="s">
        <v>445</v>
      </c>
      <c r="B43" s="773">
        <v>9.0587599999999995</v>
      </c>
      <c r="C43" s="773">
        <v>11</v>
      </c>
      <c r="D43" s="624">
        <f t="shared" si="0"/>
        <v>-0.17647636363636365</v>
      </c>
      <c r="E43" s="138"/>
      <c r="F43" s="138"/>
      <c r="G43" s="138"/>
      <c r="H43" s="138"/>
      <c r="I43" s="138"/>
      <c r="J43" s="138"/>
      <c r="K43" s="717"/>
      <c r="L43" s="670" t="s">
        <v>103</v>
      </c>
      <c r="M43" s="669">
        <v>19.114570000000001</v>
      </c>
      <c r="N43" s="669">
        <v>9.4109499999999997</v>
      </c>
      <c r="O43" s="746"/>
    </row>
    <row r="44" spans="1:15" ht="9.75" customHeight="1">
      <c r="A44" s="621" t="s">
        <v>407</v>
      </c>
      <c r="B44" s="772">
        <v>8.3617799999999995</v>
      </c>
      <c r="C44" s="772">
        <v>9.588000000000001</v>
      </c>
      <c r="D44" s="622">
        <f t="shared" si="0"/>
        <v>-0.12789111389236563</v>
      </c>
      <c r="E44" s="138"/>
      <c r="F44" s="138"/>
      <c r="G44" s="138"/>
      <c r="H44" s="138"/>
      <c r="I44" s="138"/>
      <c r="J44" s="138"/>
      <c r="K44" s="717"/>
      <c r="L44" s="670" t="s">
        <v>468</v>
      </c>
      <c r="M44" s="669">
        <v>19.828009999999999</v>
      </c>
      <c r="N44" s="669">
        <v>19.58989</v>
      </c>
      <c r="O44" s="746"/>
    </row>
    <row r="45" spans="1:15" ht="9.75" customHeight="1">
      <c r="A45" s="623" t="s">
        <v>113</v>
      </c>
      <c r="B45" s="773">
        <v>3.1509999999999998</v>
      </c>
      <c r="C45" s="773">
        <v>3.7210700000000001</v>
      </c>
      <c r="D45" s="624">
        <f t="shared" si="0"/>
        <v>-0.15320055790404385</v>
      </c>
      <c r="E45" s="138"/>
      <c r="F45" s="138"/>
      <c r="G45" s="138"/>
      <c r="H45" s="138"/>
      <c r="I45" s="138"/>
      <c r="J45" s="138"/>
      <c r="K45" s="717"/>
      <c r="L45" s="670" t="s">
        <v>398</v>
      </c>
      <c r="M45" s="669">
        <v>20.015000000000001</v>
      </c>
      <c r="N45" s="669">
        <v>19.994199999999999</v>
      </c>
      <c r="O45" s="746"/>
    </row>
    <row r="46" spans="1:15" ht="9.75" customHeight="1">
      <c r="A46" s="621" t="s">
        <v>240</v>
      </c>
      <c r="B46" s="772">
        <v>3.1380599999999998</v>
      </c>
      <c r="C46" s="772">
        <v>7.5153600000000003</v>
      </c>
      <c r="D46" s="622">
        <f t="shared" si="0"/>
        <v>-0.58244714824040367</v>
      </c>
      <c r="E46" s="138"/>
      <c r="F46" s="138"/>
      <c r="G46" s="138"/>
      <c r="H46" s="138"/>
      <c r="I46" s="138"/>
      <c r="J46" s="138"/>
      <c r="L46" s="670" t="s">
        <v>467</v>
      </c>
      <c r="M46" s="669">
        <v>25.859540000000003</v>
      </c>
      <c r="N46" s="669">
        <v>39.640680000000003</v>
      </c>
      <c r="O46" s="746"/>
    </row>
    <row r="47" spans="1:15" ht="9.75" customHeight="1">
      <c r="A47" s="623" t="s">
        <v>464</v>
      </c>
      <c r="B47" s="773">
        <v>2.9041399999999999</v>
      </c>
      <c r="C47" s="773">
        <v>14.686999999999999</v>
      </c>
      <c r="D47" s="624">
        <f t="shared" si="0"/>
        <v>-0.80226458773064613</v>
      </c>
      <c r="E47" s="138"/>
      <c r="F47" s="138"/>
      <c r="G47" s="138"/>
      <c r="H47" s="138"/>
      <c r="I47" s="138"/>
      <c r="J47" s="138"/>
      <c r="L47" s="670" t="s">
        <v>111</v>
      </c>
      <c r="M47" s="669">
        <v>25.91872</v>
      </c>
      <c r="N47" s="669">
        <v>25.65287</v>
      </c>
      <c r="O47" s="746"/>
    </row>
    <row r="48" spans="1:15" ht="9.6" customHeight="1">
      <c r="A48" s="626" t="s">
        <v>112</v>
      </c>
      <c r="B48" s="772">
        <v>2.4933199999999998</v>
      </c>
      <c r="C48" s="772">
        <v>2.5159699999999998</v>
      </c>
      <c r="D48" s="622"/>
      <c r="E48" s="138"/>
      <c r="F48" s="138"/>
      <c r="G48" s="138"/>
      <c r="H48" s="138"/>
      <c r="I48" s="138"/>
      <c r="J48" s="138"/>
      <c r="L48" s="670" t="s">
        <v>108</v>
      </c>
      <c r="M48" s="669">
        <v>26.798539999999999</v>
      </c>
      <c r="N48" s="669">
        <v>48.545000000000002</v>
      </c>
      <c r="O48" s="746"/>
    </row>
    <row r="49" spans="1:15" ht="9.75" customHeight="1">
      <c r="A49" s="623" t="s">
        <v>543</v>
      </c>
      <c r="B49" s="773">
        <v>2.0614499999999998</v>
      </c>
      <c r="C49" s="773"/>
      <c r="D49" s="624" t="str">
        <f t="shared" si="0"/>
        <v/>
      </c>
      <c r="E49" s="138"/>
      <c r="F49" s="138"/>
      <c r="G49" s="138"/>
      <c r="H49" s="138"/>
      <c r="I49" s="138"/>
      <c r="J49" s="138"/>
      <c r="L49" s="670" t="s">
        <v>475</v>
      </c>
      <c r="M49" s="669">
        <v>36.260019999999997</v>
      </c>
      <c r="N49" s="669">
        <v>53.137209999999996</v>
      </c>
      <c r="O49" s="746"/>
    </row>
    <row r="50" spans="1:15" ht="10.95" customHeight="1">
      <c r="A50" s="626" t="s">
        <v>115</v>
      </c>
      <c r="B50" s="772">
        <v>1.9670000000000001</v>
      </c>
      <c r="C50" s="772">
        <v>3.2687499999999998</v>
      </c>
      <c r="D50" s="622">
        <f t="shared" si="0"/>
        <v>-0.39824091778202675</v>
      </c>
      <c r="E50" s="138"/>
      <c r="F50" s="138"/>
      <c r="G50" s="138"/>
      <c r="H50" s="138"/>
      <c r="I50" s="138"/>
      <c r="J50" s="138"/>
      <c r="L50" s="670" t="s">
        <v>236</v>
      </c>
      <c r="M50" s="669">
        <v>46.882770000000001</v>
      </c>
      <c r="N50" s="669">
        <v>81.160060000000001</v>
      </c>
      <c r="O50" s="746"/>
    </row>
    <row r="51" spans="1:15" ht="11.25" customHeight="1">
      <c r="A51" s="625" t="s">
        <v>465</v>
      </c>
      <c r="B51" s="773">
        <v>1.7532000000000001</v>
      </c>
      <c r="C51" s="773">
        <v>14.436</v>
      </c>
      <c r="D51" s="624">
        <f t="shared" si="0"/>
        <v>-0.87855361596009973</v>
      </c>
      <c r="E51" s="138"/>
      <c r="F51" s="138"/>
      <c r="G51" s="138"/>
      <c r="H51" s="138"/>
      <c r="I51" s="138"/>
      <c r="J51" s="138"/>
      <c r="L51" s="670" t="s">
        <v>101</v>
      </c>
      <c r="M51" s="669">
        <v>47.310569999999998</v>
      </c>
      <c r="N51" s="669">
        <v>42.715359999999997</v>
      </c>
      <c r="O51" s="746"/>
    </row>
    <row r="52" spans="1:15" ht="12" customHeight="1">
      <c r="A52" s="626" t="s">
        <v>408</v>
      </c>
      <c r="B52" s="772">
        <v>0.72</v>
      </c>
      <c r="C52" s="772">
        <v>0</v>
      </c>
      <c r="D52" s="622" t="str">
        <f t="shared" si="0"/>
        <v/>
      </c>
      <c r="E52" s="138"/>
      <c r="F52" s="138"/>
      <c r="G52" s="138"/>
      <c r="H52" s="138"/>
      <c r="I52" s="138"/>
      <c r="J52" s="138"/>
      <c r="L52" s="670" t="s">
        <v>98</v>
      </c>
      <c r="M52" s="669">
        <v>77.456999999999994</v>
      </c>
      <c r="N52" s="669">
        <v>87.432640000000006</v>
      </c>
      <c r="O52" s="746"/>
    </row>
    <row r="53" spans="1:15" ht="9.75" customHeight="1">
      <c r="A53" s="625" t="s">
        <v>106</v>
      </c>
      <c r="B53" s="773">
        <v>0</v>
      </c>
      <c r="C53" s="773">
        <v>16.481169999999999</v>
      </c>
      <c r="D53" s="624">
        <f t="shared" si="0"/>
        <v>-1</v>
      </c>
      <c r="E53" s="138"/>
      <c r="F53" s="138"/>
      <c r="G53" s="138"/>
      <c r="H53" s="138"/>
      <c r="I53" s="138"/>
      <c r="J53" s="138"/>
      <c r="L53" s="670" t="s">
        <v>93</v>
      </c>
      <c r="M53" s="669">
        <v>79.022999999999996</v>
      </c>
      <c r="N53" s="669">
        <v>148.22370999999998</v>
      </c>
      <c r="O53" s="746"/>
    </row>
    <row r="54" spans="1:15" ht="9.75" customHeight="1">
      <c r="A54" s="621" t="s">
        <v>234</v>
      </c>
      <c r="B54" s="772">
        <v>0</v>
      </c>
      <c r="C54" s="772">
        <v>0</v>
      </c>
      <c r="D54" s="622" t="str">
        <f t="shared" si="0"/>
        <v/>
      </c>
      <c r="E54" s="138"/>
      <c r="F54" s="138"/>
      <c r="G54" s="138"/>
      <c r="H54" s="138"/>
      <c r="I54" s="138"/>
      <c r="J54" s="138"/>
      <c r="L54" s="670" t="s">
        <v>105</v>
      </c>
      <c r="M54" s="669">
        <v>86.416169999999994</v>
      </c>
      <c r="N54" s="669">
        <v>86.041039999999995</v>
      </c>
      <c r="O54" s="746"/>
    </row>
    <row r="55" spans="1:15" ht="9.75" customHeight="1">
      <c r="A55" s="623" t="s">
        <v>114</v>
      </c>
      <c r="B55" s="773">
        <v>0</v>
      </c>
      <c r="C55" s="773">
        <v>0</v>
      </c>
      <c r="D55" s="624" t="str">
        <f t="shared" si="0"/>
        <v/>
      </c>
      <c r="E55" s="138"/>
      <c r="F55" s="138"/>
      <c r="G55" s="138"/>
      <c r="H55" s="138"/>
      <c r="I55" s="138"/>
      <c r="J55" s="138"/>
      <c r="L55" s="670" t="s">
        <v>423</v>
      </c>
      <c r="M55" s="669">
        <v>86.90379999999999</v>
      </c>
      <c r="N55" s="669">
        <v>90.555700000000002</v>
      </c>
      <c r="O55" s="746"/>
    </row>
    <row r="56" spans="1:15" ht="9.75" customHeight="1">
      <c r="A56" s="621" t="s">
        <v>116</v>
      </c>
      <c r="B56" s="772">
        <v>0</v>
      </c>
      <c r="C56" s="772">
        <v>0</v>
      </c>
      <c r="D56" s="622" t="str">
        <f t="shared" si="0"/>
        <v/>
      </c>
      <c r="E56" s="138"/>
      <c r="F56" s="138"/>
      <c r="G56" s="138"/>
      <c r="H56" s="138"/>
      <c r="I56" s="138"/>
      <c r="J56" s="138"/>
      <c r="L56" s="670" t="s">
        <v>97</v>
      </c>
      <c r="M56" s="669">
        <v>87.759799999999998</v>
      </c>
      <c r="N56" s="669">
        <v>50.284660000000002</v>
      </c>
      <c r="O56" s="746"/>
    </row>
    <row r="57" spans="1:15" ht="9.75" customHeight="1">
      <c r="A57" s="623" t="s">
        <v>110</v>
      </c>
      <c r="B57" s="773">
        <v>0</v>
      </c>
      <c r="C57" s="773">
        <v>0</v>
      </c>
      <c r="D57" s="624" t="str">
        <f t="shared" si="0"/>
        <v/>
      </c>
      <c r="E57" s="138"/>
      <c r="F57" s="138"/>
      <c r="G57" s="138"/>
      <c r="H57" s="138"/>
      <c r="I57" s="138"/>
      <c r="J57" s="138"/>
      <c r="L57" s="670" t="s">
        <v>94</v>
      </c>
      <c r="M57" s="669">
        <v>95.272500000000008</v>
      </c>
      <c r="N57" s="669">
        <v>158.32352</v>
      </c>
      <c r="O57" s="746"/>
    </row>
    <row r="58" spans="1:15" ht="9.75" customHeight="1">
      <c r="A58" s="621" t="s">
        <v>107</v>
      </c>
      <c r="B58" s="772">
        <v>0</v>
      </c>
      <c r="C58" s="772">
        <v>0</v>
      </c>
      <c r="D58" s="622" t="str">
        <f t="shared" si="0"/>
        <v/>
      </c>
      <c r="E58" s="138"/>
      <c r="F58" s="138"/>
      <c r="G58" s="138"/>
      <c r="H58" s="138"/>
      <c r="I58" s="138"/>
      <c r="J58" s="138"/>
      <c r="L58" s="670" t="s">
        <v>95</v>
      </c>
      <c r="M58" s="669">
        <v>97.521780000000007</v>
      </c>
      <c r="N58" s="669">
        <v>108.01138</v>
      </c>
      <c r="O58" s="746"/>
    </row>
    <row r="59" spans="1:15" ht="9.75" customHeight="1">
      <c r="A59" s="623" t="s">
        <v>241</v>
      </c>
      <c r="B59" s="773">
        <v>0</v>
      </c>
      <c r="C59" s="773">
        <v>0</v>
      </c>
      <c r="D59" s="624" t="str">
        <f t="shared" si="0"/>
        <v/>
      </c>
      <c r="E59" s="138"/>
      <c r="F59" s="138"/>
      <c r="G59" s="138"/>
      <c r="H59" s="138"/>
      <c r="I59" s="138"/>
      <c r="J59" s="138"/>
      <c r="L59" s="670" t="s">
        <v>96</v>
      </c>
      <c r="M59" s="669">
        <v>105.373</v>
      </c>
      <c r="N59" s="669">
        <v>91.58954</v>
      </c>
      <c r="O59" s="746"/>
    </row>
    <row r="60" spans="1:15" ht="9.75" customHeight="1">
      <c r="A60" s="621" t="s">
        <v>242</v>
      </c>
      <c r="B60" s="772">
        <v>0</v>
      </c>
      <c r="C60" s="772">
        <v>0</v>
      </c>
      <c r="D60" s="622" t="str">
        <f t="shared" si="0"/>
        <v/>
      </c>
      <c r="E60" s="138"/>
      <c r="F60" s="138"/>
      <c r="G60" s="138"/>
      <c r="H60" s="138"/>
      <c r="I60" s="138"/>
      <c r="J60" s="138"/>
      <c r="L60" s="670" t="s">
        <v>91</v>
      </c>
      <c r="M60" s="669">
        <v>122.08637999999999</v>
      </c>
      <c r="N60" s="669">
        <v>102.45543999999998</v>
      </c>
      <c r="O60" s="746"/>
    </row>
    <row r="61" spans="1:15" ht="9.75" customHeight="1">
      <c r="A61" s="628" t="s">
        <v>102</v>
      </c>
      <c r="B61" s="774">
        <v>0</v>
      </c>
      <c r="C61" s="774">
        <v>0</v>
      </c>
      <c r="D61" s="624" t="str">
        <f t="shared" si="0"/>
        <v/>
      </c>
      <c r="E61" s="138"/>
      <c r="F61" s="138"/>
      <c r="G61" s="138"/>
      <c r="H61" s="138"/>
      <c r="I61" s="138"/>
      <c r="J61" s="138"/>
      <c r="L61" s="670" t="s">
        <v>92</v>
      </c>
      <c r="M61" s="669">
        <v>156.56699999999998</v>
      </c>
      <c r="N61" s="669">
        <v>162.84282999999999</v>
      </c>
      <c r="O61" s="746"/>
    </row>
    <row r="62" spans="1:15" ht="9.75" customHeight="1">
      <c r="A62" s="629" t="s">
        <v>117</v>
      </c>
      <c r="B62" s="775">
        <v>0</v>
      </c>
      <c r="C62" s="775">
        <v>0</v>
      </c>
      <c r="D62" s="630" t="str">
        <f t="shared" si="0"/>
        <v/>
      </c>
      <c r="E62" s="138"/>
      <c r="F62" s="138"/>
      <c r="G62" s="138"/>
      <c r="H62" s="138"/>
      <c r="I62" s="138"/>
      <c r="J62" s="138"/>
      <c r="L62" s="670" t="s">
        <v>100</v>
      </c>
      <c r="M62" s="669">
        <v>197.02189000000001</v>
      </c>
      <c r="N62" s="669">
        <v>0</v>
      </c>
      <c r="O62" s="746"/>
    </row>
    <row r="63" spans="1:15" ht="9.75" customHeight="1">
      <c r="A63" s="628" t="s">
        <v>109</v>
      </c>
      <c r="B63" s="774">
        <v>0</v>
      </c>
      <c r="C63" s="774">
        <v>0</v>
      </c>
      <c r="D63" s="618" t="str">
        <f t="shared" si="0"/>
        <v/>
      </c>
      <c r="E63" s="138"/>
      <c r="F63" s="138"/>
      <c r="G63" s="138"/>
      <c r="H63" s="138"/>
      <c r="I63" s="138"/>
      <c r="J63" s="138"/>
      <c r="L63" s="670" t="s">
        <v>90</v>
      </c>
      <c r="M63" s="669">
        <v>231.82942000000003</v>
      </c>
      <c r="N63" s="669">
        <v>268.06123000000002</v>
      </c>
      <c r="O63" s="746"/>
    </row>
    <row r="64" spans="1:15" ht="9.75" customHeight="1">
      <c r="A64" s="629" t="s">
        <v>424</v>
      </c>
      <c r="B64" s="775">
        <v>0</v>
      </c>
      <c r="C64" s="775">
        <v>5.915</v>
      </c>
      <c r="D64" s="630">
        <f t="shared" si="0"/>
        <v>-1</v>
      </c>
      <c r="E64" s="138"/>
      <c r="F64" s="138"/>
      <c r="G64" s="138"/>
      <c r="H64" s="138"/>
      <c r="I64" s="138"/>
      <c r="J64" s="138"/>
      <c r="L64" s="670" t="s">
        <v>239</v>
      </c>
      <c r="M64" s="669">
        <v>237.09399999999999</v>
      </c>
      <c r="N64" s="669">
        <v>294.78856999999999</v>
      </c>
      <c r="O64" s="746"/>
    </row>
    <row r="65" spans="1:15" ht="9.75" customHeight="1">
      <c r="A65" s="628" t="s">
        <v>455</v>
      </c>
      <c r="B65" s="774">
        <v>0</v>
      </c>
      <c r="C65" s="774">
        <v>16.0748</v>
      </c>
      <c r="D65" s="618">
        <f t="shared" si="0"/>
        <v>-1</v>
      </c>
      <c r="E65" s="138"/>
      <c r="F65" s="138"/>
      <c r="G65" s="138"/>
      <c r="H65" s="138"/>
      <c r="I65" s="138"/>
      <c r="J65" s="138"/>
      <c r="L65" s="670" t="s">
        <v>235</v>
      </c>
      <c r="M65" s="669">
        <v>460.85230999999999</v>
      </c>
      <c r="N65" s="669">
        <v>334.27980000000002</v>
      </c>
      <c r="O65" s="746"/>
    </row>
    <row r="66" spans="1:15" ht="9.75" customHeight="1">
      <c r="A66" s="629" t="s">
        <v>462</v>
      </c>
      <c r="B66" s="775">
        <v>0</v>
      </c>
      <c r="C66" s="775">
        <v>0</v>
      </c>
      <c r="D66" s="630" t="str">
        <f t="shared" si="0"/>
        <v/>
      </c>
      <c r="E66" s="138"/>
      <c r="F66" s="138"/>
      <c r="G66" s="138"/>
      <c r="H66" s="138"/>
      <c r="I66" s="138"/>
      <c r="J66" s="138"/>
      <c r="L66" s="670" t="s">
        <v>237</v>
      </c>
      <c r="M66" s="669">
        <v>566.63325000000009</v>
      </c>
      <c r="N66" s="669">
        <v>532.06552999999997</v>
      </c>
      <c r="O66" s="746"/>
    </row>
    <row r="67" spans="1:15" ht="9.75" customHeight="1">
      <c r="A67" s="628" t="s">
        <v>463</v>
      </c>
      <c r="B67" s="774">
        <v>0</v>
      </c>
      <c r="C67" s="774">
        <v>0</v>
      </c>
      <c r="D67" s="618" t="str">
        <f t="shared" si="0"/>
        <v/>
      </c>
      <c r="E67" s="138"/>
      <c r="F67" s="138"/>
      <c r="G67" s="138"/>
      <c r="H67" s="138"/>
      <c r="I67" s="138"/>
      <c r="J67" s="138"/>
      <c r="L67" s="670" t="s">
        <v>406</v>
      </c>
      <c r="M67" s="672">
        <v>715.96</v>
      </c>
      <c r="N67" s="672">
        <v>1172.84726</v>
      </c>
      <c r="O67" s="746"/>
    </row>
    <row r="68" spans="1:15" ht="9.75" customHeight="1">
      <c r="A68" s="629" t="s">
        <v>466</v>
      </c>
      <c r="B68" s="775">
        <v>0</v>
      </c>
      <c r="C68" s="775">
        <v>0.74041000000000001</v>
      </c>
      <c r="D68" s="630">
        <f t="shared" si="0"/>
        <v>-1</v>
      </c>
      <c r="E68" s="138"/>
      <c r="F68" s="138"/>
      <c r="G68" s="138"/>
      <c r="H68" s="138"/>
      <c r="I68" s="138"/>
      <c r="J68" s="138"/>
      <c r="L68" s="670" t="s">
        <v>89</v>
      </c>
      <c r="M68" s="672">
        <v>860.88816000000008</v>
      </c>
      <c r="N68" s="672">
        <v>855.30192</v>
      </c>
      <c r="O68" s="746"/>
    </row>
    <row r="69" spans="1:15" ht="9.75" customHeight="1">
      <c r="A69" s="628" t="s">
        <v>544</v>
      </c>
      <c r="B69" s="774">
        <v>0</v>
      </c>
      <c r="C69" s="774"/>
      <c r="D69" s="618" t="str">
        <f t="shared" si="0"/>
        <v/>
      </c>
      <c r="E69" s="138"/>
      <c r="F69" s="138"/>
      <c r="G69" s="138"/>
      <c r="H69" s="138"/>
      <c r="I69" s="138"/>
      <c r="J69" s="138"/>
      <c r="L69" s="670" t="s">
        <v>87</v>
      </c>
      <c r="M69" s="672">
        <v>1083.2693999999999</v>
      </c>
      <c r="N69" s="672">
        <v>703.57690000000002</v>
      </c>
      <c r="O69" s="746"/>
    </row>
    <row r="70" spans="1:15" ht="9.75" customHeight="1">
      <c r="A70" s="629" t="s">
        <v>417</v>
      </c>
      <c r="B70" s="775"/>
      <c r="C70" s="775">
        <v>13.16489</v>
      </c>
      <c r="D70" s="630">
        <f t="shared" si="0"/>
        <v>-1</v>
      </c>
      <c r="E70" s="138"/>
      <c r="F70" s="138"/>
      <c r="G70" s="138"/>
      <c r="H70" s="138"/>
      <c r="I70" s="138"/>
      <c r="J70" s="138"/>
      <c r="L70" s="670" t="s">
        <v>88</v>
      </c>
      <c r="M70" s="672">
        <v>1144.3260000000002</v>
      </c>
      <c r="N70" s="672">
        <v>1001.5786200000001</v>
      </c>
      <c r="O70" s="746"/>
    </row>
    <row r="71" spans="1:15" ht="9.75" customHeight="1">
      <c r="A71" s="631" t="s">
        <v>42</v>
      </c>
      <c r="B71" s="632">
        <f>SUM(B7:B70)</f>
        <v>6908.9537000000009</v>
      </c>
      <c r="C71" s="632">
        <f>SUM(C7:C70)</f>
        <v>6830.1017300000021</v>
      </c>
      <c r="D71" s="633">
        <f>IF(C71=0,"",B71/C71-1)</f>
        <v>1.1544772408536019E-2</v>
      </c>
      <c r="E71" s="138"/>
      <c r="F71" s="138"/>
      <c r="G71" s="138"/>
      <c r="H71" s="138"/>
      <c r="I71" s="138"/>
      <c r="J71" s="138"/>
      <c r="O71" s="746"/>
    </row>
    <row r="72" spans="1:15" ht="31.2" customHeight="1">
      <c r="A72" s="836" t="str">
        <f>"Cuadro N° 8: Participación de las empresas generadoras del COES en la máxima potencia coincidente (MW) en "&amp;'1. Resumen'!Q4</f>
        <v>Cuadro N° 8: Participación de las empresas generadoras del COES en la máxima potencia coincidente (MW) en mayo</v>
      </c>
      <c r="B72" s="836"/>
      <c r="C72" s="836"/>
      <c r="D72" s="836"/>
      <c r="E72" s="132"/>
      <c r="F72" s="836" t="str">
        <f>"Gráfico N° 12: Comparación de la máxima potencia coincidente  (MW) de las empresas generadoras del COES en "&amp;'1. Resumen'!Q4</f>
        <v>Gráfico N° 12: Comparación de la máxima potencia coincidente  (MW) de las empresas generadoras del COES en mayo</v>
      </c>
      <c r="G72" s="836"/>
      <c r="H72" s="836"/>
      <c r="I72" s="836"/>
      <c r="J72" s="836"/>
    </row>
    <row r="73" spans="1:15">
      <c r="A73" s="849"/>
      <c r="B73" s="849"/>
      <c r="C73" s="849"/>
      <c r="D73" s="849"/>
      <c r="E73" s="849"/>
      <c r="F73" s="849"/>
      <c r="G73" s="849"/>
      <c r="H73" s="849"/>
      <c r="I73" s="849"/>
      <c r="J73" s="849"/>
    </row>
    <row r="74" spans="1:15">
      <c r="A74" s="848"/>
      <c r="B74" s="848"/>
      <c r="C74" s="848"/>
      <c r="D74" s="848"/>
      <c r="E74" s="848"/>
      <c r="F74" s="848"/>
      <c r="G74" s="848"/>
      <c r="H74" s="848"/>
      <c r="I74" s="848"/>
      <c r="J74" s="848"/>
    </row>
  </sheetData>
  <mergeCells count="9">
    <mergeCell ref="A74:J74"/>
    <mergeCell ref="A73:J73"/>
    <mergeCell ref="A72:D72"/>
    <mergeCell ref="F72:J72"/>
    <mergeCell ref="A1:J1"/>
    <mergeCell ref="A3:A6"/>
    <mergeCell ref="B3:D3"/>
    <mergeCell ref="G3:I3"/>
    <mergeCell ref="D4:D6"/>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L65"/>
  <sheetViews>
    <sheetView showGridLines="0" view="pageBreakPreview" zoomScaleNormal="100" zoomScaleSheetLayoutView="100" workbookViewId="0">
      <selection activeCell="R35" sqref="R35"/>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84" customWidth="1"/>
    <col min="11" max="11" width="9.28515625" style="46" customWidth="1"/>
    <col min="12" max="12" width="9.28515625" style="46"/>
    <col min="13" max="18" width="9.28515625" style="274"/>
    <col min="19" max="21" width="9.28515625" style="46"/>
    <col min="22" max="25" width="9.28515625" style="684"/>
    <col min="26" max="31" width="9.28515625" style="294"/>
    <col min="32" max="16384" width="9.28515625" style="46"/>
  </cols>
  <sheetData>
    <row r="1" spans="1:38" ht="11.25" customHeight="1"/>
    <row r="2" spans="1:38" ht="17.25" customHeight="1">
      <c r="A2" s="840" t="s">
        <v>250</v>
      </c>
      <c r="B2" s="840"/>
      <c r="C2" s="840"/>
      <c r="D2" s="840"/>
      <c r="E2" s="840"/>
      <c r="F2" s="840"/>
      <c r="G2" s="840"/>
      <c r="H2" s="840"/>
    </row>
    <row r="3" spans="1:38" ht="11.25" customHeight="1">
      <c r="A3" s="77"/>
      <c r="B3" s="77"/>
      <c r="C3" s="77"/>
      <c r="D3" s="77"/>
      <c r="E3" s="77"/>
      <c r="F3" s="82"/>
      <c r="G3" s="82"/>
      <c r="H3" s="82"/>
      <c r="I3" s="36"/>
      <c r="J3" s="683"/>
    </row>
    <row r="4" spans="1:38" ht="15.75" customHeight="1">
      <c r="A4" s="858" t="s">
        <v>432</v>
      </c>
      <c r="B4" s="858"/>
      <c r="C4" s="858"/>
      <c r="D4" s="858"/>
      <c r="E4" s="858"/>
      <c r="F4" s="858"/>
      <c r="G4" s="858"/>
      <c r="H4" s="858"/>
      <c r="I4" s="36"/>
      <c r="J4" s="683"/>
    </row>
    <row r="5" spans="1:38" ht="11.25" customHeight="1">
      <c r="A5" s="77"/>
      <c r="B5" s="162"/>
      <c r="C5" s="79"/>
      <c r="D5" s="79"/>
      <c r="E5" s="80"/>
      <c r="F5" s="76"/>
      <c r="G5" s="76"/>
      <c r="H5" s="81"/>
      <c r="I5" s="163"/>
      <c r="J5" s="719"/>
    </row>
    <row r="6" spans="1:38" ht="42.75" customHeight="1">
      <c r="A6" s="77"/>
      <c r="C6" s="372" t="s">
        <v>122</v>
      </c>
      <c r="D6" s="373" t="s">
        <v>682</v>
      </c>
      <c r="E6" s="373" t="s">
        <v>683</v>
      </c>
      <c r="F6" s="374" t="s">
        <v>123</v>
      </c>
      <c r="G6" s="167"/>
      <c r="H6" s="168"/>
    </row>
    <row r="7" spans="1:38" ht="11.25" customHeight="1">
      <c r="A7" s="77"/>
      <c r="C7" s="412" t="s">
        <v>124</v>
      </c>
      <c r="D7" s="413">
        <v>22.466999053955</v>
      </c>
      <c r="E7" s="555">
        <v>21.742000579999999</v>
      </c>
      <c r="F7" s="414">
        <f>IF(E7=0,"",(D7-E7)/E7)</f>
        <v>3.3345527302667419E-2</v>
      </c>
      <c r="G7" s="137"/>
      <c r="H7" s="262"/>
    </row>
    <row r="8" spans="1:38" ht="11.25" customHeight="1">
      <c r="A8" s="77"/>
      <c r="C8" s="415" t="s">
        <v>125</v>
      </c>
      <c r="D8" s="416">
        <v>107.508003234863</v>
      </c>
      <c r="E8" s="417">
        <v>132.55499270000001</v>
      </c>
      <c r="F8" s="418">
        <f t="shared" ref="F8:F20" si="0">IF(E8=0,"",(D8-E8)/E8)</f>
        <v>-0.18895545882472833</v>
      </c>
      <c r="G8" s="137"/>
      <c r="H8" s="262"/>
    </row>
    <row r="9" spans="1:38" ht="11.25" customHeight="1">
      <c r="A9" s="77"/>
      <c r="C9" s="419" t="s">
        <v>126</v>
      </c>
      <c r="D9" s="420">
        <v>91.985000610351506</v>
      </c>
      <c r="E9" s="421">
        <v>90.739997860000003</v>
      </c>
      <c r="F9" s="422">
        <f t="shared" si="0"/>
        <v>1.372055080133879E-2</v>
      </c>
      <c r="G9" s="137"/>
      <c r="H9" s="262"/>
      <c r="M9" s="639" t="s">
        <v>256</v>
      </c>
      <c r="N9" s="275"/>
      <c r="O9" s="275"/>
      <c r="P9" s="275"/>
      <c r="Q9" s="275"/>
      <c r="R9" s="275"/>
      <c r="S9"/>
      <c r="T9"/>
      <c r="U9"/>
      <c r="V9" s="681"/>
      <c r="W9" s="681"/>
      <c r="X9" s="681"/>
      <c r="Y9" s="681"/>
      <c r="Z9" s="295"/>
      <c r="AA9" s="295"/>
      <c r="AB9" s="295"/>
      <c r="AC9" s="295"/>
      <c r="AD9" s="295"/>
      <c r="AE9" s="295"/>
      <c r="AF9" s="213"/>
      <c r="AG9" s="213"/>
      <c r="AH9" s="213"/>
      <c r="AI9" s="213"/>
      <c r="AJ9" s="213"/>
      <c r="AK9" s="213"/>
      <c r="AL9" s="213"/>
    </row>
    <row r="10" spans="1:38" ht="11.25" customHeight="1">
      <c r="A10" s="77"/>
      <c r="C10" s="415" t="s">
        <v>127</v>
      </c>
      <c r="D10" s="416">
        <v>79.313003540039006</v>
      </c>
      <c r="E10" s="417">
        <v>77.272003170000005</v>
      </c>
      <c r="F10" s="418">
        <f t="shared" si="0"/>
        <v>2.6413193476410309E-2</v>
      </c>
      <c r="G10" s="137"/>
      <c r="H10" s="262"/>
      <c r="M10" s="639" t="s">
        <v>257</v>
      </c>
      <c r="N10" s="275"/>
      <c r="O10" s="275"/>
      <c r="P10" s="275"/>
      <c r="Q10" s="275"/>
      <c r="R10" s="275"/>
      <c r="S10"/>
      <c r="T10"/>
      <c r="AD10" s="295"/>
      <c r="AE10" s="295"/>
      <c r="AF10" s="213"/>
      <c r="AG10" s="213"/>
      <c r="AH10" s="213"/>
      <c r="AI10" s="213"/>
      <c r="AJ10" s="213"/>
      <c r="AK10" s="213"/>
      <c r="AL10" s="213"/>
    </row>
    <row r="11" spans="1:38" ht="11.25" customHeight="1">
      <c r="A11" s="77"/>
      <c r="C11" s="419" t="s">
        <v>128</v>
      </c>
      <c r="D11" s="420">
        <v>33.497001647949197</v>
      </c>
      <c r="E11" s="421">
        <v>37.865001679999999</v>
      </c>
      <c r="F11" s="422">
        <f>IF(E11=0,"",(D11-E11)/E11)</f>
        <v>-0.11535718574543059</v>
      </c>
      <c r="G11" s="137"/>
      <c r="H11" s="262"/>
      <c r="M11" s="275"/>
      <c r="N11" s="640">
        <v>2019</v>
      </c>
      <c r="O11" s="640">
        <v>2020</v>
      </c>
      <c r="P11" s="640">
        <v>2021</v>
      </c>
      <c r="Q11" s="640">
        <v>2022</v>
      </c>
      <c r="R11" s="275"/>
      <c r="S11"/>
      <c r="T11"/>
      <c r="AD11" s="295"/>
      <c r="AE11" s="295"/>
      <c r="AF11" s="213"/>
      <c r="AG11" s="213"/>
      <c r="AH11" s="213"/>
      <c r="AI11" s="213"/>
      <c r="AJ11" s="213"/>
      <c r="AK11" s="213"/>
      <c r="AL11" s="213"/>
    </row>
    <row r="12" spans="1:38" ht="11.25" customHeight="1">
      <c r="A12" s="77"/>
      <c r="C12" s="415" t="s">
        <v>129</v>
      </c>
      <c r="D12" s="416">
        <v>20.860000610351499</v>
      </c>
      <c r="E12" s="417">
        <v>25.950000760000002</v>
      </c>
      <c r="F12" s="418">
        <f t="shared" si="0"/>
        <v>-0.19614643547503707</v>
      </c>
      <c r="G12" s="137"/>
      <c r="H12" s="262"/>
      <c r="M12" s="641">
        <v>1</v>
      </c>
      <c r="N12" s="642">
        <v>117.2900009</v>
      </c>
      <c r="O12" s="642">
        <v>117.290000915527</v>
      </c>
      <c r="P12" s="642">
        <v>129.00799559999999</v>
      </c>
      <c r="Q12" s="594">
        <v>126.9000015</v>
      </c>
      <c r="R12" s="275"/>
      <c r="S12"/>
      <c r="T12"/>
      <c r="AD12" s="295"/>
      <c r="AE12" s="295"/>
      <c r="AF12" s="213"/>
      <c r="AG12" s="213"/>
      <c r="AH12" s="213"/>
      <c r="AI12" s="213"/>
      <c r="AJ12" s="213"/>
      <c r="AK12" s="213"/>
      <c r="AL12" s="213"/>
    </row>
    <row r="13" spans="1:38" ht="11.25" customHeight="1">
      <c r="A13" s="77"/>
      <c r="C13" s="419" t="s">
        <v>130</v>
      </c>
      <c r="D13" s="420">
        <v>110.120002746582</v>
      </c>
      <c r="E13" s="421">
        <v>99.059997559999999</v>
      </c>
      <c r="F13" s="422">
        <f t="shared" si="0"/>
        <v>0.11164956045837807</v>
      </c>
      <c r="G13" s="137"/>
      <c r="H13" s="262"/>
      <c r="M13" s="641">
        <v>2</v>
      </c>
      <c r="N13" s="642">
        <v>116.0110016</v>
      </c>
      <c r="O13" s="642">
        <v>146.93600459999999</v>
      </c>
      <c r="P13" s="642">
        <v>140.9219971</v>
      </c>
      <c r="Q13" s="594">
        <v>126.61000060000001</v>
      </c>
      <c r="R13" s="275"/>
      <c r="S13"/>
      <c r="T13"/>
      <c r="AD13" s="295"/>
      <c r="AE13" s="295"/>
      <c r="AF13" s="213"/>
      <c r="AG13" s="213"/>
      <c r="AH13" s="213"/>
      <c r="AI13" s="213"/>
      <c r="AJ13" s="213"/>
      <c r="AK13" s="213"/>
      <c r="AL13" s="213"/>
    </row>
    <row r="14" spans="1:38" ht="11.25" customHeight="1">
      <c r="A14" s="77"/>
      <c r="C14" s="415" t="s">
        <v>131</v>
      </c>
      <c r="D14" s="416">
        <v>238.378005981445</v>
      </c>
      <c r="E14" s="417">
        <v>250.65499879999999</v>
      </c>
      <c r="F14" s="418">
        <f t="shared" si="0"/>
        <v>-4.8979644839841859E-2</v>
      </c>
      <c r="G14" s="137"/>
      <c r="H14" s="262"/>
      <c r="M14" s="641">
        <v>3</v>
      </c>
      <c r="N14" s="642">
        <v>117.6</v>
      </c>
      <c r="O14" s="642">
        <v>149.93200680000001</v>
      </c>
      <c r="P14" s="642">
        <v>146.8099976</v>
      </c>
      <c r="Q14" s="594">
        <v>130.51999660000001</v>
      </c>
      <c r="R14" s="275"/>
      <c r="S14"/>
      <c r="T14"/>
      <c r="AD14" s="295"/>
      <c r="AE14" s="295"/>
      <c r="AF14" s="213"/>
      <c r="AG14" s="213"/>
      <c r="AH14" s="213"/>
      <c r="AI14" s="213"/>
      <c r="AJ14" s="213"/>
      <c r="AK14" s="213"/>
      <c r="AL14" s="213"/>
    </row>
    <row r="15" spans="1:38" ht="11.25" customHeight="1">
      <c r="A15" s="77"/>
      <c r="C15" s="419" t="s">
        <v>132</v>
      </c>
      <c r="D15" s="420">
        <v>65.690002441406193</v>
      </c>
      <c r="E15" s="421">
        <v>44.707000729999997</v>
      </c>
      <c r="F15" s="422">
        <f t="shared" si="0"/>
        <v>0.46934487594301649</v>
      </c>
      <c r="G15" s="137"/>
      <c r="H15" s="262"/>
      <c r="M15" s="641">
        <v>4</v>
      </c>
      <c r="N15" s="642">
        <v>128.32000729999999</v>
      </c>
      <c r="O15" s="642">
        <v>152.6190033</v>
      </c>
      <c r="P15" s="642">
        <v>159.0500031</v>
      </c>
      <c r="Q15" s="594">
        <v>137.43000029999999</v>
      </c>
      <c r="R15" s="275"/>
      <c r="S15"/>
      <c r="T15"/>
      <c r="AD15" s="295"/>
      <c r="AE15" s="295"/>
      <c r="AF15" s="213"/>
      <c r="AG15" s="213"/>
      <c r="AH15" s="213"/>
      <c r="AI15" s="213"/>
      <c r="AJ15" s="213"/>
      <c r="AK15" s="213"/>
      <c r="AL15" s="213"/>
    </row>
    <row r="16" spans="1:38" ht="11.25" customHeight="1">
      <c r="A16" s="77"/>
      <c r="C16" s="415" t="s">
        <v>133</v>
      </c>
      <c r="D16" s="416">
        <v>302.95901489257801</v>
      </c>
      <c r="E16" s="417">
        <v>308.82998659999998</v>
      </c>
      <c r="F16" s="418">
        <f t="shared" si="0"/>
        <v>-1.9010368041190637E-2</v>
      </c>
      <c r="G16" s="137"/>
      <c r="H16" s="262"/>
      <c r="M16" s="641">
        <v>5</v>
      </c>
      <c r="N16" s="642">
        <v>139.2400055</v>
      </c>
      <c r="O16" s="642">
        <v>162.19599909999999</v>
      </c>
      <c r="P16" s="642">
        <v>174.75</v>
      </c>
      <c r="Q16" s="594">
        <v>153.3059998</v>
      </c>
      <c r="R16" s="275"/>
      <c r="S16"/>
      <c r="T16"/>
      <c r="AD16" s="295"/>
      <c r="AE16" s="295"/>
      <c r="AF16" s="213"/>
      <c r="AG16" s="213"/>
      <c r="AH16" s="213"/>
      <c r="AI16" s="213"/>
      <c r="AJ16" s="213"/>
      <c r="AK16" s="213"/>
      <c r="AL16" s="213"/>
    </row>
    <row r="17" spans="1:38" ht="11.25" customHeight="1">
      <c r="A17" s="77"/>
      <c r="C17" s="419" t="s">
        <v>134</v>
      </c>
      <c r="D17" s="420">
        <v>187.80999755859301</v>
      </c>
      <c r="E17" s="421">
        <v>180.32000729999999</v>
      </c>
      <c r="F17" s="422">
        <f t="shared" si="0"/>
        <v>4.1537211376283176E-2</v>
      </c>
      <c r="G17" s="137"/>
      <c r="H17" s="262"/>
      <c r="M17" s="641">
        <v>6</v>
      </c>
      <c r="N17" s="642">
        <v>150.94</v>
      </c>
      <c r="O17" s="642">
        <v>168.51100158691401</v>
      </c>
      <c r="P17" s="642">
        <v>179.64900209999999</v>
      </c>
      <c r="Q17" s="594">
        <v>137.3439941</v>
      </c>
      <c r="R17" s="275"/>
      <c r="S17"/>
      <c r="T17"/>
      <c r="AD17" s="295"/>
      <c r="AE17" s="295"/>
      <c r="AF17" s="213"/>
      <c r="AG17" s="213"/>
      <c r="AH17" s="213"/>
      <c r="AI17" s="213"/>
      <c r="AJ17" s="213"/>
      <c r="AK17" s="213"/>
      <c r="AL17" s="213"/>
    </row>
    <row r="18" spans="1:38" ht="11.25" customHeight="1">
      <c r="A18" s="77"/>
      <c r="C18" s="415" t="s">
        <v>135</v>
      </c>
      <c r="D18" s="416">
        <v>23.534999847412099</v>
      </c>
      <c r="E18" s="417">
        <v>25.978000640000001</v>
      </c>
      <c r="F18" s="418">
        <f t="shared" si="0"/>
        <v>-9.404113990305539E-2</v>
      </c>
      <c r="G18" s="137"/>
      <c r="H18" s="262"/>
      <c r="M18" s="641">
        <v>7</v>
      </c>
      <c r="N18" s="642">
        <v>162.4909973</v>
      </c>
      <c r="O18" s="642">
        <v>175.46800229999999</v>
      </c>
      <c r="P18" s="642">
        <v>184.3</v>
      </c>
      <c r="Q18" s="594">
        <v>148.73699569999999</v>
      </c>
      <c r="R18" s="275"/>
      <c r="S18"/>
      <c r="T18"/>
      <c r="AD18" s="295"/>
      <c r="AE18" s="295"/>
      <c r="AF18" s="213"/>
      <c r="AG18" s="213"/>
      <c r="AH18" s="213"/>
      <c r="AI18" s="213"/>
      <c r="AJ18" s="213"/>
      <c r="AK18" s="213"/>
      <c r="AL18" s="213"/>
    </row>
    <row r="19" spans="1:38" ht="12.75" customHeight="1">
      <c r="A19" s="77"/>
      <c r="C19" s="419" t="s">
        <v>136</v>
      </c>
      <c r="D19" s="420">
        <v>69.583778381347599</v>
      </c>
      <c r="E19" s="421">
        <v>52.095630649999997</v>
      </c>
      <c r="F19" s="422">
        <f t="shared" si="0"/>
        <v>0.33569317643623925</v>
      </c>
      <c r="G19" s="137"/>
      <c r="H19" s="262"/>
      <c r="M19" s="641">
        <v>8</v>
      </c>
      <c r="N19" s="642">
        <v>169.03700259999999</v>
      </c>
      <c r="O19" s="642">
        <v>188.82800292968699</v>
      </c>
      <c r="P19" s="642">
        <v>186.76999999999998</v>
      </c>
      <c r="Q19" s="594">
        <v>152.691</v>
      </c>
      <c r="R19" s="275"/>
      <c r="S19"/>
      <c r="T19"/>
      <c r="AD19" s="295"/>
      <c r="AE19" s="295"/>
      <c r="AF19" s="213"/>
      <c r="AG19" s="213"/>
      <c r="AH19" s="213"/>
      <c r="AI19" s="213"/>
      <c r="AJ19" s="213"/>
      <c r="AK19" s="213"/>
      <c r="AL19" s="213"/>
    </row>
    <row r="20" spans="1:38" ht="13.5" customHeight="1">
      <c r="A20" s="77"/>
      <c r="C20" s="415" t="s">
        <v>137</v>
      </c>
      <c r="D20" s="416">
        <v>28.040559768676701</v>
      </c>
      <c r="E20" s="417">
        <v>27.014989849999999</v>
      </c>
      <c r="F20" s="418">
        <f t="shared" si="0"/>
        <v>3.7962994780718073E-2</v>
      </c>
      <c r="G20" s="137"/>
      <c r="H20" s="262"/>
      <c r="M20" s="641">
        <v>9</v>
      </c>
      <c r="N20" s="642">
        <v>182.64300539999999</v>
      </c>
      <c r="O20" s="642">
        <v>196.47700499999999</v>
      </c>
      <c r="P20" s="642">
        <v>193.21000671386699</v>
      </c>
      <c r="Q20" s="594">
        <v>167.3399963</v>
      </c>
      <c r="R20" s="275"/>
      <c r="S20"/>
      <c r="T20"/>
      <c r="AD20" s="295"/>
      <c r="AE20" s="295"/>
      <c r="AF20" s="213"/>
      <c r="AG20" s="213"/>
      <c r="AH20" s="213"/>
      <c r="AI20" s="213"/>
      <c r="AJ20" s="213"/>
      <c r="AK20" s="213"/>
      <c r="AL20" s="213"/>
    </row>
    <row r="21" spans="1:38" ht="11.25" customHeight="1">
      <c r="A21" s="77"/>
      <c r="C21" s="419" t="s">
        <v>138</v>
      </c>
      <c r="D21" s="420">
        <v>6.9889998435974103</v>
      </c>
      <c r="E21" s="421">
        <v>6.8959999080000003</v>
      </c>
      <c r="F21" s="422">
        <f t="shared" ref="F21:F27" si="1">IF(E21=0,"",(D21-E21)/E21)</f>
        <v>1.3486069727106795E-2</v>
      </c>
      <c r="M21" s="641">
        <v>10</v>
      </c>
      <c r="N21" s="642">
        <v>190.99600219999999</v>
      </c>
      <c r="O21" s="642">
        <v>199.98199460000001</v>
      </c>
      <c r="P21" s="642">
        <v>196.71000670000001</v>
      </c>
      <c r="Q21" s="594">
        <v>164.90809684999999</v>
      </c>
      <c r="R21" s="275"/>
      <c r="S21"/>
      <c r="T21"/>
      <c r="AD21" s="295"/>
      <c r="AE21" s="295"/>
      <c r="AF21" s="213"/>
      <c r="AG21" s="213"/>
      <c r="AH21" s="213"/>
      <c r="AI21" s="213"/>
      <c r="AJ21" s="213"/>
      <c r="AK21" s="213"/>
      <c r="AL21" s="213"/>
    </row>
    <row r="22" spans="1:38" ht="11.25" customHeight="1">
      <c r="A22" s="77"/>
      <c r="C22" s="415" t="s">
        <v>139</v>
      </c>
      <c r="D22" s="416">
        <v>7.1119999885559002</v>
      </c>
      <c r="E22" s="417">
        <v>6.9739999770000001</v>
      </c>
      <c r="F22" s="418">
        <f t="shared" si="1"/>
        <v>1.9787784916980095E-2</v>
      </c>
      <c r="G22" s="137"/>
      <c r="H22" s="262"/>
      <c r="M22" s="641">
        <v>11</v>
      </c>
      <c r="N22" s="642">
        <v>200.89500427246</v>
      </c>
      <c r="O22" s="642">
        <v>200.89500430000001</v>
      </c>
      <c r="P22" s="642">
        <v>203.61799619999999</v>
      </c>
      <c r="Q22" s="634">
        <v>184.82999999999998</v>
      </c>
      <c r="AF22" s="263"/>
      <c r="AG22" s="263"/>
      <c r="AH22" s="263"/>
      <c r="AI22" s="263"/>
      <c r="AJ22" s="263"/>
      <c r="AK22" s="263"/>
      <c r="AL22" s="263"/>
    </row>
    <row r="23" spans="1:38" ht="11.25" customHeight="1">
      <c r="A23" s="77"/>
      <c r="C23" s="419" t="s">
        <v>413</v>
      </c>
      <c r="D23" s="420">
        <v>4.3330001831054599</v>
      </c>
      <c r="E23" s="421">
        <v>3.6019999980000001</v>
      </c>
      <c r="F23" s="422">
        <f t="shared" si="1"/>
        <v>0.20294286105256673</v>
      </c>
      <c r="G23" s="137"/>
      <c r="H23" s="262"/>
      <c r="M23" s="641">
        <v>12</v>
      </c>
      <c r="N23" s="642">
        <v>209.09500120000001</v>
      </c>
      <c r="O23" s="642">
        <v>210.61200000000002</v>
      </c>
      <c r="P23" s="642">
        <v>209.9909973</v>
      </c>
      <c r="Q23" s="634">
        <v>191.4409943</v>
      </c>
      <c r="AF23" s="263"/>
      <c r="AG23" s="263"/>
      <c r="AH23" s="263"/>
      <c r="AI23" s="263"/>
      <c r="AJ23" s="263"/>
      <c r="AK23" s="263"/>
      <c r="AL23" s="263"/>
    </row>
    <row r="24" spans="1:38" ht="11.25" customHeight="1">
      <c r="A24" s="77"/>
      <c r="C24" s="415" t="s">
        <v>140</v>
      </c>
      <c r="D24" s="417">
        <v>221.33000183105401</v>
      </c>
      <c r="E24" s="417">
        <v>225.25399780000001</v>
      </c>
      <c r="F24" s="418">
        <f t="shared" si="1"/>
        <v>-1.7420316652626364E-2</v>
      </c>
      <c r="G24" s="137"/>
      <c r="H24" s="262"/>
      <c r="M24" s="641">
        <v>13</v>
      </c>
      <c r="N24" s="642">
        <v>215.7310028</v>
      </c>
      <c r="O24" s="642">
        <v>221.91900634765599</v>
      </c>
      <c r="P24" s="642">
        <v>219.56300350000001</v>
      </c>
      <c r="Q24" s="634">
        <v>207.84</v>
      </c>
      <c r="AF24" s="263"/>
      <c r="AG24" s="263"/>
      <c r="AH24" s="263"/>
      <c r="AI24" s="263"/>
      <c r="AJ24" s="263"/>
      <c r="AK24" s="263"/>
      <c r="AL24" s="263"/>
    </row>
    <row r="25" spans="1:38" ht="11.25" customHeight="1">
      <c r="A25" s="77"/>
      <c r="C25" s="419" t="s">
        <v>141</v>
      </c>
      <c r="D25" s="421">
        <v>46.400001525878899</v>
      </c>
      <c r="E25" s="421">
        <v>48.476001740000001</v>
      </c>
      <c r="F25" s="422">
        <f t="shared" si="1"/>
        <v>-4.282531849998035E-2</v>
      </c>
      <c r="G25" s="137"/>
      <c r="H25" s="262"/>
      <c r="M25" s="641">
        <v>14</v>
      </c>
      <c r="N25" s="642">
        <v>219.1710052</v>
      </c>
      <c r="O25" s="642">
        <v>223.19599909999999</v>
      </c>
      <c r="P25" s="642">
        <v>225.1629944</v>
      </c>
      <c r="Q25" s="634">
        <v>216.294998168945</v>
      </c>
      <c r="AF25" s="263"/>
      <c r="AG25" s="263"/>
      <c r="AH25" s="263"/>
      <c r="AI25" s="263"/>
      <c r="AJ25" s="263"/>
      <c r="AK25" s="263"/>
      <c r="AL25" s="263"/>
    </row>
    <row r="26" spans="1:38" ht="11.25" customHeight="1">
      <c r="A26" s="77"/>
      <c r="C26" s="415" t="s">
        <v>142</v>
      </c>
      <c r="D26" s="417">
        <v>67.331999999999994</v>
      </c>
      <c r="E26" s="417">
        <v>67.331999999999994</v>
      </c>
      <c r="F26" s="418">
        <f t="shared" si="1"/>
        <v>0</v>
      </c>
      <c r="G26" s="137"/>
      <c r="H26" s="137"/>
      <c r="M26" s="641">
        <v>15</v>
      </c>
      <c r="N26" s="642">
        <v>220.17399599999999</v>
      </c>
      <c r="O26" s="642">
        <v>225.0500031</v>
      </c>
      <c r="P26" s="642">
        <v>224.9100037</v>
      </c>
      <c r="Q26" s="634">
        <v>220.08099369999999</v>
      </c>
      <c r="AF26" s="263"/>
      <c r="AG26" s="263"/>
      <c r="AH26" s="263"/>
      <c r="AI26" s="263"/>
      <c r="AJ26" s="263"/>
      <c r="AK26" s="263"/>
      <c r="AL26" s="263"/>
    </row>
    <row r="27" spans="1:38" ht="11.25" customHeight="1">
      <c r="A27" s="77"/>
      <c r="C27" s="419" t="s">
        <v>143</v>
      </c>
      <c r="D27" s="420">
        <v>379.49700927734301</v>
      </c>
      <c r="E27" s="421">
        <v>370.37100220000002</v>
      </c>
      <c r="F27" s="422">
        <f t="shared" si="1"/>
        <v>2.4640177074162394E-2</v>
      </c>
      <c r="G27" s="137"/>
      <c r="H27" s="137"/>
      <c r="M27" s="641">
        <v>16</v>
      </c>
      <c r="N27" s="642">
        <v>220.3150024</v>
      </c>
      <c r="O27" s="642">
        <v>224.84800720000001</v>
      </c>
      <c r="P27" s="642">
        <v>224.5</v>
      </c>
      <c r="Q27" s="634">
        <v>221.83999633789</v>
      </c>
      <c r="AF27" s="263"/>
      <c r="AG27" s="263"/>
      <c r="AH27" s="263"/>
      <c r="AI27" s="263"/>
      <c r="AJ27" s="263"/>
      <c r="AK27" s="263"/>
      <c r="AL27" s="263"/>
    </row>
    <row r="28" spans="1:38" ht="26.25" customHeight="1">
      <c r="A28" s="77"/>
      <c r="C28" s="859" t="str">
        <f>"Cuadro N°9: Volumen útil de los principales embalses y lagunas del SEIN al término del periodo mensual ("&amp;'1. Resumen'!Q7&amp;" de "&amp;'1. Resumen'!Q4&amp;") "</f>
        <v xml:space="preserve">Cuadro N°9: Volumen útil de los principales embalses y lagunas del SEIN al término del periodo mensual (31 de mayo) </v>
      </c>
      <c r="D28" s="859"/>
      <c r="E28" s="859"/>
      <c r="F28" s="859"/>
      <c r="G28" s="137"/>
      <c r="H28" s="137"/>
      <c r="M28" s="641">
        <v>17</v>
      </c>
      <c r="N28" s="642">
        <v>220.56</v>
      </c>
      <c r="O28" s="642">
        <v>225.27900695800699</v>
      </c>
      <c r="P28" s="642">
        <v>225.58500670000001</v>
      </c>
      <c r="Q28" s="634">
        <v>220.96049318788999</v>
      </c>
      <c r="AF28" s="263"/>
      <c r="AG28" s="263"/>
      <c r="AH28" s="263"/>
      <c r="AI28" s="263"/>
      <c r="AJ28" s="263"/>
      <c r="AK28" s="263"/>
      <c r="AL28" s="263"/>
    </row>
    <row r="29" spans="1:38" ht="12" customHeight="1">
      <c r="A29" s="75"/>
      <c r="G29" s="137"/>
      <c r="H29" s="137"/>
      <c r="I29" s="165"/>
      <c r="J29" s="720"/>
      <c r="M29" s="641">
        <v>18</v>
      </c>
      <c r="N29" s="642">
        <v>224.15199279999999</v>
      </c>
      <c r="O29" s="642">
        <v>226.44200129999999</v>
      </c>
      <c r="P29" s="642">
        <v>225.2599945</v>
      </c>
      <c r="Q29" s="646">
        <v>221.41</v>
      </c>
      <c r="AF29" s="263"/>
      <c r="AG29" s="263"/>
      <c r="AH29" s="263"/>
      <c r="AI29" s="263"/>
      <c r="AJ29" s="263"/>
      <c r="AK29" s="263"/>
      <c r="AL29" s="263"/>
    </row>
    <row r="30" spans="1:38" ht="11.25" customHeight="1">
      <c r="A30" s="75"/>
      <c r="B30" s="171"/>
      <c r="C30" s="171"/>
      <c r="D30" s="171"/>
      <c r="E30" s="171"/>
      <c r="F30" s="169"/>
      <c r="G30" s="137"/>
      <c r="H30" s="137"/>
      <c r="M30" s="641">
        <v>19</v>
      </c>
      <c r="N30" s="642">
        <v>224.378006</v>
      </c>
      <c r="O30" s="642">
        <v>227.14199830000001</v>
      </c>
      <c r="P30" s="642">
        <v>225.3280029</v>
      </c>
      <c r="Q30" s="646">
        <v>222.52999877929599</v>
      </c>
      <c r="AF30" s="263"/>
      <c r="AG30" s="263"/>
      <c r="AH30" s="263"/>
      <c r="AI30" s="263"/>
      <c r="AJ30" s="263"/>
      <c r="AK30" s="263"/>
      <c r="AL30" s="263"/>
    </row>
    <row r="31" spans="1:38" ht="11.25" customHeight="1">
      <c r="A31" s="75"/>
      <c r="B31" s="171"/>
      <c r="C31" s="171"/>
      <c r="D31" s="171"/>
      <c r="E31" s="171"/>
      <c r="F31" s="169"/>
      <c r="G31" s="169"/>
      <c r="H31" s="169"/>
      <c r="I31" s="165"/>
      <c r="J31" s="720"/>
      <c r="M31" s="641">
        <v>20</v>
      </c>
      <c r="N31" s="642">
        <v>224.60401920000001</v>
      </c>
      <c r="O31" s="642">
        <v>227.625</v>
      </c>
      <c r="P31" s="642">
        <v>225.2279968</v>
      </c>
      <c r="Q31" s="646">
        <v>222.47799682617099</v>
      </c>
      <c r="AF31" s="263"/>
      <c r="AG31" s="263"/>
      <c r="AH31" s="263"/>
      <c r="AI31" s="263"/>
      <c r="AJ31" s="263"/>
      <c r="AK31" s="263"/>
      <c r="AL31" s="263"/>
    </row>
    <row r="32" spans="1:38" ht="13.5" customHeight="1">
      <c r="A32" s="858" t="s">
        <v>431</v>
      </c>
      <c r="B32" s="858"/>
      <c r="C32" s="858"/>
      <c r="D32" s="858"/>
      <c r="E32" s="858"/>
      <c r="F32" s="858"/>
      <c r="G32" s="858"/>
      <c r="H32" s="858"/>
      <c r="I32" s="56"/>
      <c r="J32" s="720"/>
      <c r="M32" s="641">
        <v>21</v>
      </c>
      <c r="N32" s="642">
        <v>223.4909973</v>
      </c>
      <c r="O32" s="642">
        <v>227.75800000000001</v>
      </c>
      <c r="P32" s="642">
        <v>225.25399780000001</v>
      </c>
      <c r="Q32" s="646">
        <v>221.33000183105401</v>
      </c>
      <c r="AF32" s="263"/>
      <c r="AG32" s="263"/>
      <c r="AH32" s="263"/>
      <c r="AI32" s="263"/>
      <c r="AJ32" s="263"/>
      <c r="AK32" s="263"/>
      <c r="AL32" s="263"/>
    </row>
    <row r="33" spans="1:38" ht="11.25" customHeight="1">
      <c r="A33" s="75"/>
      <c r="B33" s="82"/>
      <c r="C33" s="82"/>
      <c r="D33" s="82"/>
      <c r="E33" s="82"/>
      <c r="F33" s="82"/>
      <c r="G33" s="82"/>
      <c r="H33" s="82"/>
      <c r="I33" s="56"/>
      <c r="J33" s="720"/>
      <c r="M33" s="641">
        <v>22</v>
      </c>
      <c r="N33" s="642">
        <v>222.62600710000001</v>
      </c>
      <c r="O33" s="642">
        <v>226.41700739999999</v>
      </c>
      <c r="P33" s="642">
        <v>223.9129944</v>
      </c>
      <c r="Q33" s="646">
        <v>221.8000031</v>
      </c>
      <c r="AF33" s="263"/>
      <c r="AG33" s="263"/>
      <c r="AH33" s="263"/>
      <c r="AI33" s="263"/>
      <c r="AJ33" s="263"/>
      <c r="AK33" s="263"/>
      <c r="AL33" s="263"/>
    </row>
    <row r="34" spans="1:38" ht="11.25" customHeight="1">
      <c r="A34" s="75"/>
      <c r="B34" s="82"/>
      <c r="C34" s="82"/>
      <c r="D34" s="82"/>
      <c r="E34" s="82"/>
      <c r="F34" s="82"/>
      <c r="G34" s="82"/>
      <c r="H34" s="82"/>
      <c r="I34" s="56"/>
      <c r="J34" s="720"/>
      <c r="M34" s="641">
        <v>23</v>
      </c>
      <c r="N34" s="642">
        <v>221.62399289999999</v>
      </c>
      <c r="O34" s="642">
        <v>224.4589996</v>
      </c>
      <c r="P34" s="642">
        <v>221.64599609999999</v>
      </c>
      <c r="Q34" s="646"/>
      <c r="AF34" s="263"/>
      <c r="AG34" s="263"/>
      <c r="AH34" s="263"/>
      <c r="AI34" s="263"/>
      <c r="AJ34" s="263"/>
      <c r="AK34" s="263"/>
      <c r="AL34" s="263"/>
    </row>
    <row r="35" spans="1:38" ht="11.25" customHeight="1">
      <c r="A35" s="75"/>
      <c r="B35" s="82"/>
      <c r="C35" s="82"/>
      <c r="D35" s="82"/>
      <c r="E35" s="82"/>
      <c r="F35" s="82"/>
      <c r="G35" s="82"/>
      <c r="H35" s="82"/>
      <c r="I35" s="166"/>
      <c r="J35" s="720"/>
      <c r="M35" s="641">
        <v>24</v>
      </c>
      <c r="N35" s="642">
        <v>218.3840027</v>
      </c>
      <c r="O35" s="642">
        <v>220.634994506835</v>
      </c>
      <c r="P35" s="642">
        <v>218.4100037</v>
      </c>
      <c r="Q35" s="646"/>
      <c r="AF35" s="263"/>
      <c r="AG35" s="263"/>
      <c r="AH35" s="263"/>
      <c r="AI35" s="263"/>
      <c r="AJ35" s="263"/>
      <c r="AK35" s="263"/>
      <c r="AL35" s="263"/>
    </row>
    <row r="36" spans="1:38" ht="11.25" customHeight="1">
      <c r="A36" s="75"/>
      <c r="B36" s="82"/>
      <c r="C36" s="82"/>
      <c r="D36" s="82"/>
      <c r="E36" s="82"/>
      <c r="F36" s="82"/>
      <c r="G36" s="82"/>
      <c r="H36" s="82"/>
      <c r="I36" s="56"/>
      <c r="J36" s="720"/>
      <c r="M36" s="641">
        <v>25</v>
      </c>
      <c r="N36" s="642">
        <v>215.08099369999999</v>
      </c>
      <c r="O36" s="642">
        <v>218.28599550000001</v>
      </c>
      <c r="P36" s="642">
        <v>215.33500670000001</v>
      </c>
      <c r="Q36" s="646"/>
      <c r="AF36" s="263"/>
      <c r="AG36" s="263"/>
      <c r="AH36" s="263"/>
      <c r="AI36" s="263"/>
      <c r="AJ36" s="263"/>
      <c r="AK36" s="263"/>
      <c r="AL36" s="263"/>
    </row>
    <row r="37" spans="1:38" ht="11.25" customHeight="1">
      <c r="A37" s="75"/>
      <c r="B37" s="82"/>
      <c r="C37" s="82"/>
      <c r="D37" s="82"/>
      <c r="E37" s="82"/>
      <c r="F37" s="82"/>
      <c r="G37" s="82"/>
      <c r="H37" s="82"/>
      <c r="I37" s="56"/>
      <c r="J37" s="721"/>
      <c r="M37" s="641">
        <v>26</v>
      </c>
      <c r="N37" s="642">
        <v>210.41900630000001</v>
      </c>
      <c r="O37" s="642">
        <v>214.90499879999999</v>
      </c>
      <c r="P37" s="642">
        <v>212.2720032</v>
      </c>
      <c r="Q37" s="646"/>
      <c r="AF37" s="263"/>
      <c r="AG37" s="263"/>
      <c r="AH37" s="263"/>
      <c r="AI37" s="263"/>
      <c r="AJ37" s="263"/>
      <c r="AK37" s="263"/>
      <c r="AL37" s="263"/>
    </row>
    <row r="38" spans="1:38" ht="11.25" customHeight="1">
      <c r="A38" s="75"/>
      <c r="B38" s="82"/>
      <c r="C38" s="82"/>
      <c r="D38" s="82"/>
      <c r="E38" s="82"/>
      <c r="F38" s="82"/>
      <c r="G38" s="82"/>
      <c r="H38" s="82"/>
      <c r="I38" s="56"/>
      <c r="J38" s="721"/>
      <c r="M38" s="641">
        <v>27</v>
      </c>
      <c r="N38" s="642">
        <v>204.23</v>
      </c>
      <c r="O38" s="642">
        <v>210.91799926757801</v>
      </c>
      <c r="P38" s="642">
        <v>209.19900509999999</v>
      </c>
      <c r="Q38" s="646"/>
      <c r="AF38" s="263"/>
      <c r="AG38" s="263"/>
      <c r="AH38" s="263"/>
      <c r="AI38" s="263"/>
      <c r="AJ38" s="263"/>
      <c r="AK38" s="263"/>
      <c r="AL38" s="263"/>
    </row>
    <row r="39" spans="1:38" ht="11.25" customHeight="1">
      <c r="A39" s="75"/>
      <c r="B39" s="82"/>
      <c r="C39" s="82"/>
      <c r="D39" s="82"/>
      <c r="E39" s="82"/>
      <c r="F39" s="82"/>
      <c r="G39" s="82"/>
      <c r="H39" s="82"/>
      <c r="I39" s="56"/>
      <c r="J39" s="722"/>
      <c r="M39" s="641">
        <v>28</v>
      </c>
      <c r="N39" s="642">
        <v>201.1309967</v>
      </c>
      <c r="O39" s="644">
        <v>207.96099849999999</v>
      </c>
      <c r="P39" s="644">
        <v>207.8560028</v>
      </c>
      <c r="Q39" s="646"/>
      <c r="AF39" s="263"/>
      <c r="AG39" s="263"/>
      <c r="AH39" s="263"/>
      <c r="AI39" s="263"/>
      <c r="AJ39" s="263"/>
      <c r="AK39" s="263"/>
      <c r="AL39" s="263"/>
    </row>
    <row r="40" spans="1:38" ht="11.25" customHeight="1">
      <c r="A40" s="75"/>
      <c r="B40" s="82"/>
      <c r="C40" s="82"/>
      <c r="D40" s="82"/>
      <c r="E40" s="82"/>
      <c r="F40" s="82"/>
      <c r="G40" s="82"/>
      <c r="H40" s="82"/>
      <c r="I40" s="56"/>
      <c r="J40" s="722"/>
      <c r="M40" s="641">
        <v>29</v>
      </c>
      <c r="N40" s="642">
        <v>196.16000366210901</v>
      </c>
      <c r="O40" s="642">
        <v>205.66700739999999</v>
      </c>
      <c r="P40" s="642">
        <v>200.68699649999999</v>
      </c>
      <c r="Q40" s="646"/>
      <c r="AF40" s="263"/>
      <c r="AG40" s="263"/>
      <c r="AH40" s="263"/>
      <c r="AI40" s="263"/>
      <c r="AJ40" s="263"/>
      <c r="AK40" s="263"/>
      <c r="AL40" s="263"/>
    </row>
    <row r="41" spans="1:38" ht="11.25" customHeight="1">
      <c r="A41" s="75"/>
      <c r="B41" s="82"/>
      <c r="C41" s="82"/>
      <c r="D41" s="82"/>
      <c r="E41" s="82"/>
      <c r="F41" s="82"/>
      <c r="G41" s="82"/>
      <c r="H41" s="82"/>
      <c r="I41" s="56"/>
      <c r="J41" s="722"/>
      <c r="M41" s="641">
        <v>30</v>
      </c>
      <c r="N41" s="642">
        <v>193.86</v>
      </c>
      <c r="O41" s="642">
        <v>197.3999939</v>
      </c>
      <c r="P41" s="642">
        <v>197.3999939</v>
      </c>
      <c r="Q41" s="646"/>
      <c r="AF41" s="263"/>
      <c r="AG41" s="263"/>
      <c r="AH41" s="263"/>
      <c r="AI41" s="263"/>
      <c r="AJ41" s="263"/>
      <c r="AK41" s="263"/>
      <c r="AL41" s="263"/>
    </row>
    <row r="42" spans="1:38" ht="11.25" customHeight="1">
      <c r="A42" s="75"/>
      <c r="B42" s="82"/>
      <c r="C42" s="82"/>
      <c r="D42" s="82"/>
      <c r="E42" s="82"/>
      <c r="F42" s="82"/>
      <c r="G42" s="82"/>
      <c r="H42" s="82"/>
      <c r="I42" s="166"/>
      <c r="J42" s="721"/>
      <c r="M42" s="641">
        <v>31</v>
      </c>
      <c r="N42" s="642">
        <v>186.24800110000001</v>
      </c>
      <c r="O42" s="642">
        <v>194.98199460000001</v>
      </c>
      <c r="P42" s="642">
        <v>193.71000670000001</v>
      </c>
      <c r="Q42" s="646"/>
      <c r="AF42" s="263"/>
      <c r="AG42" s="263"/>
      <c r="AH42" s="263"/>
      <c r="AI42" s="263"/>
      <c r="AJ42" s="263"/>
      <c r="AK42" s="263"/>
      <c r="AL42" s="263"/>
    </row>
    <row r="43" spans="1:38" ht="11.25" customHeight="1">
      <c r="A43" s="75"/>
      <c r="B43" s="82"/>
      <c r="C43" s="82"/>
      <c r="D43" s="82"/>
      <c r="E43" s="82"/>
      <c r="F43" s="82"/>
      <c r="G43" s="82"/>
      <c r="H43" s="82"/>
      <c r="I43" s="56"/>
      <c r="J43" s="721"/>
      <c r="M43" s="641">
        <v>32</v>
      </c>
      <c r="N43" s="642">
        <v>182.40899659999999</v>
      </c>
      <c r="O43" s="642">
        <v>190.13999938964801</v>
      </c>
      <c r="P43" s="642">
        <v>187.46000670000001</v>
      </c>
      <c r="AF43" s="263"/>
      <c r="AG43" s="263"/>
      <c r="AH43" s="263"/>
      <c r="AI43" s="263"/>
      <c r="AJ43" s="263"/>
      <c r="AK43" s="263"/>
      <c r="AL43" s="263"/>
    </row>
    <row r="44" spans="1:38" ht="11.25" customHeight="1">
      <c r="A44" s="75"/>
      <c r="B44" s="82"/>
      <c r="C44" s="82"/>
      <c r="D44" s="82"/>
      <c r="E44" s="82"/>
      <c r="F44" s="82"/>
      <c r="G44" s="82"/>
      <c r="H44" s="82"/>
      <c r="I44" s="56"/>
      <c r="J44" s="721"/>
      <c r="M44" s="641">
        <v>33</v>
      </c>
      <c r="N44" s="642">
        <v>178.6940002</v>
      </c>
      <c r="O44" s="642">
        <v>186.17300420000001</v>
      </c>
      <c r="P44" s="642">
        <v>186.17300420000001</v>
      </c>
      <c r="AF44" s="263"/>
      <c r="AG44" s="263"/>
      <c r="AH44" s="263"/>
      <c r="AI44" s="263"/>
      <c r="AJ44" s="263"/>
      <c r="AK44" s="263"/>
      <c r="AL44" s="263"/>
    </row>
    <row r="45" spans="1:38" ht="11.25" customHeight="1">
      <c r="A45" s="75"/>
      <c r="B45" s="82"/>
      <c r="C45" s="82"/>
      <c r="D45" s="82"/>
      <c r="E45" s="82"/>
      <c r="F45" s="82"/>
      <c r="G45" s="82"/>
      <c r="H45" s="82"/>
      <c r="I45" s="59"/>
      <c r="J45" s="723"/>
      <c r="M45" s="641">
        <v>34</v>
      </c>
      <c r="N45" s="642">
        <v>173.61300660000001</v>
      </c>
      <c r="O45" s="642">
        <v>183.14799500000001</v>
      </c>
      <c r="P45" s="642">
        <v>181.1710052</v>
      </c>
      <c r="AF45" s="263"/>
      <c r="AG45" s="263"/>
      <c r="AH45" s="263"/>
      <c r="AI45" s="263"/>
      <c r="AJ45" s="263"/>
      <c r="AK45" s="263"/>
      <c r="AL45" s="263"/>
    </row>
    <row r="46" spans="1:38" ht="11.25" customHeight="1">
      <c r="A46" s="75"/>
      <c r="B46" s="82"/>
      <c r="C46" s="82"/>
      <c r="D46" s="82"/>
      <c r="E46" s="82"/>
      <c r="F46" s="82"/>
      <c r="G46" s="82"/>
      <c r="H46" s="82"/>
      <c r="I46" s="59"/>
      <c r="J46" s="723"/>
      <c r="M46" s="641">
        <v>35</v>
      </c>
      <c r="N46" s="645">
        <v>170.0189972</v>
      </c>
      <c r="O46" s="642">
        <v>175.24000549316401</v>
      </c>
      <c r="P46" s="642">
        <v>176.38999939999999</v>
      </c>
      <c r="AF46" s="263"/>
      <c r="AG46" s="263"/>
      <c r="AH46" s="263"/>
      <c r="AI46" s="263"/>
      <c r="AJ46" s="263"/>
      <c r="AK46" s="263"/>
      <c r="AL46" s="263"/>
    </row>
    <row r="47" spans="1:38" ht="11.25" customHeight="1">
      <c r="A47" s="75"/>
      <c r="B47" s="82"/>
      <c r="C47" s="82"/>
      <c r="D47" s="82"/>
      <c r="E47" s="82"/>
      <c r="F47" s="82"/>
      <c r="G47" s="82"/>
      <c r="H47" s="82"/>
      <c r="I47" s="59"/>
      <c r="J47" s="723"/>
      <c r="M47" s="641">
        <v>36</v>
      </c>
      <c r="N47" s="645">
        <v>166.0690002</v>
      </c>
      <c r="O47" s="642">
        <v>171.61000061035099</v>
      </c>
      <c r="P47" s="642">
        <v>173.66999820000001</v>
      </c>
      <c r="AF47" s="263"/>
      <c r="AG47" s="263"/>
      <c r="AH47" s="263"/>
      <c r="AI47" s="263"/>
      <c r="AJ47" s="263"/>
      <c r="AK47" s="263"/>
      <c r="AL47" s="263"/>
    </row>
    <row r="48" spans="1:38" ht="11.25" customHeight="1">
      <c r="A48" s="75"/>
      <c r="B48" s="82"/>
      <c r="C48" s="82"/>
      <c r="D48" s="82"/>
      <c r="E48" s="82"/>
      <c r="F48" s="82"/>
      <c r="G48" s="82"/>
      <c r="H48" s="82"/>
      <c r="I48" s="59"/>
      <c r="J48" s="723"/>
      <c r="M48" s="641">
        <v>37</v>
      </c>
      <c r="N48" s="642">
        <v>159.17399599999999</v>
      </c>
      <c r="O48" s="642">
        <v>167.78999328613199</v>
      </c>
      <c r="P48" s="642">
        <v>170.7400055</v>
      </c>
      <c r="AF48" s="263"/>
      <c r="AG48" s="263"/>
      <c r="AH48" s="263"/>
      <c r="AI48" s="263"/>
      <c r="AJ48" s="263"/>
      <c r="AK48" s="263"/>
      <c r="AL48" s="263"/>
    </row>
    <row r="49" spans="1:38" ht="11.25" customHeight="1">
      <c r="A49" s="75"/>
      <c r="B49" s="82"/>
      <c r="C49" s="82"/>
      <c r="D49" s="82"/>
      <c r="E49" s="82"/>
      <c r="F49" s="82"/>
      <c r="G49" s="82"/>
      <c r="H49" s="82"/>
      <c r="I49" s="59"/>
      <c r="J49" s="723"/>
      <c r="M49" s="641">
        <v>38</v>
      </c>
      <c r="N49" s="642">
        <v>157.84</v>
      </c>
      <c r="O49" s="642">
        <v>170.03999328613199</v>
      </c>
      <c r="P49" s="642">
        <v>167.64599609999999</v>
      </c>
      <c r="AF49" s="263"/>
      <c r="AG49" s="263"/>
      <c r="AH49" s="263"/>
      <c r="AI49" s="263"/>
      <c r="AJ49" s="263"/>
      <c r="AK49" s="263"/>
      <c r="AL49" s="263"/>
    </row>
    <row r="50" spans="1:38" ht="13.2">
      <c r="A50" s="75"/>
      <c r="B50" s="82"/>
      <c r="C50" s="82"/>
      <c r="D50" s="82"/>
      <c r="E50" s="82"/>
      <c r="F50" s="82"/>
      <c r="G50" s="82"/>
      <c r="H50" s="82"/>
      <c r="I50" s="59"/>
      <c r="J50" s="723"/>
      <c r="M50" s="641">
        <v>39</v>
      </c>
      <c r="N50" s="642">
        <v>156.28199768066401</v>
      </c>
      <c r="O50" s="642">
        <v>159.69</v>
      </c>
      <c r="P50" s="642">
        <v>157.6900024</v>
      </c>
      <c r="AF50" s="263"/>
      <c r="AG50" s="263"/>
      <c r="AH50" s="263"/>
      <c r="AI50" s="263"/>
      <c r="AJ50" s="263"/>
      <c r="AK50" s="263"/>
      <c r="AL50" s="263"/>
    </row>
    <row r="51" spans="1:38" ht="10.5" customHeight="1">
      <c r="A51" s="75"/>
      <c r="B51" s="82"/>
      <c r="C51" s="82"/>
      <c r="D51" s="82"/>
      <c r="E51" s="82"/>
      <c r="F51" s="82"/>
      <c r="G51" s="82"/>
      <c r="H51" s="82"/>
      <c r="I51" s="59"/>
      <c r="J51" s="723"/>
      <c r="M51" s="641">
        <v>40</v>
      </c>
      <c r="N51" s="642">
        <v>148.3529968</v>
      </c>
      <c r="O51" s="642">
        <v>150.2969971</v>
      </c>
      <c r="P51" s="642">
        <v>154.1900024</v>
      </c>
      <c r="AF51" s="263"/>
      <c r="AG51" s="263"/>
      <c r="AH51" s="263"/>
      <c r="AI51" s="263"/>
      <c r="AJ51" s="263"/>
      <c r="AK51" s="263"/>
      <c r="AL51" s="263"/>
    </row>
    <row r="52" spans="1:38" ht="13.2">
      <c r="A52" s="75"/>
      <c r="B52" s="82"/>
      <c r="C52" s="82"/>
      <c r="D52" s="82"/>
      <c r="E52" s="82"/>
      <c r="F52" s="82"/>
      <c r="G52" s="82"/>
      <c r="H52" s="82"/>
      <c r="I52" s="59"/>
      <c r="J52" s="723"/>
      <c r="M52" s="641">
        <v>41</v>
      </c>
      <c r="N52" s="642">
        <v>151.04400630000001</v>
      </c>
      <c r="O52" s="642">
        <v>146.7689972</v>
      </c>
      <c r="P52" s="642">
        <v>148.9620056</v>
      </c>
      <c r="AF52" s="263"/>
      <c r="AG52" s="263"/>
      <c r="AH52" s="263"/>
      <c r="AI52" s="263"/>
      <c r="AJ52" s="263"/>
      <c r="AK52" s="263"/>
      <c r="AL52" s="263"/>
    </row>
    <row r="53" spans="1:38" ht="13.2">
      <c r="A53" s="75"/>
      <c r="B53" s="82"/>
      <c r="C53" s="82"/>
      <c r="D53" s="82"/>
      <c r="E53" s="82"/>
      <c r="F53" s="82"/>
      <c r="G53" s="82"/>
      <c r="H53" s="82"/>
      <c r="I53" s="59"/>
      <c r="J53" s="723"/>
      <c r="M53" s="641">
        <v>42</v>
      </c>
      <c r="N53" s="642">
        <v>146.53</v>
      </c>
      <c r="O53" s="642">
        <v>142.69900512695301</v>
      </c>
      <c r="P53" s="642">
        <v>144.58599849999999</v>
      </c>
      <c r="AF53" s="263"/>
      <c r="AG53" s="263"/>
      <c r="AH53" s="263"/>
      <c r="AI53" s="263"/>
      <c r="AJ53" s="263"/>
      <c r="AK53" s="263"/>
      <c r="AL53" s="263"/>
    </row>
    <row r="54" spans="1:38" ht="13.2">
      <c r="A54" s="75"/>
      <c r="B54" s="82"/>
      <c r="C54" s="82"/>
      <c r="D54" s="82"/>
      <c r="E54" s="82"/>
      <c r="F54" s="82"/>
      <c r="G54" s="82"/>
      <c r="H54" s="82"/>
      <c r="I54" s="59"/>
      <c r="J54" s="723"/>
      <c r="M54" s="641">
        <v>43</v>
      </c>
      <c r="N54" s="642">
        <v>137.7400055</v>
      </c>
      <c r="O54" s="642">
        <v>135.75</v>
      </c>
      <c r="P54" s="642">
        <v>140.38000489999999</v>
      </c>
      <c r="AF54" s="263"/>
      <c r="AG54" s="263"/>
      <c r="AH54" s="263"/>
      <c r="AI54" s="263"/>
      <c r="AJ54" s="263"/>
      <c r="AK54" s="263"/>
      <c r="AL54" s="263"/>
    </row>
    <row r="55" spans="1:38" ht="13.2">
      <c r="A55" s="75"/>
      <c r="B55" s="82"/>
      <c r="C55" s="82"/>
      <c r="D55" s="82"/>
      <c r="E55" s="82"/>
      <c r="F55" s="82"/>
      <c r="G55" s="82"/>
      <c r="H55" s="82"/>
      <c r="I55" s="59"/>
      <c r="J55" s="723"/>
      <c r="M55" s="641">
        <v>44</v>
      </c>
      <c r="N55" s="642">
        <v>133.1380005</v>
      </c>
      <c r="O55" s="642">
        <v>130.27000430000001</v>
      </c>
      <c r="P55" s="642">
        <v>133.1060028</v>
      </c>
      <c r="AF55" s="263"/>
      <c r="AG55" s="263"/>
      <c r="AH55" s="263"/>
      <c r="AI55" s="263"/>
      <c r="AJ55" s="263"/>
      <c r="AK55" s="263"/>
      <c r="AL55" s="263"/>
    </row>
    <row r="56" spans="1:38" ht="13.2">
      <c r="A56" s="75"/>
      <c r="B56" s="82"/>
      <c r="C56" s="82"/>
      <c r="D56" s="82"/>
      <c r="E56" s="82"/>
      <c r="F56" s="82"/>
      <c r="G56" s="82"/>
      <c r="H56" s="82"/>
      <c r="I56" s="59"/>
      <c r="J56" s="723"/>
      <c r="M56" s="641">
        <v>45</v>
      </c>
      <c r="N56" s="642">
        <v>125.7330017</v>
      </c>
      <c r="O56" s="642">
        <v>124.5780029</v>
      </c>
      <c r="P56" s="642">
        <v>128.5500031</v>
      </c>
      <c r="AF56" s="263"/>
      <c r="AG56" s="263"/>
      <c r="AH56" s="263"/>
      <c r="AI56" s="263"/>
      <c r="AJ56" s="263"/>
      <c r="AK56" s="263"/>
      <c r="AL56" s="263"/>
    </row>
    <row r="57" spans="1:38" ht="13.2">
      <c r="A57" s="75"/>
      <c r="B57" s="82"/>
      <c r="C57" s="82"/>
      <c r="D57" s="82"/>
      <c r="E57" s="82"/>
      <c r="F57" s="82"/>
      <c r="G57" s="82"/>
      <c r="H57" s="82"/>
      <c r="M57" s="641">
        <v>46</v>
      </c>
      <c r="N57" s="642">
        <v>125.2030029</v>
      </c>
      <c r="O57" s="642">
        <v>120.7269974</v>
      </c>
      <c r="P57" s="642">
        <v>123.4499969</v>
      </c>
      <c r="AF57" s="263"/>
      <c r="AG57" s="263"/>
      <c r="AH57" s="263"/>
      <c r="AI57" s="263"/>
      <c r="AJ57" s="263"/>
      <c r="AK57" s="263"/>
      <c r="AL57" s="263"/>
    </row>
    <row r="58" spans="1:38" ht="13.2">
      <c r="A58" s="75"/>
      <c r="B58" s="82"/>
      <c r="C58" s="82"/>
      <c r="D58" s="82"/>
      <c r="E58" s="82"/>
      <c r="F58" s="82"/>
      <c r="G58" s="82"/>
      <c r="H58" s="82"/>
      <c r="M58" s="641">
        <v>47</v>
      </c>
      <c r="N58" s="642">
        <v>120.5130005</v>
      </c>
      <c r="O58" s="642">
        <v>113.7900009</v>
      </c>
      <c r="P58" s="642">
        <v>121.12899779999999</v>
      </c>
      <c r="AF58" s="263"/>
      <c r="AG58" s="263"/>
      <c r="AH58" s="263"/>
      <c r="AI58" s="263"/>
      <c r="AJ58" s="263"/>
      <c r="AK58" s="263"/>
      <c r="AL58" s="263"/>
    </row>
    <row r="59" spans="1:38" ht="13.2">
      <c r="A59" s="260" t="s">
        <v>557</v>
      </c>
      <c r="B59" s="82"/>
      <c r="C59" s="82"/>
      <c r="D59" s="82"/>
      <c r="E59" s="82"/>
      <c r="F59" s="82"/>
      <c r="G59" s="82"/>
      <c r="H59" s="82"/>
      <c r="M59" s="641">
        <v>48</v>
      </c>
      <c r="N59" s="642">
        <v>119.3089981</v>
      </c>
      <c r="O59" s="642">
        <v>104.1470032</v>
      </c>
      <c r="P59" s="642">
        <v>122.5419998</v>
      </c>
      <c r="AF59" s="263"/>
      <c r="AG59" s="263"/>
      <c r="AH59" s="263"/>
      <c r="AI59" s="263"/>
      <c r="AJ59" s="263"/>
      <c r="AK59" s="263"/>
      <c r="AL59" s="263"/>
    </row>
    <row r="60" spans="1:38" ht="13.2">
      <c r="A60" s="54"/>
      <c r="B60" s="82"/>
      <c r="C60" s="82"/>
      <c r="D60" s="82"/>
      <c r="E60" s="82"/>
      <c r="F60" s="82"/>
      <c r="G60" s="82"/>
      <c r="H60" s="82"/>
      <c r="M60" s="641">
        <v>49</v>
      </c>
      <c r="N60" s="642">
        <v>119.33200069999999</v>
      </c>
      <c r="O60" s="642">
        <v>104.8560028</v>
      </c>
      <c r="P60" s="642">
        <v>129.1600037</v>
      </c>
      <c r="AF60" s="263"/>
      <c r="AG60" s="263"/>
      <c r="AH60" s="263"/>
      <c r="AI60" s="263"/>
      <c r="AJ60" s="263"/>
      <c r="AK60" s="263"/>
      <c r="AL60" s="263"/>
    </row>
    <row r="61" spans="1:38" ht="10.8">
      <c r="M61" s="641">
        <v>50</v>
      </c>
      <c r="N61" s="642">
        <v>135.91499329999999</v>
      </c>
      <c r="O61" s="642">
        <v>105.70500180000001</v>
      </c>
      <c r="P61" s="642">
        <v>131.85099790000001</v>
      </c>
      <c r="AD61" s="295"/>
      <c r="AE61" s="295"/>
      <c r="AF61" s="213"/>
      <c r="AG61" s="213"/>
      <c r="AH61" s="213"/>
      <c r="AI61" s="213"/>
      <c r="AJ61" s="213"/>
      <c r="AK61" s="213"/>
      <c r="AL61" s="213"/>
    </row>
    <row r="62" spans="1:38" ht="10.8">
      <c r="M62" s="641">
        <v>51</v>
      </c>
      <c r="N62" s="642">
        <v>131.21000670000001</v>
      </c>
      <c r="O62" s="642">
        <v>110.41200259999999</v>
      </c>
      <c r="P62" s="642">
        <v>128.24499510000001</v>
      </c>
      <c r="AD62" s="295"/>
      <c r="AE62" s="295"/>
      <c r="AF62" s="213"/>
      <c r="AG62" s="213"/>
      <c r="AH62" s="213"/>
      <c r="AI62" s="213"/>
      <c r="AJ62" s="213"/>
      <c r="AK62" s="213"/>
      <c r="AL62" s="213"/>
    </row>
    <row r="63" spans="1:38" ht="10.8">
      <c r="M63" s="641">
        <v>52</v>
      </c>
      <c r="N63" s="642">
        <v>139.86399840000001</v>
      </c>
      <c r="O63" s="642">
        <v>119.1200027</v>
      </c>
      <c r="P63" s="642">
        <v>127.295997619628</v>
      </c>
      <c r="AD63" s="295"/>
      <c r="AE63" s="295"/>
      <c r="AF63" s="213"/>
      <c r="AG63" s="213"/>
      <c r="AH63" s="213"/>
      <c r="AI63" s="213"/>
      <c r="AJ63" s="213"/>
      <c r="AK63" s="213"/>
      <c r="AL63" s="213"/>
    </row>
    <row r="64" spans="1:38" ht="10.8">
      <c r="M64" s="641">
        <v>53</v>
      </c>
      <c r="N64" s="642">
        <v>146.8090057</v>
      </c>
      <c r="O64" s="642"/>
      <c r="P64" s="762"/>
      <c r="AD64" s="295"/>
      <c r="AE64" s="295"/>
      <c r="AF64" s="213"/>
      <c r="AG64" s="213"/>
      <c r="AH64" s="213"/>
      <c r="AI64" s="213"/>
      <c r="AJ64" s="213"/>
      <c r="AK64" s="213"/>
      <c r="AL64" s="213"/>
    </row>
    <row r="65" spans="13:38">
      <c r="M65" s="275"/>
      <c r="N65" s="275"/>
      <c r="O65" s="275"/>
      <c r="P65" s="275"/>
      <c r="Q65" s="275"/>
      <c r="R65" s="275"/>
      <c r="S65"/>
      <c r="T65"/>
      <c r="AD65" s="295"/>
      <c r="AE65" s="295"/>
      <c r="AF65" s="213"/>
      <c r="AG65" s="213"/>
      <c r="AH65" s="213"/>
      <c r="AI65" s="213"/>
      <c r="AJ65" s="213"/>
      <c r="AK65" s="213"/>
      <c r="AL65" s="213"/>
    </row>
  </sheetData>
  <mergeCells count="4">
    <mergeCell ref="A2:H2"/>
    <mergeCell ref="A4:H4"/>
    <mergeCell ref="C28:F28"/>
    <mergeCell ref="A32:H32"/>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E63"/>
  <sheetViews>
    <sheetView showGridLines="0" view="pageBreakPreview" zoomScaleNormal="100" zoomScaleSheetLayoutView="100" zoomScalePageLayoutView="90" workbookViewId="0">
      <selection activeCell="R35" sqref="R35"/>
    </sheetView>
  </sheetViews>
  <sheetFormatPr baseColWidth="10" defaultColWidth="9.28515625" defaultRowHeight="10.199999999999999"/>
  <cols>
    <col min="10" max="11" width="9.28515625" customWidth="1"/>
    <col min="13" max="13" width="9.28515625" style="681"/>
    <col min="14" max="24" width="9.28515625" style="275"/>
    <col min="25" max="31" width="9.28515625" style="681"/>
  </cols>
  <sheetData>
    <row r="1" spans="1:23" ht="11.25" customHeight="1"/>
    <row r="2" spans="1:23" ht="11.25" customHeight="1">
      <c r="A2" s="286"/>
      <c r="B2" s="292"/>
      <c r="C2" s="292"/>
      <c r="D2" s="292"/>
      <c r="E2" s="292"/>
      <c r="F2" s="292"/>
      <c r="G2" s="293"/>
      <c r="H2" s="293"/>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39" t="s">
        <v>258</v>
      </c>
      <c r="T4" s="725" t="s">
        <v>259</v>
      </c>
    </row>
    <row r="5" spans="1:23" ht="11.25" customHeight="1">
      <c r="A5" s="860"/>
      <c r="B5" s="860"/>
      <c r="C5" s="860"/>
      <c r="D5" s="860"/>
      <c r="E5" s="860"/>
      <c r="F5" s="860"/>
      <c r="G5" s="860"/>
      <c r="H5" s="860"/>
      <c r="I5" s="860"/>
      <c r="J5" s="12"/>
      <c r="K5" s="12"/>
      <c r="L5" s="8"/>
      <c r="O5" s="640">
        <v>2019</v>
      </c>
      <c r="P5" s="640">
        <v>2020</v>
      </c>
      <c r="Q5" s="640">
        <v>2021</v>
      </c>
      <c r="R5" s="640">
        <v>2022</v>
      </c>
      <c r="T5" s="640">
        <v>2019</v>
      </c>
      <c r="U5" s="640">
        <v>2020</v>
      </c>
      <c r="V5" s="640">
        <v>2021</v>
      </c>
      <c r="W5" s="640">
        <v>2022</v>
      </c>
    </row>
    <row r="6" spans="1:23" ht="11.25" customHeight="1">
      <c r="A6" s="17"/>
      <c r="B6" s="157"/>
      <c r="C6" s="68"/>
      <c r="D6" s="69"/>
      <c r="E6" s="69"/>
      <c r="F6" s="70"/>
      <c r="G6" s="66"/>
      <c r="H6" s="66"/>
      <c r="I6" s="71"/>
      <c r="J6" s="12"/>
      <c r="K6" s="12"/>
      <c r="L6" s="5"/>
      <c r="N6" s="641">
        <v>1</v>
      </c>
      <c r="O6" s="642">
        <v>71.125</v>
      </c>
      <c r="P6" s="642">
        <v>133.42999267578099</v>
      </c>
      <c r="Q6" s="726">
        <v>78.003997799999993</v>
      </c>
      <c r="R6" s="727">
        <v>35.493000029999997</v>
      </c>
      <c r="S6" s="641">
        <v>1</v>
      </c>
      <c r="T6" s="642">
        <v>190.20000426299998</v>
      </c>
      <c r="U6" s="642">
        <v>186.65300035476668</v>
      </c>
      <c r="V6" s="726">
        <v>222.16899967999998</v>
      </c>
      <c r="W6" s="727">
        <v>204.009998798</v>
      </c>
    </row>
    <row r="7" spans="1:23" ht="11.25" customHeight="1">
      <c r="A7" s="17"/>
      <c r="B7" s="861"/>
      <c r="C7" s="861"/>
      <c r="D7" s="158"/>
      <c r="E7" s="158"/>
      <c r="F7" s="70"/>
      <c r="G7" s="66"/>
      <c r="H7" s="66"/>
      <c r="I7" s="71"/>
      <c r="J7" s="3"/>
      <c r="K7" s="3"/>
      <c r="L7" s="15"/>
      <c r="N7" s="641">
        <v>2</v>
      </c>
      <c r="O7" s="642">
        <v>79.228996280000004</v>
      </c>
      <c r="P7" s="642">
        <v>141.27299500000001</v>
      </c>
      <c r="Q7" s="726">
        <v>98.037002560000005</v>
      </c>
      <c r="R7" s="727">
        <v>56.155998230000002</v>
      </c>
      <c r="S7" s="641">
        <v>2</v>
      </c>
      <c r="T7" s="642">
        <v>185.80498987600001</v>
      </c>
      <c r="U7" s="642">
        <v>194.494995117</v>
      </c>
      <c r="V7" s="726">
        <v>243.88599584999997</v>
      </c>
      <c r="W7" s="727">
        <v>226.30700303700002</v>
      </c>
    </row>
    <row r="8" spans="1:23" ht="11.25" customHeight="1">
      <c r="A8" s="17"/>
      <c r="B8" s="159"/>
      <c r="C8" s="39"/>
      <c r="D8" s="160"/>
      <c r="E8" s="160"/>
      <c r="F8" s="70"/>
      <c r="G8" s="66"/>
      <c r="H8" s="66"/>
      <c r="I8" s="71"/>
      <c r="J8" s="4"/>
      <c r="K8" s="4"/>
      <c r="L8" s="12"/>
      <c r="N8" s="641">
        <v>3</v>
      </c>
      <c r="O8" s="642">
        <v>106.65</v>
      </c>
      <c r="P8" s="642">
        <v>151.56199649999999</v>
      </c>
      <c r="Q8" s="726">
        <v>137.10699460000001</v>
      </c>
      <c r="R8" s="727">
        <v>68.723999019999994</v>
      </c>
      <c r="S8" s="641">
        <v>3</v>
      </c>
      <c r="T8" s="642">
        <v>190.06000000000003</v>
      </c>
      <c r="U8" s="642">
        <v>212.15300178999999</v>
      </c>
      <c r="V8" s="726">
        <v>260.96799851000003</v>
      </c>
      <c r="W8" s="727">
        <v>246.70599747499998</v>
      </c>
    </row>
    <row r="9" spans="1:23" ht="11.25" customHeight="1">
      <c r="A9" s="17"/>
      <c r="B9" s="159"/>
      <c r="C9" s="39"/>
      <c r="D9" s="160"/>
      <c r="E9" s="160"/>
      <c r="F9" s="70"/>
      <c r="G9" s="66"/>
      <c r="H9" s="66"/>
      <c r="I9" s="71"/>
      <c r="J9" s="3"/>
      <c r="K9" s="6"/>
      <c r="L9" s="15"/>
      <c r="N9" s="641">
        <v>4</v>
      </c>
      <c r="O9" s="642">
        <v>140.34500120000001</v>
      </c>
      <c r="P9" s="642">
        <v>167.9100037</v>
      </c>
      <c r="Q9" s="726">
        <v>187.18600459999999</v>
      </c>
      <c r="R9" s="727">
        <v>95.908996579999993</v>
      </c>
      <c r="S9" s="641">
        <v>4</v>
      </c>
      <c r="T9" s="642">
        <v>198.06799936900001</v>
      </c>
      <c r="U9" s="642">
        <v>213.71899984999999</v>
      </c>
      <c r="V9" s="726">
        <v>282.90399740999999</v>
      </c>
      <c r="W9" s="727">
        <v>284.02000140000001</v>
      </c>
    </row>
    <row r="10" spans="1:23" ht="11.25" customHeight="1">
      <c r="A10" s="17"/>
      <c r="B10" s="159"/>
      <c r="C10" s="39"/>
      <c r="D10" s="160"/>
      <c r="E10" s="160"/>
      <c r="F10" s="70"/>
      <c r="G10" s="66"/>
      <c r="H10" s="66"/>
      <c r="I10" s="71"/>
      <c r="J10" s="3"/>
      <c r="K10" s="3"/>
      <c r="L10" s="15"/>
      <c r="N10" s="641">
        <v>5</v>
      </c>
      <c r="O10" s="642">
        <v>186.18299870000001</v>
      </c>
      <c r="P10" s="642">
        <v>209.06850435244098</v>
      </c>
      <c r="Q10" s="726">
        <v>240.25399780000001</v>
      </c>
      <c r="R10" s="727">
        <v>122.54900360000001</v>
      </c>
      <c r="S10" s="641">
        <v>5</v>
      </c>
      <c r="T10" s="642">
        <v>217.55805158600003</v>
      </c>
      <c r="U10" s="642">
        <v>219.56099320000001</v>
      </c>
      <c r="V10" s="726">
        <v>283.46798616000001</v>
      </c>
      <c r="W10" s="727">
        <v>316.55300431000006</v>
      </c>
    </row>
    <row r="11" spans="1:23" ht="11.25" customHeight="1">
      <c r="A11" s="17"/>
      <c r="B11" s="160"/>
      <c r="C11" s="39"/>
      <c r="D11" s="160"/>
      <c r="E11" s="160"/>
      <c r="F11" s="70"/>
      <c r="G11" s="66"/>
      <c r="H11" s="66"/>
      <c r="I11" s="71"/>
      <c r="J11" s="3"/>
      <c r="K11" s="3"/>
      <c r="L11" s="15"/>
      <c r="N11" s="641">
        <v>6</v>
      </c>
      <c r="O11" s="642">
        <v>222.22</v>
      </c>
      <c r="P11" s="642">
        <v>250.22700500488199</v>
      </c>
      <c r="Q11" s="726">
        <v>285.57900999999998</v>
      </c>
      <c r="R11" s="727">
        <v>164.02999879999999</v>
      </c>
      <c r="S11" s="641">
        <v>6</v>
      </c>
      <c r="T11" s="642">
        <v>279.10000000000002</v>
      </c>
      <c r="U11" s="642">
        <v>285.12099838256813</v>
      </c>
      <c r="V11" s="726">
        <v>323.49900059000004</v>
      </c>
      <c r="W11" s="727">
        <v>327.15899755999999</v>
      </c>
    </row>
    <row r="12" spans="1:23" ht="11.25" customHeight="1">
      <c r="A12" s="17"/>
      <c r="B12" s="160"/>
      <c r="C12" s="39"/>
      <c r="D12" s="160"/>
      <c r="E12" s="160"/>
      <c r="F12" s="70"/>
      <c r="G12" s="66"/>
      <c r="H12" s="66"/>
      <c r="I12" s="71"/>
      <c r="J12" s="3"/>
      <c r="K12" s="3"/>
      <c r="L12" s="15"/>
      <c r="N12" s="641">
        <v>7</v>
      </c>
      <c r="O12" s="642">
        <v>277.02099609999999</v>
      </c>
      <c r="P12" s="642">
        <v>274.18798829999997</v>
      </c>
      <c r="Q12" s="726">
        <v>286.72699999999998</v>
      </c>
      <c r="R12" s="727">
        <v>195.61700188</v>
      </c>
      <c r="S12" s="641">
        <v>7</v>
      </c>
      <c r="T12" s="642">
        <v>338.21854399</v>
      </c>
      <c r="U12" s="642">
        <v>329.34199910000001</v>
      </c>
      <c r="V12" s="726">
        <v>323.53270380002277</v>
      </c>
      <c r="W12" s="727">
        <v>354.25649632083298</v>
      </c>
    </row>
    <row r="13" spans="1:23" ht="11.25" customHeight="1">
      <c r="A13" s="17"/>
      <c r="B13" s="160"/>
      <c r="C13" s="39"/>
      <c r="D13" s="160"/>
      <c r="E13" s="160"/>
      <c r="F13" s="70"/>
      <c r="G13" s="66"/>
      <c r="H13" s="66"/>
      <c r="I13" s="71"/>
      <c r="J13" s="4"/>
      <c r="K13" s="4"/>
      <c r="L13" s="12"/>
      <c r="N13" s="641">
        <v>8</v>
      </c>
      <c r="O13" s="642">
        <v>293.06698610000001</v>
      </c>
      <c r="P13" s="642">
        <v>291.3330078125</v>
      </c>
      <c r="Q13" s="726">
        <v>276.42099999999999</v>
      </c>
      <c r="R13" s="727">
        <v>273.05700683593699</v>
      </c>
      <c r="S13" s="641">
        <v>8</v>
      </c>
      <c r="T13" s="642">
        <v>388.64800643000001</v>
      </c>
      <c r="U13" s="642">
        <v>352.60932731628355</v>
      </c>
      <c r="V13" s="726">
        <v>320.11500000000001</v>
      </c>
      <c r="W13" s="727">
        <v>356.44099426269452</v>
      </c>
    </row>
    <row r="14" spans="1:23" ht="11.25" customHeight="1">
      <c r="A14" s="17"/>
      <c r="B14" s="160"/>
      <c r="C14" s="39"/>
      <c r="D14" s="160"/>
      <c r="E14" s="160"/>
      <c r="F14" s="70"/>
      <c r="G14" s="66"/>
      <c r="H14" s="66"/>
      <c r="I14" s="71"/>
      <c r="J14" s="3"/>
      <c r="K14" s="6"/>
      <c r="L14" s="15"/>
      <c r="N14" s="641">
        <v>9</v>
      </c>
      <c r="O14" s="642">
        <v>294.29501340000002</v>
      </c>
      <c r="P14" s="642">
        <v>281.57400510000002</v>
      </c>
      <c r="Q14" s="726">
        <v>271.92898559570301</v>
      </c>
      <c r="R14" s="727">
        <v>291.33300780000002</v>
      </c>
      <c r="S14" s="641">
        <v>9</v>
      </c>
      <c r="T14" s="642">
        <v>377.13099283000003</v>
      </c>
      <c r="U14" s="642">
        <v>377.95000650999998</v>
      </c>
      <c r="V14" s="726">
        <v>323.68899917602516</v>
      </c>
      <c r="W14" s="727">
        <v>371.62199979000002</v>
      </c>
    </row>
    <row r="15" spans="1:23" ht="11.25" customHeight="1">
      <c r="A15" s="17"/>
      <c r="B15" s="160"/>
      <c r="C15" s="39"/>
      <c r="D15" s="160"/>
      <c r="E15" s="160"/>
      <c r="F15" s="70"/>
      <c r="G15" s="66"/>
      <c r="H15" s="66"/>
      <c r="I15" s="71"/>
      <c r="J15" s="3"/>
      <c r="K15" s="6"/>
      <c r="L15" s="15"/>
      <c r="N15" s="641">
        <v>10</v>
      </c>
      <c r="O15" s="642">
        <v>291.91101070000002</v>
      </c>
      <c r="P15" s="642">
        <v>277.58898929999998</v>
      </c>
      <c r="Q15" s="726">
        <v>283.85998540000003</v>
      </c>
      <c r="R15" s="727">
        <v>290.13098150000002</v>
      </c>
      <c r="S15" s="641">
        <v>10</v>
      </c>
      <c r="T15" s="642">
        <v>385.62499995999997</v>
      </c>
      <c r="U15" s="642">
        <v>383.25900259000002</v>
      </c>
      <c r="V15" s="726">
        <v>329.89599799999996</v>
      </c>
      <c r="W15" s="727">
        <v>380.60428970547002</v>
      </c>
    </row>
    <row r="16" spans="1:23" ht="11.25" customHeight="1">
      <c r="A16" s="17"/>
      <c r="B16" s="160"/>
      <c r="C16" s="39"/>
      <c r="D16" s="160"/>
      <c r="E16" s="160"/>
      <c r="F16" s="70"/>
      <c r="G16" s="66"/>
      <c r="H16" s="66"/>
      <c r="I16" s="71"/>
      <c r="J16" s="3"/>
      <c r="K16" s="6"/>
      <c r="L16" s="15"/>
      <c r="N16" s="641">
        <v>11</v>
      </c>
      <c r="O16" s="642">
        <v>301.204986572265</v>
      </c>
      <c r="P16" s="642">
        <v>288.4509888</v>
      </c>
      <c r="Q16" s="726">
        <v>297.12600709999998</v>
      </c>
      <c r="R16" s="643">
        <v>306.47698974609301</v>
      </c>
      <c r="S16" s="641">
        <v>11</v>
      </c>
      <c r="T16" s="642">
        <v>389.38100242614604</v>
      </c>
      <c r="U16" s="642">
        <v>394.92200288000009</v>
      </c>
      <c r="V16" s="726">
        <v>345.04400820999996</v>
      </c>
      <c r="W16" s="727">
        <v>384.68100166320727</v>
      </c>
    </row>
    <row r="17" spans="1:23" ht="11.25" customHeight="1">
      <c r="A17" s="17"/>
      <c r="B17" s="160"/>
      <c r="C17" s="39"/>
      <c r="D17" s="160"/>
      <c r="E17" s="160"/>
      <c r="F17" s="70"/>
      <c r="G17" s="66"/>
      <c r="H17" s="66"/>
      <c r="I17" s="71"/>
      <c r="J17" s="3"/>
      <c r="K17" s="6"/>
      <c r="L17" s="15"/>
      <c r="N17" s="641">
        <v>12</v>
      </c>
      <c r="O17" s="642">
        <v>310.0090027</v>
      </c>
      <c r="P17" s="642">
        <v>295.38400268554602</v>
      </c>
      <c r="Q17" s="726">
        <v>303.54400629999998</v>
      </c>
      <c r="R17" s="643">
        <v>307.06500240000003</v>
      </c>
      <c r="S17" s="641">
        <v>12</v>
      </c>
      <c r="T17" s="642">
        <v>386.27799791999996</v>
      </c>
      <c r="U17" s="642">
        <v>390.290998458861</v>
      </c>
      <c r="V17" s="726">
        <v>376.08100894</v>
      </c>
      <c r="W17" s="727">
        <v>387.41699027999999</v>
      </c>
    </row>
    <row r="18" spans="1:23" ht="11.25" customHeight="1">
      <c r="A18" s="17"/>
      <c r="B18" s="160"/>
      <c r="C18" s="39"/>
      <c r="D18" s="160"/>
      <c r="E18" s="160"/>
      <c r="F18" s="70"/>
      <c r="G18" s="66"/>
      <c r="H18" s="66"/>
      <c r="I18" s="71"/>
      <c r="J18" s="3"/>
      <c r="K18" s="6"/>
      <c r="L18" s="15"/>
      <c r="N18" s="641">
        <v>13</v>
      </c>
      <c r="O18" s="642">
        <v>333.91799930000002</v>
      </c>
      <c r="P18" s="642">
        <v>303.54400634765602</v>
      </c>
      <c r="Q18" s="726">
        <v>310.60000609999997</v>
      </c>
      <c r="R18" s="643">
        <v>308.24</v>
      </c>
      <c r="S18" s="641">
        <v>13</v>
      </c>
      <c r="T18" s="642">
        <v>388.98099517000003</v>
      </c>
      <c r="U18" s="642">
        <v>402.17499160766499</v>
      </c>
      <c r="V18" s="726">
        <v>390.74499132000005</v>
      </c>
      <c r="W18" s="727">
        <v>387.17</v>
      </c>
    </row>
    <row r="19" spans="1:23" ht="11.25" customHeight="1">
      <c r="A19" s="17"/>
      <c r="B19" s="160"/>
      <c r="C19" s="39"/>
      <c r="D19" s="160"/>
      <c r="E19" s="160"/>
      <c r="F19" s="70"/>
      <c r="G19" s="66"/>
      <c r="H19" s="66"/>
      <c r="I19" s="71"/>
      <c r="J19" s="3"/>
      <c r="K19" s="6"/>
      <c r="L19" s="15"/>
      <c r="N19" s="641">
        <v>14</v>
      </c>
      <c r="O19" s="642">
        <v>335.73699950000002</v>
      </c>
      <c r="P19" s="642">
        <v>296.54501340000002</v>
      </c>
      <c r="Q19" s="726">
        <v>310.60000609999997</v>
      </c>
      <c r="R19" s="274">
        <v>316.52200317382801</v>
      </c>
      <c r="S19" s="641">
        <v>14</v>
      </c>
      <c r="T19" s="642">
        <v>393.36499596000004</v>
      </c>
      <c r="U19" s="642">
        <v>398.93495940999998</v>
      </c>
      <c r="V19" s="726">
        <v>396.33900255999993</v>
      </c>
      <c r="W19" s="275">
        <v>389.18700027465661</v>
      </c>
    </row>
    <row r="20" spans="1:23" ht="11.25" customHeight="1">
      <c r="A20" s="17"/>
      <c r="B20" s="160"/>
      <c r="C20" s="39"/>
      <c r="D20" s="160"/>
      <c r="E20" s="160"/>
      <c r="F20" s="70"/>
      <c r="G20" s="66"/>
      <c r="H20" s="66"/>
      <c r="I20" s="71"/>
      <c r="J20" s="3"/>
      <c r="K20" s="6"/>
      <c r="L20" s="15"/>
      <c r="N20" s="641">
        <v>15</v>
      </c>
      <c r="O20" s="642">
        <v>335.73699950000002</v>
      </c>
      <c r="P20" s="642">
        <v>289.60299680000003</v>
      </c>
      <c r="Q20" s="726">
        <v>308.24200439999998</v>
      </c>
      <c r="R20" s="274">
        <v>323.08200069999998</v>
      </c>
      <c r="S20" s="641">
        <v>15</v>
      </c>
      <c r="T20" s="642">
        <v>385.77799804</v>
      </c>
      <c r="U20" s="642">
        <v>388.01895332999999</v>
      </c>
      <c r="V20" s="726">
        <v>407.79200167999994</v>
      </c>
      <c r="W20" s="275">
        <v>391.56700128</v>
      </c>
    </row>
    <row r="21" spans="1:23" ht="11.25" customHeight="1">
      <c r="A21" s="17"/>
      <c r="B21" s="160"/>
      <c r="C21" s="39"/>
      <c r="D21" s="160"/>
      <c r="E21" s="160"/>
      <c r="F21" s="70"/>
      <c r="G21" s="66"/>
      <c r="H21" s="66"/>
      <c r="I21" s="71"/>
      <c r="J21" s="3"/>
      <c r="K21" s="7"/>
      <c r="L21" s="16"/>
      <c r="N21" s="641">
        <v>16</v>
      </c>
      <c r="O21" s="642">
        <v>335.73699950000002</v>
      </c>
      <c r="P21" s="642">
        <v>285.006012</v>
      </c>
      <c r="Q21" s="726">
        <v>302.9590149</v>
      </c>
      <c r="R21" s="274">
        <v>320.093994140625</v>
      </c>
      <c r="S21" s="641">
        <v>16</v>
      </c>
      <c r="T21" s="642">
        <v>385.72399323999997</v>
      </c>
      <c r="U21" s="642">
        <v>383.39695458999995</v>
      </c>
      <c r="V21" s="726">
        <v>404.66700356000001</v>
      </c>
      <c r="W21" s="275">
        <v>387.48099899291947</v>
      </c>
    </row>
    <row r="22" spans="1:23" ht="11.25" customHeight="1">
      <c r="A22" s="77"/>
      <c r="B22" s="160"/>
      <c r="C22" s="39"/>
      <c r="D22" s="160"/>
      <c r="E22" s="160"/>
      <c r="F22" s="70"/>
      <c r="G22" s="66"/>
      <c r="H22" s="66"/>
      <c r="I22" s="71"/>
      <c r="J22" s="3"/>
      <c r="K22" s="6"/>
      <c r="L22" s="15"/>
      <c r="N22" s="641">
        <v>17</v>
      </c>
      <c r="O22" s="642">
        <v>335.73699950000002</v>
      </c>
      <c r="P22" s="642">
        <v>285.00601196289</v>
      </c>
      <c r="Q22" s="726">
        <v>304.71600339999998</v>
      </c>
      <c r="R22" s="274">
        <v>317.51499449062499</v>
      </c>
      <c r="S22" s="641">
        <v>17</v>
      </c>
      <c r="T22" s="642">
        <v>388.74200823000001</v>
      </c>
      <c r="U22" s="642">
        <v>381.56399345397853</v>
      </c>
      <c r="V22" s="726">
        <v>401.20799636000004</v>
      </c>
      <c r="W22" s="275">
        <v>384.68462114530365</v>
      </c>
    </row>
    <row r="23" spans="1:23" ht="11.25" customHeight="1">
      <c r="A23" s="77"/>
      <c r="B23" s="160"/>
      <c r="C23" s="39"/>
      <c r="D23" s="160"/>
      <c r="E23" s="160"/>
      <c r="F23" s="70"/>
      <c r="G23" s="66"/>
      <c r="H23" s="66"/>
      <c r="I23" s="71"/>
      <c r="J23" s="3"/>
      <c r="K23" s="6"/>
      <c r="L23" s="15"/>
      <c r="N23" s="641">
        <v>18</v>
      </c>
      <c r="O23" s="642">
        <v>335.73699950000002</v>
      </c>
      <c r="P23" s="642">
        <v>285.006012</v>
      </c>
      <c r="Q23" s="726">
        <v>301.20498659999998</v>
      </c>
      <c r="R23" s="274">
        <v>286.73</v>
      </c>
      <c r="S23" s="641">
        <v>18</v>
      </c>
      <c r="T23" s="642">
        <v>386.49800113000003</v>
      </c>
      <c r="U23" s="642">
        <v>379.87400246999994</v>
      </c>
      <c r="V23" s="726">
        <v>398.68500135999994</v>
      </c>
      <c r="W23" s="275">
        <v>375.79000000000008</v>
      </c>
    </row>
    <row r="24" spans="1:23" ht="11.25" customHeight="1">
      <c r="A24" s="77"/>
      <c r="B24" s="160"/>
      <c r="C24" s="39"/>
      <c r="D24" s="160"/>
      <c r="E24" s="160"/>
      <c r="F24" s="70"/>
      <c r="G24" s="66"/>
      <c r="H24" s="66"/>
      <c r="I24" s="71"/>
      <c r="J24" s="6"/>
      <c r="K24" s="6"/>
      <c r="L24" s="15"/>
      <c r="N24" s="641">
        <v>19</v>
      </c>
      <c r="O24" s="642">
        <v>314.7409973</v>
      </c>
      <c r="P24" s="642">
        <v>314.7409973</v>
      </c>
      <c r="Q24" s="726">
        <v>301.78900149999998</v>
      </c>
      <c r="R24" s="274">
        <v>294.225006103515</v>
      </c>
      <c r="S24" s="641">
        <v>19</v>
      </c>
      <c r="T24" s="642">
        <v>384.38200000000001</v>
      </c>
      <c r="U24" s="642">
        <v>375.69400404000004</v>
      </c>
      <c r="V24" s="726">
        <v>396.22801973000003</v>
      </c>
      <c r="W24" s="275">
        <v>370.16600227355934</v>
      </c>
    </row>
    <row r="25" spans="1:23" ht="11.25" customHeight="1">
      <c r="A25" s="261" t="s">
        <v>559</v>
      </c>
      <c r="B25" s="160"/>
      <c r="C25" s="39"/>
      <c r="D25" s="160"/>
      <c r="E25" s="160"/>
      <c r="F25" s="70"/>
      <c r="G25" s="66"/>
      <c r="H25" s="66"/>
      <c r="I25" s="71"/>
      <c r="J25" s="3"/>
      <c r="K25" s="7"/>
      <c r="L25" s="16"/>
      <c r="N25" s="728">
        <v>20</v>
      </c>
      <c r="O25" s="642">
        <v>315.3340149</v>
      </c>
      <c r="P25" s="642">
        <v>314.14801030000001</v>
      </c>
      <c r="Q25" s="726">
        <v>305.30300899999997</v>
      </c>
      <c r="R25" s="274">
        <v>298.29000854492102</v>
      </c>
      <c r="S25" s="641">
        <v>20</v>
      </c>
      <c r="T25" s="642">
        <v>381.56399727000002</v>
      </c>
      <c r="U25" s="642">
        <v>370.56599616999995</v>
      </c>
      <c r="V25" s="726">
        <v>391.74099727000004</v>
      </c>
      <c r="W25" s="729">
        <v>364.40299987792889</v>
      </c>
    </row>
    <row r="26" spans="1:23" ht="11.25" customHeight="1">
      <c r="A26" s="54"/>
      <c r="B26" s="160"/>
      <c r="C26" s="39"/>
      <c r="D26" s="160"/>
      <c r="E26" s="160"/>
      <c r="F26" s="70"/>
      <c r="G26" s="66"/>
      <c r="H26" s="66"/>
      <c r="I26" s="71"/>
      <c r="J26" s="4"/>
      <c r="K26" s="6"/>
      <c r="L26" s="15"/>
      <c r="N26" s="641">
        <v>21</v>
      </c>
      <c r="O26" s="642">
        <v>311.78100590000003</v>
      </c>
      <c r="P26" s="642">
        <v>312.37200927734301</v>
      </c>
      <c r="Q26" s="726">
        <v>308.24200439999998</v>
      </c>
      <c r="R26" s="730">
        <v>302.95901489257801</v>
      </c>
      <c r="S26" s="641">
        <v>21</v>
      </c>
      <c r="T26" s="642">
        <v>376.47088237999998</v>
      </c>
      <c r="U26" s="642">
        <v>365.52200794219863</v>
      </c>
      <c r="V26" s="726">
        <v>387.63294980000006</v>
      </c>
      <c r="W26" s="275">
        <v>358.7700004577631</v>
      </c>
    </row>
    <row r="27" spans="1:23" ht="11.25" customHeight="1">
      <c r="A27" s="77"/>
      <c r="B27" s="160"/>
      <c r="C27" s="39"/>
      <c r="D27" s="160"/>
      <c r="E27" s="160"/>
      <c r="F27" s="73"/>
      <c r="G27" s="73"/>
      <c r="H27" s="73"/>
      <c r="I27" s="73"/>
      <c r="J27" s="4"/>
      <c r="K27" s="6"/>
      <c r="L27" s="15"/>
      <c r="N27" s="641">
        <v>22</v>
      </c>
      <c r="O27" s="642">
        <v>310.60000609999997</v>
      </c>
      <c r="P27" s="642">
        <v>310.60000609999997</v>
      </c>
      <c r="Q27" s="726">
        <v>307.6530151</v>
      </c>
      <c r="R27" s="730">
        <v>306.47698969999999</v>
      </c>
      <c r="S27" s="641">
        <v>22</v>
      </c>
      <c r="T27" s="642">
        <v>370.73099807</v>
      </c>
      <c r="U27" s="642">
        <v>359.19900507300002</v>
      </c>
      <c r="V27" s="726">
        <v>383.63200570999999</v>
      </c>
      <c r="W27" s="275">
        <v>353.17899700999999</v>
      </c>
    </row>
    <row r="28" spans="1:23" ht="11.25" customHeight="1">
      <c r="A28" s="77"/>
      <c r="B28" s="160"/>
      <c r="C28" s="39"/>
      <c r="D28" s="160"/>
      <c r="E28" s="160"/>
      <c r="F28" s="73"/>
      <c r="G28" s="73"/>
      <c r="H28" s="73"/>
      <c r="I28" s="73"/>
      <c r="J28" s="4"/>
      <c r="K28" s="6"/>
      <c r="L28" s="15"/>
      <c r="N28" s="641">
        <v>23</v>
      </c>
      <c r="O28" s="642">
        <v>307.06500240000003</v>
      </c>
      <c r="P28" s="642">
        <v>307.06500240000003</v>
      </c>
      <c r="Q28" s="726">
        <v>302.9590149</v>
      </c>
      <c r="R28" s="730"/>
      <c r="S28" s="641">
        <v>23</v>
      </c>
      <c r="T28" s="642">
        <v>363.24299430999997</v>
      </c>
      <c r="U28" s="642">
        <v>354.24799921000005</v>
      </c>
      <c r="V28" s="726">
        <v>379.05501368</v>
      </c>
    </row>
    <row r="29" spans="1:23" ht="11.25" customHeight="1">
      <c r="A29" s="77"/>
      <c r="B29" s="160"/>
      <c r="C29" s="39"/>
      <c r="D29" s="160"/>
      <c r="E29" s="160"/>
      <c r="F29" s="73"/>
      <c r="G29" s="73"/>
      <c r="H29" s="73"/>
      <c r="I29" s="73"/>
      <c r="J29" s="4"/>
      <c r="K29" s="6"/>
      <c r="L29" s="15"/>
      <c r="N29" s="641">
        <v>24</v>
      </c>
      <c r="O29" s="642">
        <v>302.9590149</v>
      </c>
      <c r="P29" s="642">
        <v>300.621002197265</v>
      </c>
      <c r="Q29" s="726">
        <v>291.91101070000002</v>
      </c>
      <c r="R29" s="730"/>
      <c r="S29" s="641">
        <v>24</v>
      </c>
      <c r="T29" s="642">
        <v>357.21200376000002</v>
      </c>
      <c r="U29" s="642">
        <v>348.87000203132561</v>
      </c>
      <c r="V29" s="726">
        <v>374.35099984999999</v>
      </c>
    </row>
    <row r="30" spans="1:23" ht="11.25" customHeight="1">
      <c r="A30" s="74"/>
      <c r="B30" s="73"/>
      <c r="C30" s="73"/>
      <c r="D30" s="73"/>
      <c r="E30" s="73"/>
      <c r="F30" s="73"/>
      <c r="G30" s="73"/>
      <c r="H30" s="73"/>
      <c r="I30" s="73"/>
      <c r="J30" s="3"/>
      <c r="K30" s="6"/>
      <c r="L30" s="15"/>
      <c r="N30" s="641">
        <v>25</v>
      </c>
      <c r="O30" s="642">
        <v>300.0379944</v>
      </c>
      <c r="P30" s="642">
        <v>286.72698969999999</v>
      </c>
      <c r="Q30" s="726">
        <v>282.14498900000001</v>
      </c>
      <c r="R30" s="730"/>
      <c r="S30" s="641">
        <v>25</v>
      </c>
      <c r="T30" s="642">
        <v>352.1909981</v>
      </c>
      <c r="U30" s="642">
        <v>343.83099551700002</v>
      </c>
      <c r="V30" s="726">
        <v>369.41900067</v>
      </c>
    </row>
    <row r="31" spans="1:23" ht="11.25" customHeight="1">
      <c r="A31" s="74"/>
      <c r="B31" s="73"/>
      <c r="C31" s="73"/>
      <c r="D31" s="73"/>
      <c r="E31" s="73"/>
      <c r="F31" s="73"/>
      <c r="G31" s="73"/>
      <c r="H31" s="73"/>
      <c r="I31" s="73"/>
      <c r="J31" s="3"/>
      <c r="K31" s="6"/>
      <c r="L31" s="15"/>
      <c r="N31" s="641">
        <v>26</v>
      </c>
      <c r="O31" s="642">
        <v>296.06698610000001</v>
      </c>
      <c r="P31" s="642">
        <v>266.86801150000002</v>
      </c>
      <c r="Q31" s="726">
        <v>270.23800660000001</v>
      </c>
      <c r="R31" s="730"/>
      <c r="S31" s="641">
        <v>26</v>
      </c>
      <c r="T31" s="642">
        <v>346.62612917400003</v>
      </c>
      <c r="U31" s="642">
        <v>338.47100355099997</v>
      </c>
      <c r="V31" s="726">
        <v>363.95100021999997</v>
      </c>
    </row>
    <row r="32" spans="1:23" ht="11.25" customHeight="1">
      <c r="A32" s="74"/>
      <c r="B32" s="73"/>
      <c r="C32" s="73"/>
      <c r="D32" s="73"/>
      <c r="E32" s="73"/>
      <c r="F32" s="73"/>
      <c r="G32" s="73"/>
      <c r="H32" s="73"/>
      <c r="I32" s="73"/>
      <c r="J32" s="3"/>
      <c r="K32" s="6"/>
      <c r="L32" s="15"/>
      <c r="N32" s="641">
        <v>27</v>
      </c>
      <c r="O32" s="642">
        <v>275.89</v>
      </c>
      <c r="P32" s="642">
        <v>255.73500061035099</v>
      </c>
      <c r="Q32" s="726">
        <v>251.32600400000001</v>
      </c>
      <c r="R32" s="730"/>
      <c r="S32" s="641">
        <v>27</v>
      </c>
      <c r="T32" s="642">
        <v>341.25900444999996</v>
      </c>
      <c r="U32" s="642">
        <v>333.23996639251612</v>
      </c>
      <c r="V32" s="726">
        <v>358.46099474000005</v>
      </c>
    </row>
    <row r="33" spans="1:22" ht="11.25" customHeight="1">
      <c r="A33" s="74"/>
      <c r="B33" s="73"/>
      <c r="C33" s="73"/>
      <c r="D33" s="73"/>
      <c r="E33" s="73"/>
      <c r="F33" s="73"/>
      <c r="G33" s="73"/>
      <c r="H33" s="73"/>
      <c r="I33" s="73"/>
      <c r="J33" s="3"/>
      <c r="K33" s="6"/>
      <c r="L33" s="15"/>
      <c r="N33" s="641">
        <v>28</v>
      </c>
      <c r="O33" s="642">
        <v>248.58200070000001</v>
      </c>
      <c r="P33" s="644">
        <v>244.7590027</v>
      </c>
      <c r="Q33" s="726">
        <v>243.66999820000001</v>
      </c>
      <c r="R33" s="730"/>
      <c r="S33" s="641">
        <v>28</v>
      </c>
      <c r="T33" s="642">
        <v>337.18899436699996</v>
      </c>
      <c r="U33" s="642">
        <v>327.71050074999999</v>
      </c>
      <c r="V33" s="726">
        <v>352.90699958999994</v>
      </c>
    </row>
    <row r="34" spans="1:22" ht="11.25" customHeight="1">
      <c r="A34" s="74"/>
      <c r="B34" s="73"/>
      <c r="C34" s="73"/>
      <c r="D34" s="73"/>
      <c r="E34" s="73"/>
      <c r="F34" s="73"/>
      <c r="G34" s="73"/>
      <c r="H34" s="73"/>
      <c r="I34" s="73"/>
      <c r="J34" s="3"/>
      <c r="K34" s="6"/>
      <c r="L34" s="15"/>
      <c r="N34" s="641">
        <v>29</v>
      </c>
      <c r="O34" s="642">
        <v>238.787994384765</v>
      </c>
      <c r="P34" s="642">
        <v>231.25799559999999</v>
      </c>
      <c r="Q34" s="726">
        <v>236.0899963</v>
      </c>
      <c r="R34" s="730"/>
      <c r="S34" s="641">
        <v>29</v>
      </c>
      <c r="T34" s="642">
        <v>333.50600986443789</v>
      </c>
      <c r="U34" s="642">
        <v>322.11699965099996</v>
      </c>
      <c r="V34" s="726">
        <v>346.83199694000007</v>
      </c>
    </row>
    <row r="35" spans="1:22" ht="11.25" customHeight="1">
      <c r="A35" s="74"/>
      <c r="B35" s="73"/>
      <c r="C35" s="73"/>
      <c r="D35" s="73"/>
      <c r="E35" s="73"/>
      <c r="F35" s="73"/>
      <c r="G35" s="73"/>
      <c r="H35" s="73"/>
      <c r="I35" s="73"/>
      <c r="J35" s="6"/>
      <c r="K35" s="6"/>
      <c r="L35" s="15"/>
      <c r="N35" s="641">
        <v>30</v>
      </c>
      <c r="O35" s="642">
        <v>229.12</v>
      </c>
      <c r="P35" s="642">
        <v>219.58000179999999</v>
      </c>
      <c r="Q35" s="726">
        <v>223.80499270000001</v>
      </c>
      <c r="R35" s="730"/>
      <c r="S35" s="641">
        <v>30</v>
      </c>
      <c r="T35" s="642">
        <v>324.04999999999995</v>
      </c>
      <c r="U35" s="642">
        <v>316.39600081599997</v>
      </c>
      <c r="V35" s="726">
        <v>340.42700004</v>
      </c>
    </row>
    <row r="36" spans="1:22" ht="11.25" customHeight="1">
      <c r="A36" s="74"/>
      <c r="B36" s="73"/>
      <c r="C36" s="73"/>
      <c r="D36" s="73"/>
      <c r="E36" s="73"/>
      <c r="F36" s="73"/>
      <c r="G36" s="73"/>
      <c r="H36" s="73"/>
      <c r="I36" s="73"/>
      <c r="J36" s="3"/>
      <c r="K36" s="6"/>
      <c r="L36" s="15"/>
      <c r="N36" s="641">
        <v>31</v>
      </c>
      <c r="O36" s="642">
        <v>219.05400090000001</v>
      </c>
      <c r="P36" s="642">
        <v>209.128006</v>
      </c>
      <c r="Q36" s="726">
        <v>211.72599790000001</v>
      </c>
      <c r="R36" s="730"/>
      <c r="S36" s="641">
        <v>31</v>
      </c>
      <c r="T36" s="642">
        <v>318.10600236499999</v>
      </c>
      <c r="U36" s="642">
        <v>310.66199637099999</v>
      </c>
      <c r="V36" s="726">
        <v>333.77900123000001</v>
      </c>
    </row>
    <row r="37" spans="1:22" ht="11.25" customHeight="1">
      <c r="A37" s="74"/>
      <c r="B37" s="73"/>
      <c r="C37" s="73"/>
      <c r="D37" s="73"/>
      <c r="E37" s="73"/>
      <c r="F37" s="73"/>
      <c r="G37" s="73"/>
      <c r="H37" s="73"/>
      <c r="I37" s="73"/>
      <c r="J37" s="3"/>
      <c r="K37" s="10"/>
      <c r="L37" s="15"/>
      <c r="N37" s="641">
        <v>32</v>
      </c>
      <c r="O37" s="642">
        <v>209.128006</v>
      </c>
      <c r="P37" s="642">
        <v>201.39199830000001</v>
      </c>
      <c r="Q37" s="726">
        <v>200.36700440000001</v>
      </c>
      <c r="R37" s="274"/>
      <c r="S37" s="641">
        <v>32</v>
      </c>
      <c r="T37" s="642">
        <v>312.078003352</v>
      </c>
      <c r="U37" s="642">
        <v>304.63100243800005</v>
      </c>
      <c r="V37" s="726">
        <v>326.91499899999997</v>
      </c>
    </row>
    <row r="38" spans="1:22" ht="11.25" customHeight="1">
      <c r="A38" s="74"/>
      <c r="B38" s="73"/>
      <c r="C38" s="73"/>
      <c r="D38" s="73"/>
      <c r="E38" s="73"/>
      <c r="F38" s="73"/>
      <c r="G38" s="73"/>
      <c r="H38" s="73"/>
      <c r="I38" s="73"/>
      <c r="J38" s="3"/>
      <c r="K38" s="10"/>
      <c r="L38" s="38"/>
      <c r="N38" s="641">
        <v>33</v>
      </c>
      <c r="O38" s="642">
        <v>199.85499569999999</v>
      </c>
      <c r="P38" s="642">
        <v>189.6999969</v>
      </c>
      <c r="Q38" s="726">
        <v>187.18600459999999</v>
      </c>
      <c r="R38" s="274"/>
      <c r="S38" s="641">
        <v>33</v>
      </c>
      <c r="T38" s="642">
        <v>312.078003352</v>
      </c>
      <c r="U38" s="642">
        <v>299.14499665</v>
      </c>
      <c r="V38" s="726">
        <v>320.04999731999993</v>
      </c>
    </row>
    <row r="39" spans="1:22" ht="11.25" customHeight="1">
      <c r="A39" s="74"/>
      <c r="B39" s="73"/>
      <c r="C39" s="73"/>
      <c r="D39" s="73"/>
      <c r="E39" s="73"/>
      <c r="F39" s="73"/>
      <c r="G39" s="73"/>
      <c r="H39" s="73"/>
      <c r="I39" s="73"/>
      <c r="J39" s="3"/>
      <c r="K39" s="7"/>
      <c r="L39" s="15"/>
      <c r="N39" s="641">
        <v>34</v>
      </c>
      <c r="O39" s="642">
        <v>188.69299319999999</v>
      </c>
      <c r="P39" s="642">
        <v>178.71099849999999</v>
      </c>
      <c r="Q39" s="726">
        <v>176.73300169999999</v>
      </c>
      <c r="R39" s="274"/>
      <c r="S39" s="641">
        <v>34</v>
      </c>
      <c r="T39" s="642">
        <v>299.58200316099999</v>
      </c>
      <c r="U39" s="642">
        <v>293.22399712800001</v>
      </c>
      <c r="V39" s="726">
        <v>312.22399334000005</v>
      </c>
    </row>
    <row r="40" spans="1:22" ht="11.25" customHeight="1">
      <c r="A40" s="74"/>
      <c r="B40" s="73"/>
      <c r="C40" s="73"/>
      <c r="D40" s="73"/>
      <c r="E40" s="73"/>
      <c r="F40" s="73"/>
      <c r="G40" s="73"/>
      <c r="H40" s="73"/>
      <c r="I40" s="73"/>
      <c r="J40" s="3"/>
      <c r="K40" s="7"/>
      <c r="L40" s="15"/>
      <c r="N40" s="641">
        <v>35</v>
      </c>
      <c r="O40" s="642">
        <v>177.72099299999999</v>
      </c>
      <c r="P40" s="645">
        <v>167.91000366210901</v>
      </c>
      <c r="Q40" s="726">
        <v>168.8840027</v>
      </c>
      <c r="R40" s="274"/>
      <c r="S40" s="641">
        <v>35</v>
      </c>
      <c r="T40" s="642">
        <v>292.71899843200003</v>
      </c>
      <c r="U40" s="642">
        <v>287.11000061035065</v>
      </c>
      <c r="V40" s="726">
        <v>304.73300071000006</v>
      </c>
    </row>
    <row r="41" spans="1:22" ht="11.25" customHeight="1">
      <c r="A41" s="74"/>
      <c r="B41" s="73"/>
      <c r="C41" s="73"/>
      <c r="D41" s="73"/>
      <c r="E41" s="73"/>
      <c r="F41" s="73"/>
      <c r="G41" s="73"/>
      <c r="H41" s="73"/>
      <c r="I41" s="73"/>
      <c r="J41" s="3"/>
      <c r="K41" s="7"/>
      <c r="L41" s="15"/>
      <c r="N41" s="641">
        <v>36</v>
      </c>
      <c r="O41" s="642">
        <v>164.99800110000001</v>
      </c>
      <c r="P41" s="645">
        <v>158.25599670410099</v>
      </c>
      <c r="Q41" s="726">
        <v>158.2559967</v>
      </c>
      <c r="R41" s="274"/>
      <c r="S41" s="641">
        <v>36</v>
      </c>
      <c r="T41" s="642">
        <v>286.64699412499999</v>
      </c>
      <c r="U41" s="642">
        <v>280.34500217437699</v>
      </c>
      <c r="V41" s="726">
        <v>297.47899814000004</v>
      </c>
    </row>
    <row r="42" spans="1:22" ht="11.25" customHeight="1">
      <c r="A42" s="74"/>
      <c r="B42" s="73"/>
      <c r="C42" s="73"/>
      <c r="D42" s="73"/>
      <c r="E42" s="73"/>
      <c r="F42" s="73"/>
      <c r="G42" s="73"/>
      <c r="H42" s="73"/>
      <c r="I42" s="73"/>
      <c r="J42" s="6"/>
      <c r="K42" s="10"/>
      <c r="L42" s="15"/>
      <c r="N42" s="641">
        <v>37</v>
      </c>
      <c r="O42" s="642">
        <v>154.53400055</v>
      </c>
      <c r="P42" s="645">
        <v>147.34800720214801</v>
      </c>
      <c r="Q42" s="726">
        <v>147.34800720000001</v>
      </c>
      <c r="R42" s="274"/>
      <c r="S42" s="641">
        <v>37</v>
      </c>
      <c r="T42" s="642">
        <v>280.605003845</v>
      </c>
      <c r="U42" s="642">
        <v>273.90200042724575</v>
      </c>
      <c r="V42" s="726">
        <v>289.18600270099995</v>
      </c>
    </row>
    <row r="43" spans="1:22" ht="11.25" customHeight="1">
      <c r="A43" s="74"/>
      <c r="B43" s="73"/>
      <c r="C43" s="73"/>
      <c r="D43" s="73"/>
      <c r="E43" s="73"/>
      <c r="F43" s="73"/>
      <c r="G43" s="73"/>
      <c r="H43" s="73"/>
      <c r="I43" s="73"/>
      <c r="J43" s="3"/>
      <c r="K43" s="10"/>
      <c r="L43" s="15"/>
      <c r="N43" s="641">
        <v>38</v>
      </c>
      <c r="O43" s="642">
        <v>144.07</v>
      </c>
      <c r="P43" s="645">
        <v>136.64599609375</v>
      </c>
      <c r="Q43" s="726">
        <v>131.14500430000001</v>
      </c>
      <c r="R43" s="274"/>
      <c r="S43" s="641">
        <v>38</v>
      </c>
      <c r="T43" s="642">
        <v>274.21999999999997</v>
      </c>
      <c r="U43" s="642">
        <v>267.16300058364783</v>
      </c>
      <c r="V43" s="726">
        <v>281.63800617199996</v>
      </c>
    </row>
    <row r="44" spans="1:22" ht="11.25" customHeight="1">
      <c r="A44" s="74"/>
      <c r="B44" s="73"/>
      <c r="C44" s="73"/>
      <c r="D44" s="73"/>
      <c r="E44" s="73"/>
      <c r="F44" s="73"/>
      <c r="G44" s="73"/>
      <c r="H44" s="73"/>
      <c r="I44" s="73"/>
      <c r="J44" s="3"/>
      <c r="K44" s="10"/>
      <c r="L44" s="15"/>
      <c r="N44" s="641">
        <v>39</v>
      </c>
      <c r="O44" s="642">
        <v>135.725006103515</v>
      </c>
      <c r="P44" s="645">
        <v>131.14500430000001</v>
      </c>
      <c r="Q44" s="726">
        <v>117.1940002</v>
      </c>
      <c r="R44" s="274"/>
      <c r="S44" s="641">
        <v>39</v>
      </c>
      <c r="T44" s="642">
        <v>267.58499765396107</v>
      </c>
      <c r="U44" s="642">
        <v>262.426999588</v>
      </c>
      <c r="V44" s="726">
        <v>274.41000078900004</v>
      </c>
    </row>
    <row r="45" spans="1:22" ht="11.25" customHeight="1">
      <c r="A45" s="74"/>
      <c r="B45" s="73"/>
      <c r="C45" s="73"/>
      <c r="D45" s="73"/>
      <c r="E45" s="73"/>
      <c r="F45" s="73"/>
      <c r="G45" s="73"/>
      <c r="H45" s="73"/>
      <c r="I45" s="73"/>
      <c r="J45" s="11"/>
      <c r="K45" s="11"/>
      <c r="L45" s="11"/>
      <c r="N45" s="641">
        <v>40</v>
      </c>
      <c r="O45" s="642">
        <v>127.0559998</v>
      </c>
      <c r="P45" s="642">
        <v>120.7580032</v>
      </c>
      <c r="Q45" s="726">
        <v>113.2139969</v>
      </c>
      <c r="R45" s="274"/>
      <c r="S45" s="641">
        <v>40</v>
      </c>
      <c r="T45" s="642">
        <v>260.96199703900004</v>
      </c>
      <c r="U45" s="642">
        <v>258.968997</v>
      </c>
      <c r="V45" s="726">
        <v>267.74887463900001</v>
      </c>
    </row>
    <row r="46" spans="1:22" ht="11.25" customHeight="1">
      <c r="A46" s="74"/>
      <c r="B46" s="73"/>
      <c r="C46" s="73"/>
      <c r="D46" s="73"/>
      <c r="E46" s="73"/>
      <c r="F46" s="73"/>
      <c r="G46" s="73"/>
      <c r="H46" s="73"/>
      <c r="I46" s="73"/>
      <c r="J46" s="11"/>
      <c r="K46" s="11"/>
      <c r="L46" s="11"/>
      <c r="N46" s="641">
        <v>41</v>
      </c>
      <c r="O46" s="642">
        <v>110.13999939999999</v>
      </c>
      <c r="P46" s="642">
        <v>102.3249969</v>
      </c>
      <c r="Q46" s="726">
        <v>105.78199770000001</v>
      </c>
      <c r="R46" s="274"/>
      <c r="S46" s="641">
        <v>41</v>
      </c>
      <c r="T46" s="642">
        <v>253.29600046600001</v>
      </c>
      <c r="U46" s="642">
        <v>255.76199719799999</v>
      </c>
      <c r="V46" s="726">
        <v>261.11699532200004</v>
      </c>
    </row>
    <row r="47" spans="1:22" ht="11.25" customHeight="1">
      <c r="A47" s="74"/>
      <c r="B47" s="73"/>
      <c r="C47" s="73"/>
      <c r="D47" s="73"/>
      <c r="E47" s="73"/>
      <c r="F47" s="73"/>
      <c r="G47" s="73"/>
      <c r="H47" s="73"/>
      <c r="I47" s="73"/>
      <c r="J47" s="11"/>
      <c r="K47" s="11"/>
      <c r="L47" s="11"/>
      <c r="N47" s="641">
        <v>42</v>
      </c>
      <c r="O47" s="642">
        <v>100.61</v>
      </c>
      <c r="P47" s="642">
        <v>92.944999694824205</v>
      </c>
      <c r="Q47" s="726">
        <v>94.636001590000006</v>
      </c>
      <c r="R47" s="274"/>
      <c r="S47" s="641">
        <v>42</v>
      </c>
      <c r="T47" s="642">
        <v>246.06</v>
      </c>
      <c r="U47" s="642">
        <v>251.31199836730943</v>
      </c>
      <c r="V47" s="726">
        <v>255.18400193299999</v>
      </c>
    </row>
    <row r="48" spans="1:22" ht="11.25" customHeight="1">
      <c r="A48" s="74"/>
      <c r="B48" s="73"/>
      <c r="C48" s="73"/>
      <c r="D48" s="73"/>
      <c r="E48" s="73"/>
      <c r="F48" s="73"/>
      <c r="G48" s="73"/>
      <c r="H48" s="73"/>
      <c r="I48" s="73"/>
      <c r="J48" s="11"/>
      <c r="K48" s="11"/>
      <c r="L48" s="11"/>
      <c r="N48" s="641">
        <v>43</v>
      </c>
      <c r="O48" s="642">
        <v>95.484001160000005</v>
      </c>
      <c r="P48" s="642">
        <v>84.166999820000001</v>
      </c>
      <c r="Q48" s="726">
        <v>83.753997799999993</v>
      </c>
      <c r="R48" s="274"/>
      <c r="S48" s="641">
        <v>43</v>
      </c>
      <c r="T48" s="642">
        <v>241.02699661899999</v>
      </c>
      <c r="U48" s="642">
        <v>245.88199755799999</v>
      </c>
      <c r="V48" s="726">
        <v>247.82599997900002</v>
      </c>
    </row>
    <row r="49" spans="1:22" ht="11.25" customHeight="1">
      <c r="A49" s="74"/>
      <c r="B49" s="73"/>
      <c r="C49" s="73"/>
      <c r="D49" s="73"/>
      <c r="E49" s="73"/>
      <c r="F49" s="73"/>
      <c r="G49" s="73"/>
      <c r="H49" s="73"/>
      <c r="I49" s="73"/>
      <c r="J49" s="11"/>
      <c r="K49" s="11"/>
      <c r="L49" s="11"/>
      <c r="N49" s="641">
        <v>44</v>
      </c>
      <c r="O49" s="642">
        <v>89.581001279999995</v>
      </c>
      <c r="P49" s="642">
        <v>82.51499939</v>
      </c>
      <c r="Q49" s="726">
        <v>73.136001590000006</v>
      </c>
      <c r="R49" s="274"/>
      <c r="S49" s="641">
        <v>44</v>
      </c>
      <c r="T49" s="642">
        <v>234.19399833099999</v>
      </c>
      <c r="U49" s="642">
        <v>239.051002463</v>
      </c>
      <c r="V49" s="726">
        <v>240.19699645200001</v>
      </c>
    </row>
    <row r="50" spans="1:22" ht="13.2">
      <c r="A50" s="74"/>
      <c r="B50" s="73"/>
      <c r="C50" s="73"/>
      <c r="D50" s="73"/>
      <c r="E50" s="73"/>
      <c r="F50" s="73"/>
      <c r="G50" s="73"/>
      <c r="H50" s="73"/>
      <c r="I50" s="73"/>
      <c r="J50" s="11"/>
      <c r="K50" s="11"/>
      <c r="L50" s="11"/>
      <c r="N50" s="641">
        <v>45</v>
      </c>
      <c r="O50" s="642">
        <v>79.638999940000005</v>
      </c>
      <c r="P50" s="642">
        <v>72.33000183</v>
      </c>
      <c r="Q50" s="726">
        <v>72.33000183</v>
      </c>
      <c r="R50" s="274"/>
      <c r="S50" s="641">
        <v>45</v>
      </c>
      <c r="T50" s="642">
        <v>228.64612817499997</v>
      </c>
      <c r="U50" s="642">
        <v>232.679000852</v>
      </c>
      <c r="V50" s="726">
        <v>232.069998986</v>
      </c>
    </row>
    <row r="51" spans="1:22" ht="13.2">
      <c r="A51" s="74"/>
      <c r="B51" s="73"/>
      <c r="C51" s="73"/>
      <c r="D51" s="73"/>
      <c r="E51" s="73"/>
      <c r="F51" s="73"/>
      <c r="G51" s="73"/>
      <c r="H51" s="73"/>
      <c r="I51" s="73"/>
      <c r="J51" s="11"/>
      <c r="K51" s="11"/>
      <c r="L51" s="11"/>
      <c r="N51" s="641">
        <v>46</v>
      </c>
      <c r="O51" s="642">
        <v>80.049003600000006</v>
      </c>
      <c r="P51" s="642">
        <v>57.318000789999999</v>
      </c>
      <c r="Q51" s="726">
        <v>66.33699799</v>
      </c>
      <c r="R51" s="274"/>
      <c r="S51" s="641">
        <v>46</v>
      </c>
      <c r="T51" s="642">
        <v>222.81199835999999</v>
      </c>
      <c r="U51" s="642">
        <v>225.80399990800001</v>
      </c>
      <c r="V51" s="726">
        <v>224.04500101899998</v>
      </c>
    </row>
    <row r="52" spans="1:22" ht="13.2">
      <c r="A52" s="74"/>
      <c r="B52" s="73"/>
      <c r="C52" s="73"/>
      <c r="D52" s="73"/>
      <c r="E52" s="73"/>
      <c r="F52" s="73"/>
      <c r="G52" s="73"/>
      <c r="H52" s="73"/>
      <c r="I52" s="73"/>
      <c r="J52" s="11"/>
      <c r="K52" s="11"/>
      <c r="L52" s="11"/>
      <c r="N52" s="641">
        <v>47</v>
      </c>
      <c r="O52" s="642">
        <v>85.825996399999994</v>
      </c>
      <c r="P52" s="642">
        <v>44.738998410000001</v>
      </c>
      <c r="Q52" s="726">
        <v>59.261001589999999</v>
      </c>
      <c r="R52" s="274"/>
      <c r="S52" s="641">
        <v>47</v>
      </c>
      <c r="T52" s="642">
        <v>216.31200409100001</v>
      </c>
      <c r="U52" s="642">
        <v>219.24500608799997</v>
      </c>
      <c r="V52" s="726">
        <v>219.29099989100001</v>
      </c>
    </row>
    <row r="53" spans="1:22" ht="13.2">
      <c r="A53" s="74"/>
      <c r="B53" s="73"/>
      <c r="C53" s="73"/>
      <c r="D53" s="73"/>
      <c r="E53" s="73"/>
      <c r="F53" s="73"/>
      <c r="G53" s="73"/>
      <c r="H53" s="73"/>
      <c r="I53" s="73"/>
      <c r="J53" s="11"/>
      <c r="K53" s="11"/>
      <c r="L53" s="11"/>
      <c r="N53" s="641">
        <v>48</v>
      </c>
      <c r="O53" s="642">
        <v>77.596000669999995</v>
      </c>
      <c r="P53" s="642">
        <v>34.763999939999998</v>
      </c>
      <c r="Q53" s="726">
        <v>59.261001589999999</v>
      </c>
      <c r="R53" s="274"/>
      <c r="S53" s="641">
        <v>48</v>
      </c>
      <c r="T53" s="642">
        <v>210.250997547</v>
      </c>
      <c r="U53" s="642">
        <v>212.09200192</v>
      </c>
      <c r="V53" s="726">
        <v>216.02500223999999</v>
      </c>
    </row>
    <row r="54" spans="1:22" ht="13.2">
      <c r="A54" s="74"/>
      <c r="B54" s="73"/>
      <c r="C54" s="73"/>
      <c r="D54" s="73"/>
      <c r="E54" s="73"/>
      <c r="F54" s="73"/>
      <c r="G54" s="73"/>
      <c r="H54" s="73"/>
      <c r="I54" s="73"/>
      <c r="J54" s="11"/>
      <c r="K54" s="11"/>
      <c r="L54" s="11"/>
      <c r="N54" s="641">
        <v>49</v>
      </c>
      <c r="O54" s="731">
        <v>54.613998410000001</v>
      </c>
      <c r="P54" s="642">
        <v>27.915000920000001</v>
      </c>
      <c r="Q54" s="726">
        <v>47.749000549999998</v>
      </c>
      <c r="R54" s="274"/>
      <c r="S54" s="641">
        <v>49</v>
      </c>
      <c r="T54" s="642">
        <v>202.73299884100001</v>
      </c>
      <c r="U54" s="642">
        <v>206.70499944799997</v>
      </c>
      <c r="V54" s="726">
        <v>215.407995212</v>
      </c>
    </row>
    <row r="55" spans="1:22" ht="13.2">
      <c r="A55" s="74"/>
      <c r="B55" s="73"/>
      <c r="C55" s="73"/>
      <c r="D55" s="73"/>
      <c r="E55" s="73"/>
      <c r="F55" s="73"/>
      <c r="G55" s="73"/>
      <c r="H55" s="73"/>
      <c r="I55" s="73"/>
      <c r="J55" s="11"/>
      <c r="K55" s="11"/>
      <c r="L55" s="11"/>
      <c r="N55" s="641">
        <v>50</v>
      </c>
      <c r="O55" s="642">
        <v>64.358001709999996</v>
      </c>
      <c r="P55" s="642">
        <v>19.81399918</v>
      </c>
      <c r="Q55" s="726">
        <v>46.993999479999999</v>
      </c>
      <c r="R55" s="274"/>
      <c r="S55" s="641">
        <v>50</v>
      </c>
      <c r="T55" s="642">
        <v>195.51400422099999</v>
      </c>
      <c r="U55" s="642">
        <v>200.08300209800001</v>
      </c>
      <c r="V55" s="726">
        <v>212.33400107200001</v>
      </c>
    </row>
    <row r="56" spans="1:22" ht="13.2">
      <c r="A56" s="74"/>
      <c r="B56" s="73"/>
      <c r="C56" s="73"/>
      <c r="D56" s="73"/>
      <c r="E56" s="73"/>
      <c r="F56" s="73"/>
      <c r="G56" s="73"/>
      <c r="H56" s="73"/>
      <c r="I56" s="73"/>
      <c r="J56" s="11"/>
      <c r="K56" s="11"/>
      <c r="L56" s="11"/>
      <c r="N56" s="641">
        <v>51</v>
      </c>
      <c r="O56" s="642">
        <v>80.049003600000006</v>
      </c>
      <c r="P56" s="642">
        <v>22.256999969999999</v>
      </c>
      <c r="Q56" s="726">
        <v>35.858001710000003</v>
      </c>
      <c r="R56" s="274"/>
      <c r="S56" s="641">
        <v>51</v>
      </c>
      <c r="T56" s="642">
        <v>188.995997891</v>
      </c>
      <c r="U56" s="642">
        <v>200.81900405299996</v>
      </c>
      <c r="V56" s="726">
        <v>207.130002496</v>
      </c>
    </row>
    <row r="57" spans="1:22" ht="13.2">
      <c r="A57" s="74"/>
      <c r="B57" s="73"/>
      <c r="C57" s="73"/>
      <c r="D57" s="73"/>
      <c r="E57" s="73"/>
      <c r="F57" s="73"/>
      <c r="G57" s="73"/>
      <c r="H57" s="73"/>
      <c r="I57" s="73"/>
      <c r="N57" s="641">
        <v>52</v>
      </c>
      <c r="O57" s="642">
        <v>108.82900239999999</v>
      </c>
      <c r="P57" s="642">
        <v>51.54700089</v>
      </c>
      <c r="Q57" s="726">
        <v>31.502000809999998</v>
      </c>
      <c r="R57" s="274"/>
      <c r="S57" s="641">
        <v>52</v>
      </c>
      <c r="T57" s="642">
        <v>184.65400219100002</v>
      </c>
      <c r="U57" s="642">
        <v>217.92999649000001</v>
      </c>
      <c r="V57" s="726">
        <v>207.130002496</v>
      </c>
    </row>
    <row r="58" spans="1:22" ht="13.2">
      <c r="A58" s="74"/>
      <c r="B58" s="73"/>
      <c r="C58" s="73"/>
      <c r="D58" s="73"/>
      <c r="E58" s="73"/>
      <c r="F58" s="73"/>
      <c r="G58" s="73"/>
      <c r="H58" s="73"/>
      <c r="I58" s="73"/>
      <c r="N58" s="641">
        <v>53</v>
      </c>
      <c r="O58" s="274"/>
      <c r="P58" s="274">
        <v>140.34500120000001</v>
      </c>
      <c r="Q58" s="274"/>
      <c r="R58" s="274"/>
      <c r="S58" s="641">
        <v>53</v>
      </c>
      <c r="T58" s="642">
        <v>183.63100289100001</v>
      </c>
      <c r="U58" s="642"/>
      <c r="V58" s="726"/>
    </row>
    <row r="59" spans="1:22" ht="13.2">
      <c r="B59" s="73"/>
      <c r="C59" s="73"/>
      <c r="D59" s="73"/>
      <c r="E59" s="73"/>
      <c r="F59" s="73"/>
      <c r="G59" s="73"/>
      <c r="H59" s="73"/>
      <c r="I59" s="73"/>
    </row>
    <row r="60" spans="1:22" ht="13.2">
      <c r="A60" s="74"/>
      <c r="B60" s="73"/>
      <c r="C60" s="73"/>
      <c r="D60" s="73"/>
      <c r="E60" s="73"/>
      <c r="F60" s="73"/>
      <c r="G60" s="73"/>
      <c r="H60" s="73"/>
      <c r="I60" s="73"/>
    </row>
    <row r="63" spans="1:22">
      <c r="A63" s="261" t="s">
        <v>558</v>
      </c>
    </row>
  </sheetData>
  <mergeCells count="2">
    <mergeCell ref="A5:I5"/>
    <mergeCell ref="B7:C7"/>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H197"/>
  <sheetViews>
    <sheetView showGridLines="0" view="pageBreakPreview" zoomScaleNormal="100" zoomScaleSheetLayoutView="100" workbookViewId="0">
      <selection activeCell="A63" sqref="A63:XFD63"/>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4"/>
    <col min="11" max="11" width="9.28515625" style="528"/>
    <col min="12" max="12" width="3.140625" style="528" bestFit="1" customWidth="1"/>
    <col min="13" max="16" width="9.28515625" style="274"/>
    <col min="17" max="17" width="9.28515625" style="275"/>
    <col min="18" max="31" width="9.28515625" style="776"/>
    <col min="32" max="34" width="9.28515625" style="681"/>
  </cols>
  <sheetData>
    <row r="1" spans="1:15" ht="11.25" customHeight="1"/>
    <row r="2" spans="1:15" ht="11.25" customHeight="1">
      <c r="A2" s="17"/>
      <c r="B2" s="17"/>
      <c r="C2" s="17"/>
      <c r="D2" s="17"/>
      <c r="E2" s="73"/>
      <c r="F2" s="73"/>
      <c r="G2" s="73"/>
    </row>
    <row r="3" spans="1:15" ht="17.25" customHeight="1">
      <c r="A3" s="862" t="s">
        <v>380</v>
      </c>
      <c r="B3" s="862"/>
      <c r="C3" s="862"/>
      <c r="D3" s="862"/>
      <c r="E3" s="862"/>
      <c r="F3" s="862"/>
      <c r="G3" s="862"/>
      <c r="H3" s="36"/>
      <c r="I3" s="36"/>
      <c r="K3" s="528" t="s">
        <v>260</v>
      </c>
      <c r="M3" s="274" t="s">
        <v>261</v>
      </c>
      <c r="N3" s="274" t="s">
        <v>262</v>
      </c>
      <c r="O3" s="274" t="s">
        <v>263</v>
      </c>
    </row>
    <row r="4" spans="1:15" ht="11.25" customHeight="1">
      <c r="A4" s="74"/>
      <c r="B4" s="73"/>
      <c r="C4" s="73"/>
      <c r="D4" s="73"/>
      <c r="E4" s="73"/>
      <c r="F4" s="73"/>
      <c r="G4" s="73"/>
      <c r="H4" s="36"/>
      <c r="I4" s="36"/>
      <c r="J4" s="274">
        <v>2019</v>
      </c>
      <c r="K4" s="528">
        <v>1</v>
      </c>
      <c r="L4" s="528">
        <v>1</v>
      </c>
      <c r="M4" s="646">
        <v>27.79999951142857</v>
      </c>
      <c r="N4" s="646">
        <v>78.298570904285711</v>
      </c>
      <c r="O4" s="646">
        <v>21.927143370000003</v>
      </c>
    </row>
    <row r="5" spans="1:15" ht="11.25" customHeight="1">
      <c r="A5" s="74"/>
      <c r="B5" s="73"/>
      <c r="C5" s="73"/>
      <c r="D5" s="73"/>
      <c r="E5" s="73"/>
      <c r="F5" s="73"/>
      <c r="G5" s="73"/>
      <c r="H5" s="12"/>
      <c r="I5" s="12"/>
      <c r="L5" s="528">
        <v>2</v>
      </c>
      <c r="M5" s="646">
        <v>28.678571428571427</v>
      </c>
      <c r="N5" s="646">
        <v>95.081715179999989</v>
      </c>
      <c r="O5" s="646">
        <v>22.397999900000002</v>
      </c>
    </row>
    <row r="6" spans="1:15" ht="29.25" customHeight="1">
      <c r="A6" s="136"/>
      <c r="C6" s="372" t="s">
        <v>144</v>
      </c>
      <c r="D6" s="375" t="str">
        <f>UPPER('1. Resumen'!Q4)&amp;"
 "&amp;'1. Resumen'!Q5</f>
        <v>MAYO
 2022</v>
      </c>
      <c r="E6" s="376" t="str">
        <f>UPPER('1. Resumen'!Q4)&amp;"
 "&amp;'1. Resumen'!Q5-1</f>
        <v>MAYO
 2021</v>
      </c>
      <c r="F6" s="377" t="s">
        <v>433</v>
      </c>
      <c r="G6" s="138"/>
      <c r="H6" s="24"/>
      <c r="I6" s="12"/>
      <c r="L6" s="528">
        <v>3</v>
      </c>
      <c r="M6" s="646">
        <v>44.51</v>
      </c>
      <c r="N6" s="646">
        <v>95.65</v>
      </c>
      <c r="O6" s="646">
        <v>17.61</v>
      </c>
    </row>
    <row r="7" spans="1:15" ht="11.25" customHeight="1">
      <c r="A7" s="172"/>
      <c r="C7" s="423" t="s">
        <v>145</v>
      </c>
      <c r="D7" s="424">
        <v>13.222387067733225</v>
      </c>
      <c r="E7" s="424">
        <v>15.715967790000001</v>
      </c>
      <c r="F7" s="425">
        <f>IF(E7=0,"",(D7-E7)/E7)</f>
        <v>-0.15866542586409665</v>
      </c>
      <c r="G7" s="138"/>
      <c r="H7" s="25"/>
      <c r="I7" s="3"/>
      <c r="L7" s="528">
        <v>4</v>
      </c>
      <c r="M7" s="646">
        <v>73.323141914285699</v>
      </c>
      <c r="N7" s="646">
        <v>109.29957036285714</v>
      </c>
      <c r="O7" s="646">
        <v>17.638000354285712</v>
      </c>
    </row>
    <row r="8" spans="1:15" ht="11.25" customHeight="1">
      <c r="A8" s="172"/>
      <c r="C8" s="426" t="s">
        <v>151</v>
      </c>
      <c r="D8" s="427">
        <v>15.44303229547312</v>
      </c>
      <c r="E8" s="427">
        <v>15.36945152</v>
      </c>
      <c r="F8" s="428">
        <f t="shared" ref="F8:F30" si="0">IF(E8=0,"",(D8-E8)/E8)</f>
        <v>4.7874691804955273E-3</v>
      </c>
      <c r="G8" s="138"/>
      <c r="H8" s="23"/>
      <c r="I8" s="3"/>
      <c r="L8" s="528">
        <v>5</v>
      </c>
      <c r="M8" s="646">
        <v>103.17716724333333</v>
      </c>
      <c r="N8" s="646">
        <v>149.65083311999999</v>
      </c>
      <c r="O8" s="646">
        <v>19.218833289999999</v>
      </c>
    </row>
    <row r="9" spans="1:15" ht="11.25" customHeight="1">
      <c r="A9" s="172"/>
      <c r="C9" s="429" t="s">
        <v>152</v>
      </c>
      <c r="D9" s="430">
        <v>59.081967753748721</v>
      </c>
      <c r="E9" s="430">
        <v>62.81990322</v>
      </c>
      <c r="F9" s="431">
        <f t="shared" si="0"/>
        <v>-5.950240727306997E-2</v>
      </c>
      <c r="G9" s="138"/>
      <c r="H9" s="25"/>
      <c r="I9" s="3"/>
      <c r="L9" s="528">
        <v>6</v>
      </c>
      <c r="M9" s="646">
        <v>79.165714285714287</v>
      </c>
      <c r="N9" s="646">
        <v>136.57714285714286</v>
      </c>
      <c r="O9" s="646">
        <v>57.185714285714276</v>
      </c>
    </row>
    <row r="10" spans="1:15" ht="11.25" customHeight="1">
      <c r="A10" s="172"/>
      <c r="C10" s="426" t="s">
        <v>159</v>
      </c>
      <c r="D10" s="427">
        <v>55.830935447446734</v>
      </c>
      <c r="E10" s="427">
        <v>55.971935520000002</v>
      </c>
      <c r="F10" s="428">
        <f t="shared" si="0"/>
        <v>-2.5191208994887423E-3</v>
      </c>
      <c r="G10" s="138"/>
      <c r="H10" s="25"/>
      <c r="I10" s="3"/>
      <c r="L10" s="528">
        <v>7</v>
      </c>
      <c r="M10" s="646">
        <v>120.02256992142858</v>
      </c>
      <c r="N10" s="646">
        <v>224.71071514285714</v>
      </c>
      <c r="O10" s="646">
        <v>118.06042697857141</v>
      </c>
    </row>
    <row r="11" spans="1:15" ht="11.25" customHeight="1">
      <c r="A11" s="172"/>
      <c r="C11" s="429" t="s">
        <v>160</v>
      </c>
      <c r="D11" s="430">
        <v>55.922064012096754</v>
      </c>
      <c r="E11" s="430">
        <v>77.036129119999998</v>
      </c>
      <c r="F11" s="431">
        <f t="shared" si="0"/>
        <v>-0.2740800368488614</v>
      </c>
      <c r="G11" s="138"/>
      <c r="H11" s="25"/>
      <c r="I11" s="3"/>
      <c r="K11" s="528">
        <v>8</v>
      </c>
      <c r="L11" s="528">
        <v>8</v>
      </c>
      <c r="M11" s="646">
        <v>97.560142514285715</v>
      </c>
      <c r="N11" s="646">
        <v>198.04342652857142</v>
      </c>
      <c r="O11" s="646">
        <v>106.29885756428571</v>
      </c>
    </row>
    <row r="12" spans="1:15" ht="11.25" customHeight="1">
      <c r="A12" s="172"/>
      <c r="C12" s="426" t="s">
        <v>162</v>
      </c>
      <c r="D12" s="427">
        <v>27.397128751200967</v>
      </c>
      <c r="E12" s="427">
        <v>30.489967589999999</v>
      </c>
      <c r="F12" s="428">
        <f t="shared" si="0"/>
        <v>-0.10143791821587281</v>
      </c>
      <c r="G12" s="138"/>
      <c r="H12" s="25"/>
      <c r="I12" s="3"/>
      <c r="L12" s="528">
        <v>9</v>
      </c>
      <c r="M12" s="646">
        <v>97.560142514285715</v>
      </c>
      <c r="N12" s="646">
        <v>191.0112849857143</v>
      </c>
      <c r="O12" s="646">
        <v>142.12385776285717</v>
      </c>
    </row>
    <row r="13" spans="1:15" ht="11.25" customHeight="1">
      <c r="A13" s="172"/>
      <c r="C13" s="429" t="s">
        <v>150</v>
      </c>
      <c r="D13" s="430">
        <v>26.459946236559116</v>
      </c>
      <c r="E13" s="430">
        <v>25.87</v>
      </c>
      <c r="F13" s="431">
        <f t="shared" si="0"/>
        <v>2.2804261173525891E-2</v>
      </c>
      <c r="G13" s="138"/>
      <c r="H13" s="23"/>
      <c r="I13" s="3"/>
      <c r="L13" s="528">
        <v>10</v>
      </c>
      <c r="M13" s="646">
        <v>97.497286117142863</v>
      </c>
      <c r="N13" s="646">
        <v>215.64014109999999</v>
      </c>
      <c r="O13" s="646">
        <v>164.59685624285717</v>
      </c>
    </row>
    <row r="14" spans="1:15" ht="11.25" customHeight="1">
      <c r="A14" s="172"/>
      <c r="C14" s="426" t="s">
        <v>251</v>
      </c>
      <c r="D14" s="427">
        <v>34.489665369833617</v>
      </c>
      <c r="E14" s="427">
        <v>28.66822612</v>
      </c>
      <c r="F14" s="428">
        <f t="shared" si="0"/>
        <v>0.20306241570253167</v>
      </c>
      <c r="G14" s="138"/>
      <c r="H14" s="25"/>
      <c r="I14" s="3"/>
      <c r="L14" s="528">
        <v>11</v>
      </c>
      <c r="M14" s="646">
        <v>98.21585736955906</v>
      </c>
      <c r="N14" s="646">
        <v>236.76099940708642</v>
      </c>
      <c r="O14" s="646">
        <v>121.6507121494835</v>
      </c>
    </row>
    <row r="15" spans="1:15" ht="11.25" customHeight="1">
      <c r="A15" s="172"/>
      <c r="C15" s="429" t="s">
        <v>252</v>
      </c>
      <c r="D15" s="430">
        <v>63.011451598136624</v>
      </c>
      <c r="E15" s="430">
        <v>71.553871029999996</v>
      </c>
      <c r="F15" s="431">
        <f t="shared" si="0"/>
        <v>-0.11938444851267152</v>
      </c>
      <c r="G15" s="138"/>
      <c r="H15" s="25"/>
      <c r="I15" s="3"/>
      <c r="L15" s="528">
        <v>12</v>
      </c>
      <c r="M15" s="646">
        <v>91.857713972857141</v>
      </c>
      <c r="N15" s="646">
        <v>250.8679761904763</v>
      </c>
      <c r="O15" s="646">
        <v>166.63136904761905</v>
      </c>
    </row>
    <row r="16" spans="1:15" ht="11.25" customHeight="1">
      <c r="A16" s="172"/>
      <c r="C16" s="426" t="s">
        <v>157</v>
      </c>
      <c r="D16" s="427">
        <v>27.379225823187021</v>
      </c>
      <c r="E16" s="427">
        <v>31.764096599999998</v>
      </c>
      <c r="F16" s="428">
        <f t="shared" si="0"/>
        <v>-0.1380448760130322</v>
      </c>
      <c r="G16" s="138"/>
      <c r="H16" s="25"/>
      <c r="I16" s="3"/>
      <c r="L16" s="528">
        <v>13</v>
      </c>
      <c r="M16" s="646">
        <v>100.0137132957143</v>
      </c>
      <c r="N16" s="646">
        <v>301.45971681428574</v>
      </c>
      <c r="O16" s="646">
        <v>180.07000078571429</v>
      </c>
    </row>
    <row r="17" spans="1:15" ht="11.25" customHeight="1">
      <c r="A17" s="172"/>
      <c r="C17" s="429" t="s">
        <v>161</v>
      </c>
      <c r="D17" s="430">
        <v>12.156128975652848</v>
      </c>
      <c r="E17" s="430">
        <v>14.730580639999999</v>
      </c>
      <c r="F17" s="431">
        <f t="shared" si="0"/>
        <v>-0.17476919119918355</v>
      </c>
      <c r="G17" s="138"/>
      <c r="H17" s="25"/>
      <c r="I17" s="3"/>
      <c r="L17" s="528">
        <v>14</v>
      </c>
      <c r="M17" s="646">
        <v>84.272714885714294</v>
      </c>
      <c r="N17" s="646">
        <v>253.08542525714284</v>
      </c>
      <c r="O17" s="646">
        <v>143.43971579999999</v>
      </c>
    </row>
    <row r="18" spans="1:15" ht="11.25" customHeight="1">
      <c r="A18" s="172"/>
      <c r="C18" s="426" t="s">
        <v>253</v>
      </c>
      <c r="D18" s="427">
        <v>12.00944934352748</v>
      </c>
      <c r="E18" s="427">
        <v>11.745548599999999</v>
      </c>
      <c r="F18" s="428">
        <f t="shared" si="0"/>
        <v>2.2468149638194077E-2</v>
      </c>
      <c r="G18" s="138"/>
      <c r="H18" s="25"/>
      <c r="I18" s="3"/>
      <c r="L18" s="528">
        <v>15</v>
      </c>
      <c r="M18" s="646">
        <v>61.074856892857142</v>
      </c>
      <c r="N18" s="646">
        <v>253.08542525714284</v>
      </c>
      <c r="O18" s="646">
        <v>152.6561442857143</v>
      </c>
    </row>
    <row r="19" spans="1:15" ht="11.25" customHeight="1">
      <c r="A19" s="172"/>
      <c r="C19" s="429" t="s">
        <v>254</v>
      </c>
      <c r="D19" s="430">
        <v>23.961827956989278</v>
      </c>
      <c r="E19" s="430">
        <v>25.464619623655935</v>
      </c>
      <c r="F19" s="431">
        <f t="shared" si="0"/>
        <v>-5.9014887670680305E-2</v>
      </c>
      <c r="G19" s="138"/>
      <c r="H19" s="25"/>
      <c r="I19" s="3"/>
      <c r="K19" s="528">
        <v>16</v>
      </c>
      <c r="L19" s="528">
        <v>16</v>
      </c>
      <c r="M19" s="646">
        <v>47.843714031428576</v>
      </c>
      <c r="N19" s="646">
        <v>141.0458592</v>
      </c>
      <c r="O19" s="646">
        <v>83.844285145714295</v>
      </c>
    </row>
    <row r="20" spans="1:15" ht="11.25" customHeight="1">
      <c r="A20" s="172"/>
      <c r="C20" s="426" t="s">
        <v>255</v>
      </c>
      <c r="D20" s="427">
        <v>1.5136451644282141</v>
      </c>
      <c r="E20" s="427">
        <v>1.427709667</v>
      </c>
      <c r="F20" s="428">
        <f t="shared" si="0"/>
        <v>6.0191157498280107E-2</v>
      </c>
      <c r="G20" s="138"/>
      <c r="H20" s="25"/>
      <c r="I20" s="3"/>
      <c r="L20" s="528">
        <v>17</v>
      </c>
      <c r="M20" s="646">
        <v>50.907143728571427</v>
      </c>
      <c r="N20" s="646">
        <v>123.86656951428571</v>
      </c>
      <c r="O20" s="646">
        <v>125.28814153857142</v>
      </c>
    </row>
    <row r="21" spans="1:15" ht="11.25" customHeight="1">
      <c r="A21" s="172"/>
      <c r="C21" s="429" t="s">
        <v>148</v>
      </c>
      <c r="D21" s="430">
        <v>113.06225807436012</v>
      </c>
      <c r="E21" s="430">
        <v>105.3953872</v>
      </c>
      <c r="F21" s="431">
        <f t="shared" si="0"/>
        <v>7.2743893998048842E-2</v>
      </c>
      <c r="G21" s="138"/>
      <c r="H21" s="25"/>
      <c r="I21" s="3"/>
      <c r="L21" s="528">
        <v>18</v>
      </c>
      <c r="M21" s="646">
        <v>39.120999471428568</v>
      </c>
      <c r="N21" s="646">
        <v>85.173857551428583</v>
      </c>
      <c r="O21" s="646">
        <v>66.347143447142855</v>
      </c>
    </row>
    <row r="22" spans="1:15" ht="11.25" customHeight="1">
      <c r="A22" s="172"/>
      <c r="C22" s="426" t="s">
        <v>146</v>
      </c>
      <c r="D22" s="427">
        <v>0.40396774295837612</v>
      </c>
      <c r="E22" s="427">
        <v>0.372999996</v>
      </c>
      <c r="F22" s="428">
        <f t="shared" si="0"/>
        <v>8.3023451180884514E-2</v>
      </c>
      <c r="G22" s="138"/>
      <c r="H22" s="25"/>
      <c r="I22" s="3"/>
      <c r="L22" s="528">
        <v>19</v>
      </c>
      <c r="M22" s="646">
        <v>35.410856791428571</v>
      </c>
      <c r="N22" s="646">
        <v>71.224285714285699</v>
      </c>
      <c r="O22" s="646">
        <v>42.216071428571425</v>
      </c>
    </row>
    <row r="23" spans="1:15" ht="11.25" customHeight="1">
      <c r="A23" s="172"/>
      <c r="C23" s="429" t="s">
        <v>147</v>
      </c>
      <c r="D23" s="430">
        <v>4.312386933834313</v>
      </c>
      <c r="E23" s="430">
        <v>4.1288386099999999</v>
      </c>
      <c r="F23" s="431">
        <f t="shared" si="0"/>
        <v>4.4455194589045267E-2</v>
      </c>
      <c r="G23" s="138"/>
      <c r="H23" s="25"/>
      <c r="I23" s="3"/>
      <c r="L23" s="528">
        <v>20</v>
      </c>
      <c r="M23" s="646">
        <v>32.405142920000003</v>
      </c>
      <c r="N23" s="646">
        <v>76.857142859999996</v>
      </c>
      <c r="O23" s="646">
        <v>58.324429100000003</v>
      </c>
    </row>
    <row r="24" spans="1:15" ht="11.25" customHeight="1">
      <c r="A24" s="172"/>
      <c r="C24" s="426" t="s">
        <v>163</v>
      </c>
      <c r="D24" s="427">
        <v>26.495999982280079</v>
      </c>
      <c r="E24" s="427">
        <v>27.584612849999999</v>
      </c>
      <c r="F24" s="428">
        <f t="shared" si="0"/>
        <v>-3.9464496878734344E-2</v>
      </c>
      <c r="G24" s="138"/>
      <c r="H24" s="26"/>
      <c r="I24" s="3"/>
      <c r="L24" s="528">
        <v>21</v>
      </c>
      <c r="M24" s="646">
        <v>26.58385740142857</v>
      </c>
      <c r="N24" s="646">
        <v>47.97114345</v>
      </c>
      <c r="O24" s="646">
        <v>34.032571519999998</v>
      </c>
    </row>
    <row r="25" spans="1:15" ht="11.25" customHeight="1">
      <c r="A25" s="138"/>
      <c r="C25" s="429" t="s">
        <v>153</v>
      </c>
      <c r="D25" s="430">
        <v>0</v>
      </c>
      <c r="E25" s="430">
        <v>0</v>
      </c>
      <c r="F25" s="431" t="str">
        <f t="shared" si="0"/>
        <v/>
      </c>
      <c r="G25" s="156"/>
      <c r="H25" s="25"/>
      <c r="I25" s="3"/>
      <c r="L25" s="528">
        <v>22</v>
      </c>
      <c r="M25" s="646">
        <v>19.653714315714286</v>
      </c>
      <c r="N25" s="646">
        <v>37.624285945285713</v>
      </c>
      <c r="O25" s="646">
        <v>40.524285998571429</v>
      </c>
    </row>
    <row r="26" spans="1:15" ht="11.25" customHeight="1">
      <c r="A26" s="173"/>
      <c r="C26" s="426" t="s">
        <v>154</v>
      </c>
      <c r="D26" s="427">
        <v>0.76906450140860616</v>
      </c>
      <c r="E26" s="427">
        <v>0.25061290000000003</v>
      </c>
      <c r="F26" s="428">
        <f t="shared" si="0"/>
        <v>2.0687346956545576</v>
      </c>
      <c r="G26" s="138"/>
      <c r="H26" s="23"/>
      <c r="I26" s="3"/>
      <c r="L26" s="528">
        <v>23</v>
      </c>
      <c r="M26" s="646">
        <v>16.50400011857143</v>
      </c>
      <c r="N26" s="646">
        <v>37.806285858571421</v>
      </c>
      <c r="O26" s="646">
        <v>25.010571342857141</v>
      </c>
    </row>
    <row r="27" spans="1:15" ht="11.25" customHeight="1">
      <c r="A27" s="138"/>
      <c r="C27" s="429" t="s">
        <v>155</v>
      </c>
      <c r="D27" s="430">
        <v>9.3548385606657992E-3</v>
      </c>
      <c r="E27" s="430">
        <v>9.2903229999999996E-3</v>
      </c>
      <c r="F27" s="431">
        <f t="shared" si="0"/>
        <v>6.9443829526486447E-3</v>
      </c>
      <c r="G27" s="138"/>
      <c r="H27" s="23"/>
      <c r="I27" s="3"/>
      <c r="L27" s="528">
        <v>24</v>
      </c>
      <c r="M27" s="646">
        <v>14.890428544285713</v>
      </c>
      <c r="N27" s="646">
        <v>35.468714032857143</v>
      </c>
      <c r="O27" s="646">
        <v>18.242713997857145</v>
      </c>
    </row>
    <row r="28" spans="1:15" ht="11.25" customHeight="1">
      <c r="A28" s="138"/>
      <c r="C28" s="426" t="s">
        <v>156</v>
      </c>
      <c r="D28" s="427">
        <v>0</v>
      </c>
      <c r="E28" s="427">
        <v>0</v>
      </c>
      <c r="F28" s="428" t="str">
        <f t="shared" si="0"/>
        <v/>
      </c>
      <c r="G28" s="138"/>
      <c r="H28" s="23"/>
      <c r="I28" s="3"/>
      <c r="L28" s="528">
        <v>25</v>
      </c>
      <c r="M28" s="646">
        <v>15.340000017142858</v>
      </c>
      <c r="N28" s="646">
        <v>33.200142724285719</v>
      </c>
      <c r="O28" s="646">
        <v>16.013142995714286</v>
      </c>
    </row>
    <row r="29" spans="1:15" ht="11.25" customHeight="1">
      <c r="A29" s="156"/>
      <c r="C29" s="429" t="s">
        <v>158</v>
      </c>
      <c r="D29" s="430">
        <v>1.6748077215686874</v>
      </c>
      <c r="E29" s="430">
        <v>1.941591257</v>
      </c>
      <c r="F29" s="431">
        <f t="shared" si="0"/>
        <v>-0.13740458217942655</v>
      </c>
      <c r="G29" s="174"/>
      <c r="H29" s="23"/>
      <c r="I29" s="3"/>
      <c r="K29" s="528">
        <v>26</v>
      </c>
      <c r="L29" s="528">
        <v>26</v>
      </c>
      <c r="M29" s="646">
        <v>15.521142687142857</v>
      </c>
      <c r="N29" s="646">
        <v>28.376285825714287</v>
      </c>
      <c r="O29" s="646">
        <v>12.961571557142857</v>
      </c>
    </row>
    <row r="30" spans="1:15" ht="11.25" customHeight="1">
      <c r="A30" s="173"/>
      <c r="C30" s="432" t="s">
        <v>149</v>
      </c>
      <c r="D30" s="433">
        <v>1.7954301075268833</v>
      </c>
      <c r="E30" s="433">
        <v>2</v>
      </c>
      <c r="F30" s="434">
        <f t="shared" si="0"/>
        <v>-0.10228494623655837</v>
      </c>
      <c r="G30" s="138"/>
      <c r="H30" s="25"/>
      <c r="I30" s="3"/>
      <c r="L30" s="528">
        <v>27</v>
      </c>
      <c r="M30" s="646">
        <v>15.32</v>
      </c>
      <c r="N30" s="646">
        <v>28.47</v>
      </c>
      <c r="O30" s="646">
        <v>11.39</v>
      </c>
    </row>
    <row r="31" spans="1:15" ht="11.25" customHeight="1">
      <c r="A31" s="137"/>
      <c r="C31" s="262" t="str">
        <f>"Cuadro N°10: Promedio de caudales en "&amp;'1. Resumen'!Q4</f>
        <v>Cuadro N°10: Promedio de caudales en mayo</v>
      </c>
      <c r="D31" s="137"/>
      <c r="E31" s="137"/>
      <c r="F31" s="137"/>
      <c r="G31" s="137"/>
      <c r="H31" s="25"/>
      <c r="I31" s="6"/>
      <c r="L31" s="528">
        <v>28</v>
      </c>
      <c r="M31" s="646">
        <v>14.809428488571427</v>
      </c>
      <c r="N31" s="646">
        <v>28.920333226666667</v>
      </c>
      <c r="O31" s="646">
        <v>11.405166626666668</v>
      </c>
    </row>
    <row r="32" spans="1:15" ht="11.25" customHeight="1">
      <c r="A32" s="137"/>
      <c r="B32" s="137"/>
      <c r="C32" s="137"/>
      <c r="D32" s="137"/>
      <c r="E32" s="137"/>
      <c r="F32" s="137"/>
      <c r="G32" s="137"/>
      <c r="H32" s="25"/>
      <c r="I32" s="6"/>
      <c r="L32" s="528">
        <v>29</v>
      </c>
      <c r="M32" s="646">
        <v>13.666428565978956</v>
      </c>
      <c r="N32" s="646">
        <v>24.422333717346149</v>
      </c>
      <c r="O32" s="646">
        <v>10.173999945322651</v>
      </c>
    </row>
    <row r="33" spans="1:15" ht="11.25" customHeight="1">
      <c r="A33" s="137"/>
      <c r="B33" s="137"/>
      <c r="C33" s="137"/>
      <c r="D33" s="137"/>
      <c r="E33" s="137"/>
      <c r="F33" s="137"/>
      <c r="G33" s="137"/>
      <c r="H33" s="25"/>
      <c r="I33" s="6"/>
      <c r="L33" s="528">
        <v>30</v>
      </c>
      <c r="M33" s="646">
        <v>13.392857142857142</v>
      </c>
      <c r="N33" s="646">
        <v>24.086666666666662</v>
      </c>
      <c r="O33" s="646">
        <v>9.1716666666666669</v>
      </c>
    </row>
    <row r="34" spans="1:15" ht="11.25" customHeight="1">
      <c r="A34" s="137"/>
      <c r="B34" s="137"/>
      <c r="C34" s="137"/>
      <c r="D34" s="137"/>
      <c r="E34" s="137"/>
      <c r="F34" s="137"/>
      <c r="G34" s="137"/>
      <c r="H34" s="25"/>
      <c r="I34" s="6"/>
      <c r="L34" s="528">
        <v>31</v>
      </c>
      <c r="M34" s="646">
        <v>13.098428589999999</v>
      </c>
      <c r="N34" s="646">
        <v>22.471285411428575</v>
      </c>
      <c r="O34" s="646">
        <v>8.5915715354285727</v>
      </c>
    </row>
    <row r="35" spans="1:15" ht="17.25" customHeight="1">
      <c r="A35" s="862" t="s">
        <v>381</v>
      </c>
      <c r="B35" s="862"/>
      <c r="C35" s="862"/>
      <c r="D35" s="862"/>
      <c r="E35" s="862"/>
      <c r="F35" s="862"/>
      <c r="G35" s="862"/>
      <c r="H35" s="25"/>
      <c r="I35" s="6"/>
      <c r="L35" s="528">
        <v>32</v>
      </c>
      <c r="M35" s="646">
        <v>12.228285654285713</v>
      </c>
      <c r="N35" s="646">
        <v>25.212714058571429</v>
      </c>
      <c r="O35" s="646">
        <v>6.6260000637142857</v>
      </c>
    </row>
    <row r="36" spans="1:15" ht="11.25" customHeight="1">
      <c r="A36" s="137"/>
      <c r="B36" s="137"/>
      <c r="C36" s="137"/>
      <c r="D36" s="137"/>
      <c r="E36" s="137"/>
      <c r="F36" s="137"/>
      <c r="G36" s="137"/>
      <c r="H36" s="25"/>
      <c r="I36" s="6"/>
      <c r="L36" s="528">
        <v>33</v>
      </c>
      <c r="M36" s="646">
        <v>12.838714327142856</v>
      </c>
      <c r="N36" s="646">
        <v>28.061000278571431</v>
      </c>
      <c r="O36" s="646">
        <v>5.9311428751428581</v>
      </c>
    </row>
    <row r="37" spans="1:15" ht="11.25" customHeight="1">
      <c r="A37" s="136"/>
      <c r="B37" s="138"/>
      <c r="C37" s="138"/>
      <c r="D37" s="138"/>
      <c r="E37" s="138"/>
      <c r="F37" s="138"/>
      <c r="G37" s="138"/>
      <c r="H37" s="26"/>
      <c r="I37" s="6"/>
      <c r="K37" s="528">
        <v>34</v>
      </c>
      <c r="L37" s="528">
        <v>34</v>
      </c>
      <c r="M37" s="646">
        <v>12.37928554</v>
      </c>
      <c r="N37" s="646">
        <v>28.455856868571431</v>
      </c>
      <c r="O37" s="646">
        <v>5.2604285648571434</v>
      </c>
    </row>
    <row r="38" spans="1:15" ht="11.25" customHeight="1">
      <c r="A38" s="74"/>
      <c r="B38" s="73"/>
      <c r="C38" s="73"/>
      <c r="D38" s="73"/>
      <c r="E38" s="73"/>
      <c r="F38" s="73"/>
      <c r="G38" s="73"/>
      <c r="H38" s="3"/>
      <c r="I38" s="6"/>
      <c r="L38" s="528">
        <v>35</v>
      </c>
      <c r="M38" s="646">
        <v>11.92371409142857</v>
      </c>
      <c r="N38" s="646">
        <v>26.646000226666668</v>
      </c>
      <c r="O38" s="646">
        <v>4.7316666444999997</v>
      </c>
    </row>
    <row r="39" spans="1:15" ht="11.25" customHeight="1">
      <c r="A39" s="74"/>
      <c r="B39" s="73"/>
      <c r="C39" s="73"/>
      <c r="D39" s="73"/>
      <c r="E39" s="73"/>
      <c r="F39" s="73"/>
      <c r="G39" s="73"/>
      <c r="H39" s="3"/>
      <c r="I39" s="10"/>
      <c r="L39" s="528">
        <v>36</v>
      </c>
      <c r="M39" s="646">
        <v>10.731857162857143</v>
      </c>
      <c r="N39" s="646">
        <v>27.720570974285714</v>
      </c>
      <c r="O39" s="646">
        <v>4.5542856622857144</v>
      </c>
    </row>
    <row r="40" spans="1:15" ht="11.25" customHeight="1">
      <c r="A40" s="74"/>
      <c r="B40" s="73"/>
      <c r="C40" s="73"/>
      <c r="D40" s="73"/>
      <c r="E40" s="73"/>
      <c r="F40" s="73"/>
      <c r="G40" s="73"/>
      <c r="H40" s="3"/>
      <c r="I40" s="10"/>
      <c r="L40" s="528">
        <v>37</v>
      </c>
      <c r="M40" s="646">
        <v>11.481428825714286</v>
      </c>
      <c r="N40" s="646">
        <v>27.967571258571429</v>
      </c>
      <c r="O40" s="646">
        <v>4.1919999124285718</v>
      </c>
    </row>
    <row r="41" spans="1:15" ht="11.25" customHeight="1">
      <c r="A41" s="74"/>
      <c r="B41" s="73"/>
      <c r="C41" s="73"/>
      <c r="D41" s="73"/>
      <c r="E41" s="73"/>
      <c r="F41" s="73"/>
      <c r="G41" s="73"/>
      <c r="H41" s="3"/>
      <c r="I41" s="7"/>
      <c r="L41" s="528">
        <v>38</v>
      </c>
      <c r="M41" s="646">
        <v>12.217142857142859</v>
      </c>
      <c r="N41" s="646">
        <v>31.354000000000003</v>
      </c>
      <c r="O41" s="646">
        <v>4.1759999999999993</v>
      </c>
    </row>
    <row r="42" spans="1:15" ht="11.25" customHeight="1">
      <c r="A42" s="74"/>
      <c r="B42" s="73"/>
      <c r="C42" s="73"/>
      <c r="D42" s="73"/>
      <c r="E42" s="73"/>
      <c r="F42" s="73"/>
      <c r="G42" s="73"/>
      <c r="H42" s="3"/>
      <c r="I42" s="7"/>
      <c r="L42" s="528">
        <v>39</v>
      </c>
      <c r="M42" s="646">
        <v>15.0261430740356</v>
      </c>
      <c r="N42" s="646">
        <v>37.146399307250938</v>
      </c>
      <c r="O42" s="646">
        <v>4.8932001113891559</v>
      </c>
    </row>
    <row r="43" spans="1:15" ht="11.25" customHeight="1">
      <c r="A43" s="74"/>
      <c r="B43" s="73"/>
      <c r="C43" s="73"/>
      <c r="D43" s="73"/>
      <c r="E43" s="73"/>
      <c r="F43" s="73"/>
      <c r="G43" s="73"/>
      <c r="H43" s="3"/>
      <c r="I43" s="7"/>
      <c r="L43" s="528">
        <v>40</v>
      </c>
      <c r="M43" s="646">
        <v>13.292000225714288</v>
      </c>
      <c r="N43" s="646">
        <v>29.934999783333328</v>
      </c>
      <c r="O43" s="646">
        <v>5.3130000431666664</v>
      </c>
    </row>
    <row r="44" spans="1:15" ht="11.25" customHeight="1">
      <c r="A44" s="74"/>
      <c r="B44" s="73"/>
      <c r="C44" s="73"/>
      <c r="D44" s="73"/>
      <c r="E44" s="73"/>
      <c r="F44" s="73"/>
      <c r="G44" s="73"/>
      <c r="H44" s="6"/>
      <c r="I44" s="10"/>
      <c r="L44" s="528">
        <v>41</v>
      </c>
      <c r="M44" s="646">
        <v>15.472143037142859</v>
      </c>
      <c r="N44" s="646">
        <v>31.668000084285715</v>
      </c>
      <c r="O44" s="646">
        <v>8.3924286701428574</v>
      </c>
    </row>
    <row r="45" spans="1:15" ht="11.25" customHeight="1">
      <c r="A45" s="74"/>
      <c r="B45" s="73"/>
      <c r="C45" s="73"/>
      <c r="D45" s="73"/>
      <c r="E45" s="73"/>
      <c r="F45" s="73"/>
      <c r="G45" s="73"/>
      <c r="H45" s="3"/>
      <c r="I45" s="10"/>
      <c r="L45" s="528">
        <v>42</v>
      </c>
      <c r="M45" s="646">
        <v>14.602857142857143</v>
      </c>
      <c r="N45" s="646">
        <v>30.061428571428571</v>
      </c>
      <c r="O45" s="646">
        <v>9.2871428571428574</v>
      </c>
    </row>
    <row r="46" spans="1:15" ht="11.25" customHeight="1">
      <c r="A46" s="74"/>
      <c r="B46" s="73"/>
      <c r="C46" s="73"/>
      <c r="D46" s="73"/>
      <c r="E46" s="73"/>
      <c r="F46" s="73"/>
      <c r="G46" s="73"/>
      <c r="H46" s="3"/>
      <c r="I46" s="10"/>
      <c r="L46" s="528">
        <v>43</v>
      </c>
      <c r="M46" s="646">
        <v>18.763999527142854</v>
      </c>
      <c r="N46" s="646">
        <v>48.129999975714291</v>
      </c>
      <c r="O46" s="646">
        <v>18.153714861428572</v>
      </c>
    </row>
    <row r="47" spans="1:15" ht="11.25" customHeight="1">
      <c r="A47" s="74"/>
      <c r="B47" s="73"/>
      <c r="C47" s="73"/>
      <c r="D47" s="73"/>
      <c r="E47" s="73"/>
      <c r="F47" s="73"/>
      <c r="G47" s="73"/>
      <c r="H47" s="11"/>
      <c r="I47" s="11"/>
      <c r="K47" s="528">
        <v>44</v>
      </c>
      <c r="L47" s="528">
        <v>44</v>
      </c>
      <c r="M47" s="646">
        <v>12.722428322857143</v>
      </c>
      <c r="N47" s="646">
        <v>37.781833011666663</v>
      </c>
      <c r="O47" s="646">
        <v>19.903499760000003</v>
      </c>
    </row>
    <row r="48" spans="1:15" ht="11.25" customHeight="1">
      <c r="A48" s="74"/>
      <c r="B48" s="73"/>
      <c r="C48" s="73"/>
      <c r="D48" s="73"/>
      <c r="E48" s="73"/>
      <c r="F48" s="73"/>
      <c r="G48" s="73"/>
      <c r="H48" s="11"/>
      <c r="I48" s="11"/>
      <c r="L48" s="528">
        <v>45</v>
      </c>
      <c r="M48" s="646">
        <v>22.372000012857146</v>
      </c>
      <c r="N48" s="646">
        <v>60.721429549999996</v>
      </c>
      <c r="O48" s="646">
        <v>69.077428547142844</v>
      </c>
    </row>
    <row r="49" spans="1:15" ht="11.25" customHeight="1">
      <c r="A49" s="74"/>
      <c r="B49" s="73"/>
      <c r="C49" s="73"/>
      <c r="D49" s="73"/>
      <c r="E49" s="73"/>
      <c r="F49" s="73"/>
      <c r="G49" s="73"/>
      <c r="H49" s="11"/>
      <c r="I49" s="11"/>
      <c r="L49" s="528">
        <v>46</v>
      </c>
      <c r="M49" s="646">
        <v>28.101571491428576</v>
      </c>
      <c r="N49" s="646">
        <v>68.569856369999997</v>
      </c>
      <c r="O49" s="646">
        <v>51.190428054285711</v>
      </c>
    </row>
    <row r="50" spans="1:15" ht="11.25" customHeight="1">
      <c r="A50" s="74"/>
      <c r="B50" s="73"/>
      <c r="C50" s="73"/>
      <c r="D50" s="73"/>
      <c r="E50" s="73"/>
      <c r="F50" s="73"/>
      <c r="G50" s="73"/>
      <c r="H50" s="11"/>
      <c r="I50" s="11"/>
      <c r="L50" s="528">
        <v>47</v>
      </c>
      <c r="M50" s="646">
        <v>22.222285951428574</v>
      </c>
      <c r="N50" s="646">
        <v>51.534999302857152</v>
      </c>
      <c r="O50" s="646">
        <v>21.676285608571426</v>
      </c>
    </row>
    <row r="51" spans="1:15" ht="11.25" customHeight="1">
      <c r="A51" s="74"/>
      <c r="B51" s="73"/>
      <c r="C51" s="73"/>
      <c r="D51" s="73"/>
      <c r="E51" s="73"/>
      <c r="F51" s="73"/>
      <c r="G51" s="73"/>
      <c r="H51" s="11"/>
      <c r="I51" s="11"/>
      <c r="L51" s="528">
        <v>48</v>
      </c>
      <c r="M51" s="646">
        <v>18.796428408571426</v>
      </c>
      <c r="N51" s="646">
        <v>45.115714484285718</v>
      </c>
      <c r="O51" s="646">
        <v>19.428714208571428</v>
      </c>
    </row>
    <row r="52" spans="1:15" ht="11.25" customHeight="1">
      <c r="A52" s="74"/>
      <c r="B52" s="73"/>
      <c r="C52" s="73"/>
      <c r="D52" s="73"/>
      <c r="E52" s="73"/>
      <c r="F52" s="73"/>
      <c r="G52" s="73"/>
      <c r="H52" s="11"/>
      <c r="I52" s="11"/>
      <c r="L52" s="528">
        <v>49</v>
      </c>
      <c r="M52" s="646">
        <v>40.459857124285712</v>
      </c>
      <c r="N52" s="646">
        <v>84.846428458571424</v>
      </c>
      <c r="O52" s="646">
        <v>67.787142617142862</v>
      </c>
    </row>
    <row r="53" spans="1:15" ht="11.25" customHeight="1">
      <c r="A53" s="74"/>
      <c r="B53" s="73"/>
      <c r="C53" s="73"/>
      <c r="D53" s="73"/>
      <c r="E53" s="73"/>
      <c r="F53" s="73"/>
      <c r="G53" s="73"/>
      <c r="H53" s="11"/>
      <c r="I53" s="11"/>
      <c r="L53" s="528">
        <v>50</v>
      </c>
      <c r="M53" s="646">
        <v>55.208571570000004</v>
      </c>
      <c r="N53" s="646">
        <v>99.139714364285723</v>
      </c>
      <c r="O53" s="646">
        <v>46.000713344285714</v>
      </c>
    </row>
    <row r="54" spans="1:15" ht="11.25" customHeight="1">
      <c r="A54" s="74"/>
      <c r="B54" s="73"/>
      <c r="C54" s="73"/>
      <c r="D54" s="73"/>
      <c r="E54" s="73"/>
      <c r="F54" s="73"/>
      <c r="G54" s="73"/>
      <c r="H54" s="11"/>
      <c r="I54" s="11"/>
      <c r="L54" s="528">
        <v>51</v>
      </c>
      <c r="M54" s="646">
        <v>84.778857641428559</v>
      </c>
      <c r="N54" s="646">
        <v>201.52657207142857</v>
      </c>
      <c r="O54" s="646">
        <v>43.586286274285712</v>
      </c>
    </row>
    <row r="55" spans="1:15" ht="13.2">
      <c r="A55" s="74"/>
      <c r="B55" s="73"/>
      <c r="C55" s="73"/>
      <c r="D55" s="73"/>
      <c r="E55" s="73"/>
      <c r="F55" s="73"/>
      <c r="G55" s="73"/>
      <c r="H55" s="11"/>
      <c r="I55" s="11"/>
      <c r="K55" s="528">
        <v>52</v>
      </c>
      <c r="L55" s="528">
        <v>52</v>
      </c>
      <c r="M55" s="646">
        <v>90.21400125571428</v>
      </c>
      <c r="N55" s="646">
        <v>224.1094316857143</v>
      </c>
      <c r="O55" s="646">
        <v>50.483570642857153</v>
      </c>
    </row>
    <row r="56" spans="1:15" ht="13.2">
      <c r="A56" s="74"/>
      <c r="B56" s="73"/>
      <c r="C56" s="73"/>
      <c r="D56" s="73"/>
      <c r="E56" s="73"/>
      <c r="F56" s="73"/>
      <c r="G56" s="73"/>
      <c r="H56" s="11"/>
      <c r="I56" s="11"/>
      <c r="L56" s="528">
        <v>53</v>
      </c>
      <c r="M56" s="646">
        <v>80.061285835714287</v>
      </c>
      <c r="N56" s="646">
        <v>205.2461395</v>
      </c>
      <c r="O56" s="646">
        <v>83.637714931428576</v>
      </c>
    </row>
    <row r="57" spans="1:15" ht="13.2">
      <c r="A57" s="74"/>
      <c r="B57" s="73"/>
      <c r="C57" s="73"/>
      <c r="D57" s="73"/>
      <c r="E57" s="73"/>
      <c r="F57" s="73"/>
      <c r="G57" s="73"/>
      <c r="H57" s="11"/>
      <c r="I57" s="11"/>
      <c r="J57" s="274">
        <v>2020</v>
      </c>
      <c r="L57" s="528">
        <v>1</v>
      </c>
      <c r="M57" s="646">
        <v>42.7519994463239</v>
      </c>
      <c r="N57" s="646">
        <v>129.33128356933543</v>
      </c>
      <c r="O57" s="646">
        <v>35.412713732038192</v>
      </c>
    </row>
    <row r="58" spans="1:15" ht="13.2">
      <c r="A58" s="74"/>
      <c r="B58" s="73"/>
      <c r="C58" s="73"/>
      <c r="D58" s="73"/>
      <c r="E58" s="73"/>
      <c r="F58" s="73"/>
      <c r="G58" s="73"/>
      <c r="H58" s="11"/>
      <c r="I58" s="11"/>
      <c r="L58" s="528">
        <v>2</v>
      </c>
      <c r="M58" s="646">
        <v>30.679571151428568</v>
      </c>
      <c r="N58" s="646">
        <v>73.393001012857141</v>
      </c>
      <c r="O58" s="646">
        <v>22.044856754285714</v>
      </c>
    </row>
    <row r="59" spans="1:15" ht="13.2">
      <c r="A59" s="74"/>
      <c r="B59" s="73"/>
      <c r="C59" s="73"/>
      <c r="D59" s="73"/>
      <c r="E59" s="73"/>
      <c r="F59" s="73"/>
      <c r="G59" s="73"/>
      <c r="H59" s="11"/>
      <c r="I59" s="11"/>
      <c r="L59" s="528">
        <v>3</v>
      </c>
      <c r="M59" s="646">
        <v>46.443999700000006</v>
      </c>
      <c r="N59" s="646">
        <v>73.092571804285726</v>
      </c>
      <c r="O59" s="646">
        <v>18.210142817142859</v>
      </c>
    </row>
    <row r="60" spans="1:15" ht="13.2">
      <c r="A60" s="74"/>
      <c r="B60" s="73"/>
      <c r="C60" s="73"/>
      <c r="D60" s="73"/>
      <c r="E60" s="73"/>
      <c r="F60" s="73"/>
      <c r="G60" s="73"/>
      <c r="H60" s="11"/>
      <c r="I60" s="11"/>
      <c r="L60" s="528">
        <v>4</v>
      </c>
      <c r="M60" s="646">
        <v>56.559571404285713</v>
      </c>
      <c r="N60" s="646">
        <v>140.69343129999999</v>
      </c>
      <c r="O60" s="646">
        <v>15.934428624285713</v>
      </c>
    </row>
    <row r="61" spans="1:15" ht="13.2">
      <c r="A61" s="262" t="s">
        <v>576</v>
      </c>
      <c r="B61" s="73"/>
      <c r="C61" s="73"/>
      <c r="D61" s="73"/>
      <c r="E61" s="73"/>
      <c r="F61" s="73"/>
      <c r="G61" s="73"/>
      <c r="H61" s="11"/>
      <c r="I61" s="11"/>
      <c r="L61" s="528">
        <v>5</v>
      </c>
      <c r="M61" s="646">
        <v>85.997285015714283</v>
      </c>
      <c r="N61" s="646">
        <v>189.96014404285714</v>
      </c>
      <c r="O61" s="646">
        <v>16.347999845714288</v>
      </c>
    </row>
    <row r="62" spans="1:15">
      <c r="L62" s="528">
        <v>6</v>
      </c>
      <c r="M62" s="646">
        <v>79.643857683454215</v>
      </c>
      <c r="N62" s="646">
        <v>184.55100359235459</v>
      </c>
      <c r="O62" s="646">
        <v>24.545571190970243</v>
      </c>
    </row>
    <row r="63" spans="1:15">
      <c r="K63" s="528">
        <v>8</v>
      </c>
      <c r="L63" s="528">
        <v>8</v>
      </c>
      <c r="M63" s="646">
        <v>41.134571620396166</v>
      </c>
      <c r="N63" s="646">
        <v>83.969571794782198</v>
      </c>
      <c r="O63" s="646">
        <v>15.5625712530953</v>
      </c>
    </row>
    <row r="64" spans="1:15">
      <c r="L64" s="528">
        <v>9</v>
      </c>
      <c r="M64" s="646">
        <v>70.027142117142859</v>
      </c>
      <c r="N64" s="646">
        <v>124.34114185428572</v>
      </c>
      <c r="O64" s="646">
        <v>23.340428760000002</v>
      </c>
    </row>
    <row r="65" spans="11:15">
      <c r="L65" s="528">
        <v>10</v>
      </c>
      <c r="M65" s="646">
        <v>51.713285718571434</v>
      </c>
      <c r="N65" s="646">
        <v>110.96499854142857</v>
      </c>
      <c r="O65" s="646">
        <v>51.143429344285714</v>
      </c>
    </row>
    <row r="66" spans="11:15">
      <c r="L66" s="528">
        <v>11</v>
      </c>
      <c r="M66" s="646">
        <v>64.999999455714274</v>
      </c>
      <c r="N66" s="646">
        <v>130.17914037142856</v>
      </c>
      <c r="O66" s="646">
        <v>73.820713587142862</v>
      </c>
    </row>
    <row r="67" spans="11:15">
      <c r="L67" s="528">
        <v>12</v>
      </c>
      <c r="M67" s="646">
        <v>70.530143192836164</v>
      </c>
      <c r="N67" s="646">
        <v>127.86657169886942</v>
      </c>
      <c r="O67" s="646">
        <v>34.1388571602957</v>
      </c>
    </row>
    <row r="68" spans="11:15">
      <c r="L68" s="528">
        <v>13</v>
      </c>
      <c r="M68" s="646">
        <v>73.710714612688278</v>
      </c>
      <c r="N68" s="646">
        <v>138.12900325230143</v>
      </c>
      <c r="O68" s="646">
        <v>66.457714898245612</v>
      </c>
    </row>
    <row r="69" spans="11:15">
      <c r="L69" s="528">
        <v>14</v>
      </c>
      <c r="M69" s="646">
        <v>57.796857017142862</v>
      </c>
      <c r="N69" s="646">
        <v>109.14457049285714</v>
      </c>
      <c r="O69" s="646">
        <v>82.626999985714278</v>
      </c>
    </row>
    <row r="70" spans="11:15">
      <c r="L70" s="528">
        <v>15</v>
      </c>
      <c r="M70" s="646">
        <v>44.430285317142861</v>
      </c>
      <c r="N70" s="646">
        <v>80.133571635714276</v>
      </c>
      <c r="O70" s="646">
        <v>89.91342707714287</v>
      </c>
    </row>
    <row r="71" spans="11:15">
      <c r="K71" s="528">
        <v>16</v>
      </c>
      <c r="L71" s="528">
        <v>16</v>
      </c>
      <c r="M71" s="646">
        <v>30.701856885714285</v>
      </c>
      <c r="N71" s="646">
        <v>57.13714327142857</v>
      </c>
      <c r="O71" s="646">
        <v>73.487428932857142</v>
      </c>
    </row>
    <row r="72" spans="11:15">
      <c r="L72" s="528">
        <v>17</v>
      </c>
      <c r="M72" s="646">
        <v>24.932857240949314</v>
      </c>
      <c r="N72" s="646">
        <v>55.184285845075259</v>
      </c>
      <c r="O72" s="646">
        <v>80.585714067731558</v>
      </c>
    </row>
    <row r="73" spans="11:15">
      <c r="L73" s="528">
        <v>18</v>
      </c>
      <c r="M73" s="646">
        <v>46.867285591428576</v>
      </c>
      <c r="N73" s="646">
        <v>80.201000221428572</v>
      </c>
      <c r="O73" s="646">
        <v>93.131286082857144</v>
      </c>
    </row>
    <row r="74" spans="11:15">
      <c r="L74" s="528">
        <v>19</v>
      </c>
      <c r="M74" s="646">
        <v>39.880857740000003</v>
      </c>
      <c r="N74" s="646">
        <v>73.398713792857151</v>
      </c>
      <c r="O74" s="646">
        <v>43.960427964285714</v>
      </c>
    </row>
    <row r="75" spans="11:15">
      <c r="L75" s="528">
        <v>20</v>
      </c>
      <c r="M75" s="646">
        <v>34.332998821428575</v>
      </c>
      <c r="N75" s="646">
        <v>57.629714421428567</v>
      </c>
      <c r="O75" s="646">
        <v>29.038571492857141</v>
      </c>
    </row>
    <row r="76" spans="11:15">
      <c r="L76" s="528">
        <v>21</v>
      </c>
      <c r="M76" s="646">
        <v>28.39914212908057</v>
      </c>
      <c r="N76" s="646">
        <v>47.208427974155924</v>
      </c>
      <c r="O76" s="646">
        <v>20.747856957571798</v>
      </c>
    </row>
    <row r="77" spans="11:15">
      <c r="L77" s="528">
        <v>22</v>
      </c>
      <c r="M77" s="646">
        <v>19.016142710000004</v>
      </c>
      <c r="N77" s="646">
        <v>39.635571071428572</v>
      </c>
      <c r="O77" s="646">
        <v>28.597570964285715</v>
      </c>
    </row>
    <row r="78" spans="11:15">
      <c r="L78" s="528">
        <v>23</v>
      </c>
      <c r="M78" s="646">
        <v>16.323713982857143</v>
      </c>
      <c r="N78" s="646">
        <v>49.136857168571431</v>
      </c>
      <c r="O78" s="646">
        <v>19.104714530000003</v>
      </c>
    </row>
    <row r="79" spans="11:15">
      <c r="K79" s="528">
        <v>24</v>
      </c>
      <c r="L79" s="528">
        <v>24</v>
      </c>
      <c r="M79" s="646">
        <v>14.458999906267413</v>
      </c>
      <c r="N79" s="646">
        <v>34.150428227015844</v>
      </c>
      <c r="O79" s="646">
        <v>14.211285591125442</v>
      </c>
    </row>
    <row r="80" spans="11:15">
      <c r="L80" s="528">
        <v>25</v>
      </c>
      <c r="M80" s="646">
        <v>13.476999827142858</v>
      </c>
      <c r="N80" s="646">
        <v>32.288857598571425</v>
      </c>
      <c r="O80" s="646">
        <v>11.628714288571429</v>
      </c>
    </row>
    <row r="81" spans="11:15">
      <c r="L81" s="528">
        <v>26</v>
      </c>
      <c r="M81" s="646">
        <v>14.175142699999999</v>
      </c>
      <c r="N81" s="646">
        <v>29.45585686714286</v>
      </c>
      <c r="O81" s="646">
        <v>11.67571422</v>
      </c>
    </row>
    <row r="82" spans="11:15">
      <c r="L82" s="528">
        <v>27</v>
      </c>
      <c r="M82" s="646">
        <v>12.859571456909155</v>
      </c>
      <c r="N82" s="646">
        <v>27.986428669520745</v>
      </c>
      <c r="O82" s="646">
        <v>27.48885754176543</v>
      </c>
    </row>
    <row r="83" spans="11:15">
      <c r="L83" s="528">
        <v>28</v>
      </c>
      <c r="M83" s="646">
        <v>11.472142902857144</v>
      </c>
      <c r="N83" s="646">
        <v>24.371857235714284</v>
      </c>
      <c r="O83" s="646">
        <v>32.395143782857147</v>
      </c>
    </row>
    <row r="84" spans="11:15">
      <c r="L84" s="528">
        <v>29</v>
      </c>
      <c r="M84" s="646">
        <v>11.32885715142857</v>
      </c>
      <c r="N84" s="646">
        <v>23.620857238571428</v>
      </c>
      <c r="O84" s="646">
        <v>14.974999971428572</v>
      </c>
    </row>
    <row r="85" spans="11:15">
      <c r="L85" s="528">
        <v>30</v>
      </c>
      <c r="M85" s="646">
        <v>11.152000155714285</v>
      </c>
      <c r="N85" s="646">
        <v>26.757428577142853</v>
      </c>
      <c r="O85" s="646">
        <v>14.12842846</v>
      </c>
    </row>
    <row r="86" spans="11:15">
      <c r="L86" s="528">
        <v>31</v>
      </c>
      <c r="M86" s="646">
        <v>10.852571488571428</v>
      </c>
      <c r="N86" s="646">
        <v>26.481285638571428</v>
      </c>
      <c r="O86" s="646">
        <v>10.121857098285714</v>
      </c>
    </row>
    <row r="87" spans="11:15">
      <c r="K87" s="528">
        <v>32</v>
      </c>
      <c r="L87" s="528">
        <v>32</v>
      </c>
      <c r="M87" s="646">
        <v>10.338285718645329</v>
      </c>
      <c r="N87" s="646">
        <v>25.506571633475126</v>
      </c>
      <c r="O87" s="646">
        <v>7.7241428239004906</v>
      </c>
    </row>
    <row r="88" spans="11:15">
      <c r="L88" s="528">
        <v>33</v>
      </c>
      <c r="M88" s="646">
        <v>11.413999967142857</v>
      </c>
      <c r="N88" s="646">
        <v>31.441428594285707</v>
      </c>
      <c r="O88" s="646">
        <v>8.5772858349999996</v>
      </c>
    </row>
    <row r="89" spans="11:15">
      <c r="L89" s="528">
        <v>34</v>
      </c>
      <c r="M89" s="646">
        <v>11.662143027142859</v>
      </c>
      <c r="N89" s="646">
        <v>33.365713935714282</v>
      </c>
      <c r="O89" s="646">
        <v>6.7090001108571427</v>
      </c>
    </row>
    <row r="90" spans="11:15">
      <c r="L90" s="528">
        <v>35</v>
      </c>
      <c r="M90" s="646">
        <v>11.541428702218141</v>
      </c>
      <c r="N90" s="646">
        <v>29.068999699183816</v>
      </c>
      <c r="O90" s="646">
        <v>5.7295714105878517</v>
      </c>
    </row>
    <row r="91" spans="11:15">
      <c r="L91" s="528">
        <v>36</v>
      </c>
      <c r="M91" s="646">
        <v>13.286857196262856</v>
      </c>
      <c r="N91" s="646">
        <v>26.005428859165701</v>
      </c>
      <c r="O91" s="646">
        <v>5.6865714618137853</v>
      </c>
    </row>
    <row r="92" spans="11:15">
      <c r="L92" s="528">
        <v>37</v>
      </c>
      <c r="M92" s="646">
        <v>15.49071434565947</v>
      </c>
      <c r="N92" s="646">
        <v>25.021857125418485</v>
      </c>
      <c r="O92" s="646">
        <v>5.3568570954459016</v>
      </c>
    </row>
    <row r="93" spans="11:15">
      <c r="L93" s="528">
        <v>38</v>
      </c>
      <c r="M93" s="646">
        <v>16.166143281119158</v>
      </c>
      <c r="N93" s="646">
        <v>27.854714257376486</v>
      </c>
      <c r="O93" s="646">
        <v>6.9268571308680906</v>
      </c>
    </row>
    <row r="94" spans="11:15">
      <c r="L94" s="528">
        <v>39</v>
      </c>
      <c r="M94" s="646">
        <v>16.810999734285712</v>
      </c>
      <c r="N94" s="646">
        <v>27.986571175714282</v>
      </c>
      <c r="O94" s="646">
        <v>9.9768571861428565</v>
      </c>
    </row>
    <row r="95" spans="11:15">
      <c r="K95" s="528">
        <v>40</v>
      </c>
      <c r="L95" s="528">
        <v>40</v>
      </c>
      <c r="M95" s="646">
        <v>14.579285758571428</v>
      </c>
      <c r="N95" s="646">
        <v>25.258999961428572</v>
      </c>
      <c r="O95" s="646">
        <v>7.1328571184285705</v>
      </c>
    </row>
    <row r="96" spans="11:15">
      <c r="L96" s="528">
        <v>41</v>
      </c>
      <c r="M96" s="646">
        <v>13.048857279999998</v>
      </c>
      <c r="N96" s="646">
        <v>25.185571671428566</v>
      </c>
      <c r="O96" s="646">
        <v>4.9102856772857146</v>
      </c>
    </row>
    <row r="97" spans="10:15">
      <c r="L97" s="528">
        <v>42</v>
      </c>
      <c r="M97" s="646">
        <v>14.871000289916955</v>
      </c>
      <c r="N97" s="646">
        <v>33.125999450683558</v>
      </c>
      <c r="O97" s="646">
        <v>6.3367142677306969</v>
      </c>
    </row>
    <row r="98" spans="10:15">
      <c r="L98" s="528">
        <v>43</v>
      </c>
      <c r="M98" s="646">
        <v>21.991714477142857</v>
      </c>
      <c r="N98" s="646">
        <v>41.127143314285711</v>
      </c>
      <c r="O98" s="646">
        <v>11.867142950714285</v>
      </c>
    </row>
    <row r="99" spans="10:15">
      <c r="L99" s="528">
        <v>44</v>
      </c>
      <c r="M99" s="646">
        <v>13.904857091428573</v>
      </c>
      <c r="N99" s="646">
        <v>33.038428169999996</v>
      </c>
      <c r="O99" s="646">
        <v>5.2337141718571427</v>
      </c>
    </row>
    <row r="100" spans="10:15">
      <c r="L100" s="528">
        <v>45</v>
      </c>
      <c r="M100" s="646">
        <v>13.184428621428571</v>
      </c>
      <c r="N100" s="646">
        <v>40.115713391428571</v>
      </c>
      <c r="O100" s="646">
        <v>5.0682858059999996</v>
      </c>
    </row>
    <row r="101" spans="10:15">
      <c r="L101" s="528">
        <v>46</v>
      </c>
      <c r="M101" s="646">
        <v>13.14228561857143</v>
      </c>
      <c r="N101" s="646">
        <v>43.881571090000001</v>
      </c>
      <c r="O101" s="646">
        <v>4.7745714188571426</v>
      </c>
    </row>
    <row r="102" spans="10:15">
      <c r="L102" s="528">
        <v>47</v>
      </c>
      <c r="M102" s="646">
        <v>15.124714305714289</v>
      </c>
      <c r="N102" s="646">
        <v>42.811571392857147</v>
      </c>
      <c r="O102" s="646">
        <v>5.635714394571429</v>
      </c>
    </row>
    <row r="103" spans="10:15">
      <c r="L103" s="528">
        <v>48</v>
      </c>
      <c r="M103" s="646">
        <v>27.692142758571432</v>
      </c>
      <c r="N103" s="646">
        <v>66.262570518571422</v>
      </c>
      <c r="O103" s="646">
        <v>27.02714340957143</v>
      </c>
    </row>
    <row r="104" spans="10:15">
      <c r="L104" s="528">
        <v>49</v>
      </c>
      <c r="M104" s="646">
        <v>64.694000790000004</v>
      </c>
      <c r="N104" s="646">
        <v>122.24228668571428</v>
      </c>
      <c r="O104" s="646">
        <v>80.020142697142845</v>
      </c>
    </row>
    <row r="105" spans="10:15">
      <c r="L105" s="528">
        <v>50</v>
      </c>
      <c r="M105" s="646">
        <v>43.356857299999994</v>
      </c>
      <c r="N105" s="646">
        <v>78.250285555714285</v>
      </c>
      <c r="O105" s="646">
        <v>98.373141695714281</v>
      </c>
    </row>
    <row r="106" spans="10:15">
      <c r="L106" s="528">
        <v>51</v>
      </c>
      <c r="M106" s="646">
        <v>66.695286888571431</v>
      </c>
      <c r="N106" s="646">
        <v>123.13128661428571</v>
      </c>
      <c r="O106" s="646">
        <v>141.80585590000001</v>
      </c>
    </row>
    <row r="107" spans="10:15">
      <c r="K107" s="528">
        <v>52</v>
      </c>
      <c r="L107" s="528">
        <v>52</v>
      </c>
      <c r="M107" s="646">
        <v>79.132000515714282</v>
      </c>
      <c r="N107" s="646">
        <v>151.04400198571429</v>
      </c>
      <c r="O107" s="646">
        <v>62.055856431428573</v>
      </c>
    </row>
    <row r="108" spans="10:15">
      <c r="J108" s="274">
        <v>2021</v>
      </c>
      <c r="L108" s="528">
        <v>1</v>
      </c>
      <c r="M108" s="646">
        <v>93.616000575714295</v>
      </c>
      <c r="N108" s="646">
        <v>194.93985855714286</v>
      </c>
      <c r="O108" s="646">
        <v>38.49128532428572</v>
      </c>
    </row>
    <row r="109" spans="10:15">
      <c r="L109" s="528">
        <v>2</v>
      </c>
      <c r="M109" s="646">
        <v>109.19371577142856</v>
      </c>
      <c r="N109" s="646">
        <v>191.56657192857145</v>
      </c>
      <c r="O109" s="646">
        <v>52.185428618571436</v>
      </c>
    </row>
    <row r="110" spans="10:15">
      <c r="L110" s="528">
        <v>3</v>
      </c>
      <c r="M110" s="646">
        <v>111.32100131428571</v>
      </c>
      <c r="N110" s="646">
        <v>253.28128705714289</v>
      </c>
      <c r="O110" s="646">
        <v>72.971142360000002</v>
      </c>
    </row>
    <row r="111" spans="10:15">
      <c r="L111" s="528">
        <v>4</v>
      </c>
      <c r="M111" s="646">
        <v>111.11885721428568</v>
      </c>
      <c r="N111" s="646">
        <v>244.7925720428571</v>
      </c>
      <c r="O111" s="646">
        <v>82.663999837142867</v>
      </c>
    </row>
    <row r="112" spans="10:15">
      <c r="L112" s="528">
        <v>5</v>
      </c>
      <c r="M112" s="646">
        <v>108.66071318571429</v>
      </c>
      <c r="N112" s="646">
        <v>220.6247188142857</v>
      </c>
      <c r="O112" s="646">
        <v>54.198429654285711</v>
      </c>
    </row>
    <row r="113" spans="11:15">
      <c r="L113" s="528">
        <v>6</v>
      </c>
      <c r="M113" s="646">
        <v>90.469143462857147</v>
      </c>
      <c r="N113" s="646">
        <v>163.06042698571429</v>
      </c>
      <c r="O113" s="646">
        <v>42.827428274285715</v>
      </c>
    </row>
    <row r="114" spans="11:15">
      <c r="L114" s="528">
        <v>7</v>
      </c>
      <c r="M114" s="646">
        <v>58.4</v>
      </c>
      <c r="N114" s="646">
        <v>104.39303571428574</v>
      </c>
      <c r="O114" s="646">
        <v>28.153690476190491</v>
      </c>
    </row>
    <row r="115" spans="11:15">
      <c r="L115" s="528">
        <v>8</v>
      </c>
      <c r="M115" s="646">
        <v>45.103515238095234</v>
      </c>
      <c r="N115" s="646">
        <v>61.820178571428535</v>
      </c>
      <c r="O115" s="646">
        <v>19.304999999999993</v>
      </c>
    </row>
    <row r="116" spans="11:15">
      <c r="L116" s="528">
        <v>9</v>
      </c>
      <c r="M116" s="646">
        <v>56.496856689453068</v>
      </c>
      <c r="N116" s="646">
        <v>85.507331848144418</v>
      </c>
      <c r="O116" s="646">
        <v>82.847664833068805</v>
      </c>
    </row>
    <row r="117" spans="11:15">
      <c r="L117" s="528">
        <v>10</v>
      </c>
      <c r="M117" s="646">
        <v>90.554714198571432</v>
      </c>
      <c r="N117" s="646">
        <v>173.29428537142854</v>
      </c>
      <c r="O117" s="646">
        <v>214.06428527142856</v>
      </c>
    </row>
    <row r="118" spans="11:15">
      <c r="L118" s="528">
        <v>11</v>
      </c>
      <c r="M118" s="646">
        <v>98.085857941428586</v>
      </c>
      <c r="N118" s="646">
        <v>159.83856852857141</v>
      </c>
      <c r="O118" s="646">
        <v>132.61828504285714</v>
      </c>
    </row>
    <row r="119" spans="11:15">
      <c r="L119" s="528">
        <v>12</v>
      </c>
      <c r="M119" s="646">
        <v>87.426713118571428</v>
      </c>
      <c r="N119" s="646">
        <v>160.54285757142858</v>
      </c>
      <c r="O119" s="646">
        <v>87.668715342857141</v>
      </c>
    </row>
    <row r="120" spans="11:15">
      <c r="K120" s="528">
        <v>13</v>
      </c>
      <c r="L120" s="528">
        <v>13</v>
      </c>
      <c r="M120" s="646">
        <v>85.733285082857151</v>
      </c>
      <c r="N120" s="646">
        <v>171.07471574285714</v>
      </c>
      <c r="O120" s="646">
        <v>94.954141882857144</v>
      </c>
    </row>
    <row r="121" spans="11:15">
      <c r="L121" s="528">
        <v>14</v>
      </c>
      <c r="M121" s="646">
        <v>98.095142921428561</v>
      </c>
      <c r="N121" s="646">
        <v>185.56500027142857</v>
      </c>
      <c r="O121" s="646">
        <v>151.11671445714288</v>
      </c>
    </row>
    <row r="122" spans="11:15">
      <c r="L122" s="528">
        <v>15</v>
      </c>
      <c r="M122" s="646">
        <v>83.773572649999991</v>
      </c>
      <c r="N122" s="646">
        <v>151.56014580000002</v>
      </c>
      <c r="O122" s="646">
        <v>111.99457114285714</v>
      </c>
    </row>
    <row r="123" spans="11:15">
      <c r="L123" s="528">
        <v>16</v>
      </c>
      <c r="M123" s="646">
        <v>56.958000185714283</v>
      </c>
      <c r="N123" s="646">
        <v>109.84099905714285</v>
      </c>
      <c r="O123" s="646">
        <v>90.672572548571438</v>
      </c>
    </row>
    <row r="124" spans="11:15">
      <c r="L124" s="528">
        <v>17</v>
      </c>
      <c r="M124" s="646">
        <v>48.746000017142855</v>
      </c>
      <c r="N124" s="646">
        <v>85.840285168571427</v>
      </c>
      <c r="O124" s="646">
        <v>75.281570977142863</v>
      </c>
    </row>
    <row r="125" spans="11:15">
      <c r="L125" s="528">
        <v>18</v>
      </c>
      <c r="M125" s="646">
        <v>40.494427817142864</v>
      </c>
      <c r="N125" s="646">
        <v>69.64942932142857</v>
      </c>
      <c r="O125" s="646">
        <v>93.952999661428592</v>
      </c>
    </row>
    <row r="126" spans="11:15">
      <c r="L126" s="528">
        <v>19</v>
      </c>
      <c r="M126" s="646">
        <v>35.466286249999996</v>
      </c>
      <c r="N126" s="646">
        <v>58.010286058571431</v>
      </c>
      <c r="O126" s="646">
        <v>72.684429168571427</v>
      </c>
    </row>
    <row r="127" spans="11:15">
      <c r="L127" s="528">
        <v>20</v>
      </c>
      <c r="M127" s="646">
        <v>28.18171392</v>
      </c>
      <c r="N127" s="646">
        <v>51.498000008571424</v>
      </c>
      <c r="O127" s="646">
        <v>98.886571605714281</v>
      </c>
    </row>
    <row r="128" spans="11:15">
      <c r="L128" s="528">
        <v>21</v>
      </c>
      <c r="M128" s="646">
        <v>26.549999781428571</v>
      </c>
      <c r="N128" s="646">
        <v>49.923428127142856</v>
      </c>
      <c r="O128" s="646">
        <v>58.580000197142859</v>
      </c>
    </row>
    <row r="129" spans="11:15">
      <c r="L129" s="528">
        <v>22</v>
      </c>
      <c r="M129" s="646">
        <v>21.825286048571424</v>
      </c>
      <c r="N129" s="646">
        <v>43.104427882857138</v>
      </c>
      <c r="O129" s="646">
        <v>38.582285198571427</v>
      </c>
    </row>
    <row r="130" spans="11:15">
      <c r="L130" s="528">
        <v>23</v>
      </c>
      <c r="M130" s="646">
        <v>20.536714282857144</v>
      </c>
      <c r="N130" s="646">
        <v>39.534857068571434</v>
      </c>
      <c r="O130" s="646">
        <v>58.388999669999997</v>
      </c>
    </row>
    <row r="131" spans="11:15">
      <c r="L131" s="528">
        <v>24</v>
      </c>
      <c r="M131" s="646">
        <v>18.521000181428573</v>
      </c>
      <c r="N131" s="646">
        <v>36.393142699999999</v>
      </c>
      <c r="O131" s="646">
        <v>52.608856201428573</v>
      </c>
    </row>
    <row r="132" spans="11:15">
      <c r="L132" s="528">
        <v>25</v>
      </c>
      <c r="M132" s="646">
        <v>17.337857111428569</v>
      </c>
      <c r="N132" s="646">
        <v>33.557857241428572</v>
      </c>
      <c r="O132" s="646">
        <v>30.324857167142856</v>
      </c>
    </row>
    <row r="133" spans="11:15">
      <c r="K133" s="528">
        <v>26</v>
      </c>
      <c r="L133" s="528">
        <v>26</v>
      </c>
      <c r="M133" s="646">
        <v>16.257714270000001</v>
      </c>
      <c r="N133" s="646">
        <v>29.931428365714286</v>
      </c>
      <c r="O133" s="646">
        <v>42.18199975142857</v>
      </c>
    </row>
    <row r="134" spans="11:15">
      <c r="L134" s="528">
        <v>27</v>
      </c>
      <c r="M134" s="646">
        <v>15.06657137</v>
      </c>
      <c r="N134" s="781">
        <v>26.386999947142861</v>
      </c>
      <c r="O134" s="646">
        <v>23.356142859999999</v>
      </c>
    </row>
    <row r="135" spans="11:15">
      <c r="L135" s="528">
        <v>28</v>
      </c>
      <c r="M135" s="646">
        <v>14.248142924285716</v>
      </c>
      <c r="N135" s="781">
        <v>26.172000340000004</v>
      </c>
      <c r="O135" s="646">
        <v>19.029285704285716</v>
      </c>
    </row>
    <row r="136" spans="11:15">
      <c r="L136" s="528">
        <v>29</v>
      </c>
      <c r="M136" s="646">
        <v>13.477857045714286</v>
      </c>
      <c r="N136" s="781">
        <v>25.836714065714286</v>
      </c>
      <c r="O136" s="646">
        <v>17.854285240000003</v>
      </c>
    </row>
    <row r="137" spans="11:15">
      <c r="L137" s="528">
        <v>30</v>
      </c>
      <c r="M137" s="646">
        <v>12.691000122857146</v>
      </c>
      <c r="N137" s="781">
        <v>25.251428605714288</v>
      </c>
      <c r="O137" s="646">
        <v>12.897285600000002</v>
      </c>
    </row>
    <row r="138" spans="11:15">
      <c r="L138" s="528">
        <v>31</v>
      </c>
      <c r="M138" s="646">
        <v>13.016714095714283</v>
      </c>
      <c r="N138" s="781">
        <v>27.221714565714283</v>
      </c>
      <c r="O138" s="646">
        <v>10.959428514999999</v>
      </c>
    </row>
    <row r="139" spans="11:15">
      <c r="L139" s="528">
        <v>32</v>
      </c>
      <c r="M139" s="646">
        <v>11.867571422857141</v>
      </c>
      <c r="N139" s="781">
        <v>26.08357157</v>
      </c>
      <c r="O139" s="646">
        <v>9.4098570685714282</v>
      </c>
    </row>
    <row r="140" spans="11:15">
      <c r="L140" s="528">
        <v>33</v>
      </c>
      <c r="M140" s="646">
        <v>11.566857065714288</v>
      </c>
      <c r="N140" s="781">
        <v>25.724999837142857</v>
      </c>
      <c r="O140" s="646">
        <v>11.666285786000001</v>
      </c>
    </row>
    <row r="141" spans="11:15">
      <c r="L141" s="528">
        <v>34</v>
      </c>
      <c r="M141" s="646">
        <v>13.598856790000001</v>
      </c>
      <c r="N141" s="781">
        <v>26.040285657142856</v>
      </c>
      <c r="O141" s="646">
        <v>14.739857265714283</v>
      </c>
    </row>
    <row r="142" spans="11:15">
      <c r="L142" s="528">
        <v>35</v>
      </c>
      <c r="M142" s="646">
        <v>18.389285224285715</v>
      </c>
      <c r="N142" s="646">
        <v>26.61128562</v>
      </c>
      <c r="O142" s="646">
        <v>23.257428305714285</v>
      </c>
    </row>
    <row r="143" spans="11:15">
      <c r="L143" s="528">
        <v>36</v>
      </c>
      <c r="M143" s="646">
        <v>17.729570935714285</v>
      </c>
      <c r="N143" s="646">
        <v>31.371142795714288</v>
      </c>
      <c r="O143" s="646">
        <v>24.894000052857141</v>
      </c>
    </row>
    <row r="144" spans="11:15">
      <c r="L144" s="528">
        <v>37</v>
      </c>
      <c r="M144" s="646">
        <v>17.365428380000001</v>
      </c>
      <c r="N144" s="646">
        <v>34.193142751428567</v>
      </c>
      <c r="O144" s="646">
        <v>23.149857660000002</v>
      </c>
    </row>
    <row r="145" spans="10:15">
      <c r="L145" s="528">
        <v>38</v>
      </c>
      <c r="M145" s="646">
        <v>17.876142775714285</v>
      </c>
      <c r="N145" s="646">
        <v>24.62042835714286</v>
      </c>
      <c r="O145" s="646">
        <v>13.527142932857144</v>
      </c>
    </row>
    <row r="146" spans="10:15">
      <c r="L146" s="528">
        <v>39</v>
      </c>
      <c r="M146" s="646">
        <v>17.151999882857144</v>
      </c>
      <c r="N146" s="782">
        <v>21.341285980000002</v>
      </c>
      <c r="O146" s="646">
        <v>10.351999963428572</v>
      </c>
    </row>
    <row r="147" spans="10:15">
      <c r="L147" s="528">
        <v>40</v>
      </c>
      <c r="M147" s="646">
        <v>24.65814318</v>
      </c>
      <c r="N147" s="782">
        <v>39.983428410000002</v>
      </c>
      <c r="O147" s="646">
        <v>63.700570922857146</v>
      </c>
    </row>
    <row r="148" spans="10:15">
      <c r="L148" s="528">
        <v>41</v>
      </c>
      <c r="M148" s="646">
        <v>24.683571132857143</v>
      </c>
      <c r="N148" s="782">
        <v>51.178142545714287</v>
      </c>
      <c r="O148" s="646">
        <v>63.922285895714289</v>
      </c>
    </row>
    <row r="149" spans="10:15">
      <c r="L149" s="528">
        <v>42</v>
      </c>
      <c r="M149" s="646">
        <v>30.132285525714284</v>
      </c>
      <c r="N149" s="782">
        <v>58.491857255714294</v>
      </c>
      <c r="O149" s="646">
        <v>72.515429361428573</v>
      </c>
    </row>
    <row r="150" spans="10:15">
      <c r="L150" s="528">
        <v>43</v>
      </c>
      <c r="M150" s="646">
        <v>21.635857172857147</v>
      </c>
      <c r="N150" s="782">
        <v>49.28842871714285</v>
      </c>
      <c r="O150" s="646">
        <v>61.990286690000005</v>
      </c>
    </row>
    <row r="151" spans="10:15">
      <c r="K151" s="528">
        <v>44</v>
      </c>
      <c r="L151" s="528">
        <v>44</v>
      </c>
      <c r="M151" s="646">
        <v>18.680143085714285</v>
      </c>
      <c r="N151" s="646">
        <v>50.456999099999997</v>
      </c>
      <c r="O151" s="646">
        <v>58.057570867142864</v>
      </c>
    </row>
    <row r="152" spans="10:15">
      <c r="L152" s="528">
        <v>45</v>
      </c>
      <c r="M152" s="646">
        <v>19.11199978285714</v>
      </c>
      <c r="N152" s="646">
        <v>55.461713520000004</v>
      </c>
      <c r="O152" s="646">
        <v>51.101286207142849</v>
      </c>
    </row>
    <row r="153" spans="10:15">
      <c r="L153" s="528">
        <v>46</v>
      </c>
      <c r="M153" s="646">
        <v>17.194857187142855</v>
      </c>
      <c r="N153" s="646">
        <v>52.329856329999991</v>
      </c>
      <c r="O153" s="646">
        <v>29.017713818571433</v>
      </c>
    </row>
    <row r="154" spans="10:15">
      <c r="L154" s="528">
        <v>47</v>
      </c>
      <c r="M154" s="646">
        <v>18.301142828571432</v>
      </c>
      <c r="N154" s="646">
        <v>73.723714555714295</v>
      </c>
      <c r="O154" s="646">
        <v>26.885714667142853</v>
      </c>
    </row>
    <row r="155" spans="10:15">
      <c r="L155" s="528">
        <v>48</v>
      </c>
      <c r="M155" s="646">
        <v>48.1</v>
      </c>
      <c r="N155" s="646">
        <v>112.8014285714287</v>
      </c>
      <c r="O155" s="646">
        <v>24.753715515714301</v>
      </c>
    </row>
    <row r="156" spans="10:15">
      <c r="L156" s="528">
        <v>49</v>
      </c>
      <c r="M156" s="646">
        <v>72.532000404285711</v>
      </c>
      <c r="N156" s="646">
        <v>251.49200183333332</v>
      </c>
      <c r="O156" s="646">
        <v>44.843001048333328</v>
      </c>
    </row>
    <row r="157" spans="10:15">
      <c r="L157" s="528">
        <v>50</v>
      </c>
      <c r="M157" s="646">
        <v>52.053428651428568</v>
      </c>
      <c r="N157" s="646">
        <v>142.42614309857143</v>
      </c>
      <c r="O157" s="646">
        <v>60.681712559999994</v>
      </c>
    </row>
    <row r="158" spans="10:15">
      <c r="L158" s="528">
        <v>51</v>
      </c>
      <c r="M158" s="646">
        <v>30.144714355714289</v>
      </c>
      <c r="N158" s="646">
        <v>77.181571959999999</v>
      </c>
      <c r="O158" s="646">
        <v>114.8148585642857</v>
      </c>
    </row>
    <row r="159" spans="10:15">
      <c r="K159" s="528">
        <v>52</v>
      </c>
      <c r="L159" s="528">
        <v>52</v>
      </c>
      <c r="M159" s="646">
        <v>24.471428735714284</v>
      </c>
      <c r="N159" s="646">
        <v>62.12314333285714</v>
      </c>
      <c r="O159" s="646">
        <v>50.073429108571432</v>
      </c>
    </row>
    <row r="160" spans="10:15">
      <c r="J160" s="274">
        <v>2022</v>
      </c>
      <c r="L160" s="528">
        <v>1</v>
      </c>
      <c r="M160" s="646">
        <v>27.003000530000001</v>
      </c>
      <c r="N160" s="646">
        <v>71.095855168571433</v>
      </c>
      <c r="O160" s="646">
        <v>42.987713951428574</v>
      </c>
    </row>
    <row r="161" spans="11:15">
      <c r="L161" s="528">
        <v>2</v>
      </c>
      <c r="M161" s="646">
        <v>21.311000005714284</v>
      </c>
      <c r="N161" s="646">
        <v>56.996714454285716</v>
      </c>
      <c r="O161" s="646">
        <v>27.815714701428572</v>
      </c>
    </row>
    <row r="162" spans="11:15">
      <c r="L162" s="528">
        <v>3</v>
      </c>
      <c r="M162" s="646">
        <v>18.403857367142855</v>
      </c>
      <c r="N162" s="646">
        <v>56.568285805714289</v>
      </c>
      <c r="O162" s="646">
        <v>25.573857171428568</v>
      </c>
    </row>
    <row r="163" spans="11:15">
      <c r="L163" s="528">
        <v>4</v>
      </c>
      <c r="M163" s="646">
        <v>39.156999861428574</v>
      </c>
      <c r="N163" s="646">
        <v>96.856569555714273</v>
      </c>
      <c r="O163" s="646">
        <v>46.27</v>
      </c>
    </row>
    <row r="164" spans="11:15">
      <c r="L164" s="528">
        <v>5</v>
      </c>
      <c r="M164" s="646">
        <v>43.204429082857139</v>
      </c>
      <c r="N164" s="646">
        <v>81.592857355714287</v>
      </c>
      <c r="O164" s="646">
        <v>30.758285522857143</v>
      </c>
    </row>
    <row r="165" spans="11:15">
      <c r="K165" s="528">
        <v>6</v>
      </c>
      <c r="L165" s="528">
        <v>6</v>
      </c>
      <c r="M165" s="646">
        <v>79.27385765999999</v>
      </c>
      <c r="N165" s="646">
        <v>136.49742887285714</v>
      </c>
      <c r="O165" s="646">
        <v>66.892999371428573</v>
      </c>
    </row>
    <row r="166" spans="11:15">
      <c r="L166" s="528">
        <v>7</v>
      </c>
      <c r="M166" s="646">
        <v>82.487914902714195</v>
      </c>
      <c r="N166" s="646">
        <v>140.91017132499999</v>
      </c>
      <c r="O166" s="646">
        <v>69.485213547142905</v>
      </c>
    </row>
    <row r="167" spans="11:15">
      <c r="L167" s="528">
        <v>8</v>
      </c>
      <c r="M167" s="646">
        <v>69.997998918805749</v>
      </c>
      <c r="N167" s="646">
        <v>136.49742889404237</v>
      </c>
      <c r="O167" s="646">
        <v>66.892999376569193</v>
      </c>
    </row>
    <row r="168" spans="11:15">
      <c r="L168" s="528">
        <v>9</v>
      </c>
      <c r="M168" s="646">
        <v>88.40642874285713</v>
      </c>
      <c r="N168" s="646">
        <v>201.53699821428572</v>
      </c>
      <c r="O168" s="646">
        <v>202.43557085714284</v>
      </c>
    </row>
    <row r="169" spans="11:15">
      <c r="L169" s="528">
        <v>10</v>
      </c>
      <c r="M169" s="646">
        <v>97.012568035088606</v>
      </c>
      <c r="N169" s="646">
        <v>203.423558556426</v>
      </c>
      <c r="O169" s="646">
        <v>221.61685711214301</v>
      </c>
    </row>
    <row r="170" spans="11:15">
      <c r="L170" s="528">
        <v>11</v>
      </c>
      <c r="M170" s="646">
        <v>119.25400107247444</v>
      </c>
      <c r="N170" s="646">
        <v>322.04871477399513</v>
      </c>
      <c r="O170" s="646">
        <v>75.359285627092575</v>
      </c>
    </row>
    <row r="171" spans="11:15">
      <c r="L171" s="528">
        <v>12</v>
      </c>
      <c r="M171" s="646">
        <v>87.219570704868829</v>
      </c>
      <c r="N171" s="646">
        <v>190.45399911063015</v>
      </c>
      <c r="O171" s="646">
        <v>126.76628439766976</v>
      </c>
    </row>
    <row r="172" spans="11:15">
      <c r="K172" s="528">
        <v>13</v>
      </c>
      <c r="L172" s="528">
        <v>13</v>
      </c>
      <c r="M172" s="646">
        <v>94.784285714285701</v>
      </c>
      <c r="N172" s="646">
        <v>246.19428571428574</v>
      </c>
      <c r="O172" s="646">
        <v>182.03142857142853</v>
      </c>
    </row>
    <row r="173" spans="11:15">
      <c r="L173" s="528">
        <v>14</v>
      </c>
      <c r="M173" s="646">
        <v>107.18971470424081</v>
      </c>
      <c r="N173" s="646">
        <v>299.53485761369933</v>
      </c>
      <c r="O173" s="646">
        <v>126.58499799455872</v>
      </c>
    </row>
    <row r="174" spans="11:15">
      <c r="L174" s="528">
        <v>15</v>
      </c>
      <c r="M174" s="646">
        <v>81.303429194285712</v>
      </c>
      <c r="N174" s="646">
        <v>161.58600069999997</v>
      </c>
      <c r="O174" s="646">
        <v>108.36571609857143</v>
      </c>
    </row>
    <row r="175" spans="11:15">
      <c r="L175" s="528">
        <v>16</v>
      </c>
      <c r="M175" s="646">
        <v>57.173570905412909</v>
      </c>
      <c r="N175" s="646">
        <v>100.25114222935244</v>
      </c>
      <c r="O175" s="646">
        <v>80.749999999999957</v>
      </c>
    </row>
    <row r="176" spans="11:15">
      <c r="L176" s="528">
        <v>17</v>
      </c>
      <c r="M176" s="646">
        <v>56.173570905412902</v>
      </c>
      <c r="N176" s="646">
        <v>98.251142229351998</v>
      </c>
      <c r="O176" s="646">
        <v>74.78</v>
      </c>
    </row>
    <row r="177" spans="11:15">
      <c r="K177" s="528">
        <v>18</v>
      </c>
      <c r="L177" s="528">
        <v>18</v>
      </c>
      <c r="M177" s="646">
        <v>32.715714285714284</v>
      </c>
      <c r="N177" s="646">
        <v>58.212857142857146</v>
      </c>
      <c r="O177" s="646">
        <v>55.015714285714289</v>
      </c>
    </row>
    <row r="178" spans="11:15">
      <c r="L178" s="528">
        <v>19</v>
      </c>
      <c r="M178" s="646">
        <v>28.384857177734325</v>
      </c>
      <c r="N178" s="646">
        <v>54.184856959751606</v>
      </c>
      <c r="O178" s="646">
        <v>63.114713941301552</v>
      </c>
    </row>
    <row r="179" spans="11:15">
      <c r="L179" s="528">
        <v>20</v>
      </c>
      <c r="M179" s="646">
        <v>29.131428854806028</v>
      </c>
      <c r="N179" s="646">
        <v>62.818143027169334</v>
      </c>
      <c r="O179" s="646">
        <v>74.948570251464801</v>
      </c>
    </row>
    <row r="180" spans="11:15">
      <c r="L180" s="528">
        <v>21</v>
      </c>
      <c r="M180" s="646">
        <v>24.248714174543085</v>
      </c>
      <c r="N180" s="646">
        <v>55.007428305489626</v>
      </c>
      <c r="O180" s="646">
        <v>40.69300024850024</v>
      </c>
    </row>
    <row r="181" spans="11:15">
      <c r="K181" s="528">
        <v>22</v>
      </c>
      <c r="L181" s="528">
        <v>22</v>
      </c>
      <c r="M181" s="646">
        <v>20.351571764285715</v>
      </c>
      <c r="N181" s="646">
        <v>46.462857382857138</v>
      </c>
      <c r="O181" s="646">
        <v>34.15499986857143</v>
      </c>
    </row>
    <row r="182" spans="11:15">
      <c r="M182" s="646"/>
      <c r="N182" s="646"/>
      <c r="O182" s="646"/>
    </row>
    <row r="183" spans="11:15">
      <c r="M183" s="646"/>
      <c r="N183" s="646"/>
      <c r="O183" s="646"/>
    </row>
    <row r="184" spans="11:15">
      <c r="M184" s="646"/>
      <c r="N184" s="646"/>
      <c r="O184" s="646"/>
    </row>
    <row r="185" spans="11:15">
      <c r="M185" s="646"/>
      <c r="N185" s="646"/>
      <c r="O185" s="646"/>
    </row>
    <row r="186" spans="11:15">
      <c r="M186" s="646"/>
      <c r="N186" s="646"/>
      <c r="O186" s="646"/>
    </row>
    <row r="187" spans="11:15">
      <c r="M187" s="646"/>
      <c r="N187" s="646"/>
      <c r="O187" s="646"/>
    </row>
    <row r="188" spans="11:15">
      <c r="M188" s="646"/>
      <c r="N188" s="646"/>
      <c r="O188" s="646"/>
    </row>
    <row r="189" spans="11:15">
      <c r="M189" s="646"/>
      <c r="N189" s="646"/>
      <c r="O189" s="646"/>
    </row>
    <row r="190" spans="11:15">
      <c r="M190" s="646"/>
      <c r="N190" s="646"/>
      <c r="O190" s="646"/>
    </row>
    <row r="191" spans="11:15">
      <c r="M191" s="646"/>
      <c r="N191" s="646"/>
      <c r="O191" s="646"/>
    </row>
    <row r="192" spans="11:15">
      <c r="M192" s="646"/>
      <c r="N192" s="646"/>
      <c r="O192" s="646"/>
    </row>
    <row r="193" spans="13:15">
      <c r="M193" s="646"/>
      <c r="N193" s="646"/>
      <c r="O193" s="646"/>
    </row>
    <row r="194" spans="13:15">
      <c r="M194" s="646"/>
      <c r="N194" s="646"/>
      <c r="O194" s="646"/>
    </row>
    <row r="195" spans="13:15">
      <c r="M195" s="646"/>
      <c r="N195" s="646"/>
      <c r="O195" s="646"/>
    </row>
    <row r="197" spans="13:15">
      <c r="M197" s="274" t="s">
        <v>261</v>
      </c>
      <c r="N197" s="274" t="s">
        <v>262</v>
      </c>
      <c r="O197" s="274" t="s">
        <v>263</v>
      </c>
    </row>
  </sheetData>
  <mergeCells count="2">
    <mergeCell ref="A3:G3"/>
    <mergeCell ref="A35:G35"/>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I268"/>
  <sheetViews>
    <sheetView showGridLines="0" view="pageBreakPreview" zoomScaleNormal="100" zoomScaleSheetLayoutView="100" zoomScalePageLayoutView="115" workbookViewId="0">
      <selection activeCell="R35" sqref="R35"/>
    </sheetView>
  </sheetViews>
  <sheetFormatPr baseColWidth="10" defaultColWidth="9.28515625" defaultRowHeight="10.199999999999999"/>
  <cols>
    <col min="10" max="11" width="9.28515625" customWidth="1"/>
    <col min="13" max="16" width="9.28515625" style="275"/>
    <col min="17" max="17" width="11.7109375" style="275" bestFit="1" customWidth="1"/>
    <col min="18" max="18" width="15.140625" style="275" customWidth="1"/>
    <col min="19" max="19" width="14.28515625" style="275" customWidth="1"/>
    <col min="20" max="20" width="14.42578125" style="275" customWidth="1"/>
    <col min="21" max="21" width="9.42578125" style="275" bestFit="1" customWidth="1"/>
    <col min="22" max="22" width="14.7109375" style="275" customWidth="1"/>
    <col min="23" max="23" width="9.42578125" style="275" customWidth="1"/>
    <col min="24" max="24" width="9.7109375" style="275" bestFit="1" customWidth="1"/>
    <col min="25" max="25" width="9.42578125" style="275" bestFit="1" customWidth="1"/>
    <col min="26" max="26" width="9.28515625" style="776"/>
    <col min="27" max="35" width="9.28515625" style="681"/>
  </cols>
  <sheetData>
    <row r="1" spans="1:25" ht="11.25" customHeight="1"/>
    <row r="2" spans="1:25" ht="11.25" customHeight="1">
      <c r="A2" s="287"/>
      <c r="B2" s="288"/>
      <c r="C2" s="288"/>
      <c r="D2" s="288"/>
      <c r="E2" s="288"/>
      <c r="F2" s="288"/>
      <c r="G2" s="172"/>
      <c r="H2" s="172"/>
      <c r="I2" s="132"/>
    </row>
    <row r="3" spans="1:25" ht="11.25" customHeight="1">
      <c r="A3" s="132"/>
      <c r="B3" s="132"/>
      <c r="C3" s="132"/>
      <c r="D3" s="132"/>
      <c r="E3" s="132"/>
      <c r="F3" s="132"/>
      <c r="G3" s="138"/>
      <c r="H3" s="138"/>
      <c r="I3" s="138"/>
      <c r="J3" s="148"/>
      <c r="K3" s="148"/>
      <c r="L3" s="148"/>
      <c r="O3" s="275" t="s">
        <v>260</v>
      </c>
      <c r="P3" s="593"/>
      <c r="Q3" s="275" t="s">
        <v>264</v>
      </c>
      <c r="R3" s="275" t="s">
        <v>265</v>
      </c>
      <c r="S3" s="275" t="s">
        <v>266</v>
      </c>
      <c r="T3" s="275" t="s">
        <v>267</v>
      </c>
      <c r="U3" s="275" t="s">
        <v>268</v>
      </c>
      <c r="V3" s="275" t="s">
        <v>269</v>
      </c>
      <c r="W3" s="275" t="s">
        <v>270</v>
      </c>
      <c r="X3" s="275" t="s">
        <v>271</v>
      </c>
      <c r="Y3" s="275" t="s">
        <v>272</v>
      </c>
    </row>
    <row r="4" spans="1:25" ht="11.25" customHeight="1">
      <c r="A4" s="132"/>
      <c r="B4" s="132"/>
      <c r="C4" s="132"/>
      <c r="D4" s="132"/>
      <c r="E4" s="132"/>
      <c r="F4" s="132"/>
      <c r="G4" s="138"/>
      <c r="H4" s="138"/>
      <c r="I4" s="138"/>
      <c r="J4" s="148"/>
      <c r="K4" s="148"/>
      <c r="L4" s="148"/>
      <c r="N4" s="275">
        <v>2019</v>
      </c>
      <c r="O4" s="275">
        <v>1</v>
      </c>
      <c r="P4" s="593">
        <v>1</v>
      </c>
      <c r="Q4" s="783">
        <v>8.992857251428573</v>
      </c>
      <c r="R4" s="783">
        <v>4.4642857141428571</v>
      </c>
      <c r="S4" s="783">
        <v>57.514999934285704</v>
      </c>
      <c r="T4" s="783">
        <v>79.871427261428579</v>
      </c>
      <c r="U4" s="783">
        <v>13.115714484285716</v>
      </c>
      <c r="V4" s="783">
        <v>11.571904317142856</v>
      </c>
      <c r="W4" s="783">
        <v>1.2999999520000001</v>
      </c>
      <c r="X4" s="783">
        <v>121.75642612857142</v>
      </c>
      <c r="Y4" s="783">
        <v>64.398429325714275</v>
      </c>
    </row>
    <row r="5" spans="1:25" ht="11.25" customHeight="1">
      <c r="A5" s="174"/>
      <c r="B5" s="174"/>
      <c r="C5" s="174"/>
      <c r="D5" s="174"/>
      <c r="E5" s="174"/>
      <c r="F5" s="174"/>
      <c r="G5" s="174"/>
      <c r="H5" s="174"/>
      <c r="I5" s="174"/>
      <c r="J5" s="24"/>
      <c r="K5" s="24"/>
      <c r="L5" s="131"/>
      <c r="P5" s="593">
        <v>2</v>
      </c>
      <c r="Q5" s="783">
        <v>7.4904285157142843</v>
      </c>
      <c r="R5" s="783">
        <v>3.3685714177142856</v>
      </c>
      <c r="S5" s="783">
        <v>63.363856724285711</v>
      </c>
      <c r="T5" s="783">
        <v>84.184571402857145</v>
      </c>
      <c r="U5" s="783">
        <v>16.11014284285714</v>
      </c>
      <c r="V5" s="783">
        <v>11.570298602857141</v>
      </c>
      <c r="W5" s="783">
        <v>1.2999999520000001</v>
      </c>
      <c r="X5" s="783">
        <v>180.32999965714288</v>
      </c>
      <c r="Y5" s="783">
        <v>70.997858864285703</v>
      </c>
    </row>
    <row r="6" spans="1:25" ht="11.25" customHeight="1">
      <c r="A6" s="132"/>
      <c r="B6" s="289"/>
      <c r="C6" s="290"/>
      <c r="D6" s="291"/>
      <c r="E6" s="291"/>
      <c r="F6" s="175"/>
      <c r="G6" s="176"/>
      <c r="H6" s="176"/>
      <c r="I6" s="177"/>
      <c r="J6" s="24"/>
      <c r="K6" s="24"/>
      <c r="L6" s="19"/>
      <c r="P6" s="593">
        <v>3</v>
      </c>
      <c r="Q6" s="783">
        <v>14.36</v>
      </c>
      <c r="R6" s="783">
        <v>10.74</v>
      </c>
      <c r="S6" s="783">
        <v>80.75</v>
      </c>
      <c r="T6" s="783">
        <v>149.30000000000001</v>
      </c>
      <c r="U6" s="783">
        <v>29.23</v>
      </c>
      <c r="V6" s="783">
        <v>11.28</v>
      </c>
      <c r="W6" s="783">
        <v>1.33</v>
      </c>
      <c r="X6" s="783">
        <v>167.22</v>
      </c>
      <c r="Y6" s="783">
        <v>68.83</v>
      </c>
    </row>
    <row r="7" spans="1:25" ht="11.25" customHeight="1">
      <c r="A7" s="132"/>
      <c r="B7" s="178"/>
      <c r="C7" s="178"/>
      <c r="D7" s="179"/>
      <c r="E7" s="179"/>
      <c r="F7" s="175"/>
      <c r="G7" s="176"/>
      <c r="H7" s="176"/>
      <c r="I7" s="177"/>
      <c r="J7" s="25"/>
      <c r="K7" s="25"/>
      <c r="L7" s="22"/>
      <c r="P7" s="593">
        <v>4</v>
      </c>
      <c r="Q7" s="783">
        <v>17.131428719999999</v>
      </c>
      <c r="R7" s="783">
        <v>11.155714580142858</v>
      </c>
      <c r="S7" s="783">
        <v>85.689570837142853</v>
      </c>
      <c r="T7" s="783">
        <v>168.80999974285714</v>
      </c>
      <c r="U7" s="783">
        <v>36.200000218571425</v>
      </c>
      <c r="V7" s="783">
        <v>11.843988554285716</v>
      </c>
      <c r="W7" s="783">
        <v>3.0287143159999999</v>
      </c>
      <c r="X7" s="783">
        <v>185.51500375714286</v>
      </c>
      <c r="Y7" s="783">
        <v>70.089428494285713</v>
      </c>
    </row>
    <row r="8" spans="1:25" ht="11.25" customHeight="1">
      <c r="A8" s="132"/>
      <c r="B8" s="180"/>
      <c r="C8" s="132"/>
      <c r="D8" s="154"/>
      <c r="E8" s="154"/>
      <c r="F8" s="175"/>
      <c r="G8" s="176"/>
      <c r="H8" s="176"/>
      <c r="I8" s="177"/>
      <c r="J8" s="23"/>
      <c r="K8" s="23"/>
      <c r="L8" s="24"/>
      <c r="P8" s="593">
        <v>5</v>
      </c>
      <c r="Q8" s="783">
        <v>30.592286245714288</v>
      </c>
      <c r="R8" s="783">
        <v>16.463000024285716</v>
      </c>
      <c r="S8" s="783">
        <v>416.48700821428571</v>
      </c>
      <c r="T8" s="783">
        <v>195.24999782857142</v>
      </c>
      <c r="U8" s="783">
        <v>36.703999928571427</v>
      </c>
      <c r="V8" s="783">
        <v>12.496724401428571</v>
      </c>
      <c r="W8" s="783">
        <v>6.6928571292857146</v>
      </c>
      <c r="X8" s="783">
        <v>199.03571430000002</v>
      </c>
      <c r="Y8" s="783">
        <v>74.655428748571438</v>
      </c>
    </row>
    <row r="9" spans="1:25" ht="11.25" customHeight="1">
      <c r="A9" s="132"/>
      <c r="B9" s="180"/>
      <c r="C9" s="132"/>
      <c r="D9" s="154"/>
      <c r="E9" s="154"/>
      <c r="F9" s="175"/>
      <c r="G9" s="176"/>
      <c r="H9" s="176"/>
      <c r="I9" s="177"/>
      <c r="J9" s="25"/>
      <c r="K9" s="26"/>
      <c r="L9" s="22"/>
      <c r="P9" s="593">
        <v>6</v>
      </c>
      <c r="Q9" s="783">
        <v>20.372857142857146</v>
      </c>
      <c r="R9" s="783">
        <v>17.05857142857143</v>
      </c>
      <c r="S9" s="783">
        <v>426.67142857142863</v>
      </c>
      <c r="T9" s="783">
        <v>265.28000000000003</v>
      </c>
      <c r="U9" s="783">
        <v>51.29</v>
      </c>
      <c r="V9" s="783">
        <v>12.744285714285715</v>
      </c>
      <c r="W9" s="783">
        <v>14.464285714285714</v>
      </c>
      <c r="X9" s="783">
        <v>338.89857142857142</v>
      </c>
      <c r="Y9" s="783">
        <v>117.82857142857142</v>
      </c>
    </row>
    <row r="10" spans="1:25" ht="11.25" customHeight="1">
      <c r="A10" s="132"/>
      <c r="B10" s="180"/>
      <c r="C10" s="132"/>
      <c r="D10" s="154"/>
      <c r="E10" s="154"/>
      <c r="F10" s="175"/>
      <c r="G10" s="176"/>
      <c r="H10" s="176"/>
      <c r="I10" s="177"/>
      <c r="J10" s="25"/>
      <c r="K10" s="25"/>
      <c r="L10" s="22"/>
      <c r="P10" s="593">
        <v>7</v>
      </c>
      <c r="Q10" s="783">
        <v>28.837571554285717</v>
      </c>
      <c r="R10" s="783">
        <v>18.065285818571429</v>
      </c>
      <c r="S10" s="783">
        <v>581.62514822857145</v>
      </c>
      <c r="T10" s="783">
        <v>230.7322888857143</v>
      </c>
      <c r="U10" s="783">
        <v>46.224000658571427</v>
      </c>
      <c r="V10" s="783">
        <v>23.841369902857146</v>
      </c>
      <c r="W10" s="783">
        <v>21.059571402857141</v>
      </c>
      <c r="X10" s="783">
        <v>288.0957205571429</v>
      </c>
      <c r="Y10" s="783">
        <v>118.07871352857144</v>
      </c>
    </row>
    <row r="11" spans="1:25" ht="11.25" customHeight="1">
      <c r="A11" s="132"/>
      <c r="B11" s="154"/>
      <c r="C11" s="132"/>
      <c r="D11" s="154"/>
      <c r="E11" s="154"/>
      <c r="F11" s="175"/>
      <c r="G11" s="176"/>
      <c r="H11" s="176"/>
      <c r="I11" s="177"/>
      <c r="J11" s="25"/>
      <c r="K11" s="25"/>
      <c r="L11" s="22"/>
      <c r="O11" s="275">
        <v>8</v>
      </c>
      <c r="P11" s="593">
        <v>8</v>
      </c>
      <c r="Q11" s="783">
        <v>20.077857700000003</v>
      </c>
      <c r="R11" s="783">
        <v>14.531571660571432</v>
      </c>
      <c r="S11" s="783">
        <v>439.74099729999995</v>
      </c>
      <c r="T11" s="783">
        <v>219.37485614285717</v>
      </c>
      <c r="U11" s="783">
        <v>42.94585745571429</v>
      </c>
      <c r="V11" s="783">
        <v>23.894881112857146</v>
      </c>
      <c r="W11" s="783">
        <v>6.8928571428571432</v>
      </c>
      <c r="X11" s="783">
        <v>411.75142995714288</v>
      </c>
      <c r="Y11" s="783">
        <v>98.32</v>
      </c>
    </row>
    <row r="12" spans="1:25" ht="11.25" customHeight="1">
      <c r="A12" s="132"/>
      <c r="B12" s="154"/>
      <c r="C12" s="132"/>
      <c r="D12" s="154"/>
      <c r="E12" s="154"/>
      <c r="F12" s="175"/>
      <c r="G12" s="176"/>
      <c r="H12" s="176"/>
      <c r="I12" s="177"/>
      <c r="J12" s="25"/>
      <c r="K12" s="25"/>
      <c r="L12" s="22"/>
      <c r="P12" s="593">
        <v>9</v>
      </c>
      <c r="Q12" s="783">
        <v>26.317999977142858</v>
      </c>
      <c r="R12" s="783">
        <v>19.520428521428574</v>
      </c>
      <c r="S12" s="783">
        <v>316.26999772857147</v>
      </c>
      <c r="T12" s="783">
        <v>191.17842539999998</v>
      </c>
      <c r="U12" s="783">
        <v>34.696428571428569</v>
      </c>
      <c r="V12" s="783">
        <v>22.406962801428573</v>
      </c>
      <c r="W12" s="783">
        <v>3.3807143142857146</v>
      </c>
      <c r="X12" s="783">
        <v>249.46285358571427</v>
      </c>
      <c r="Y12" s="783">
        <v>120.90099988571428</v>
      </c>
    </row>
    <row r="13" spans="1:25" ht="11.25" customHeight="1">
      <c r="A13" s="132"/>
      <c r="B13" s="154"/>
      <c r="C13" s="132"/>
      <c r="D13" s="154"/>
      <c r="E13" s="154"/>
      <c r="F13" s="175"/>
      <c r="G13" s="176"/>
      <c r="H13" s="176"/>
      <c r="I13" s="177"/>
      <c r="J13" s="23"/>
      <c r="K13" s="23"/>
      <c r="L13" s="24"/>
      <c r="P13" s="593">
        <v>10</v>
      </c>
      <c r="Q13" s="783">
        <v>27.959571565714288</v>
      </c>
      <c r="R13" s="783">
        <v>20.831714628571426</v>
      </c>
      <c r="S13" s="783">
        <v>326.63642664285715</v>
      </c>
      <c r="T13" s="783">
        <v>184.08928571428572</v>
      </c>
      <c r="U13" s="783">
        <v>38.680999754285715</v>
      </c>
      <c r="V13" s="783">
        <v>23.828572680000001</v>
      </c>
      <c r="W13" s="783">
        <v>2.3840000118571427</v>
      </c>
      <c r="X13" s="783">
        <v>225.10000174285716</v>
      </c>
      <c r="Y13" s="783">
        <v>78.177285328571429</v>
      </c>
    </row>
    <row r="14" spans="1:25" ht="11.25" customHeight="1">
      <c r="A14" s="132"/>
      <c r="B14" s="154"/>
      <c r="C14" s="132"/>
      <c r="D14" s="154"/>
      <c r="E14" s="154"/>
      <c r="F14" s="175"/>
      <c r="G14" s="176"/>
      <c r="H14" s="176"/>
      <c r="I14" s="177"/>
      <c r="J14" s="25"/>
      <c r="K14" s="26"/>
      <c r="L14" s="22"/>
      <c r="P14" s="593">
        <v>11</v>
      </c>
      <c r="Q14" s="783">
        <v>27.959571565714288</v>
      </c>
      <c r="R14" s="783">
        <v>22.247142927987216</v>
      </c>
      <c r="S14" s="783">
        <v>416.08099801199745</v>
      </c>
      <c r="T14" s="783">
        <v>226.88085501534573</v>
      </c>
      <c r="U14" s="783">
        <v>42.633285522460888</v>
      </c>
      <c r="V14" s="783">
        <v>23.809881482805473</v>
      </c>
      <c r="W14" s="783">
        <v>1.9291428668158341</v>
      </c>
      <c r="X14" s="783">
        <v>217.45642525809117</v>
      </c>
      <c r="Y14" s="783">
        <v>44.638999938964801</v>
      </c>
    </row>
    <row r="15" spans="1:25" ht="11.25" customHeight="1">
      <c r="A15" s="132"/>
      <c r="B15" s="154"/>
      <c r="C15" s="132"/>
      <c r="D15" s="154"/>
      <c r="E15" s="154"/>
      <c r="F15" s="175"/>
      <c r="G15" s="176"/>
      <c r="H15" s="176"/>
      <c r="I15" s="177"/>
      <c r="J15" s="25"/>
      <c r="K15" s="26"/>
      <c r="L15" s="22"/>
      <c r="P15" s="593">
        <v>12</v>
      </c>
      <c r="Q15" s="783">
        <v>28.476714270455457</v>
      </c>
      <c r="R15" s="783">
        <v>21.707857131428572</v>
      </c>
      <c r="S15" s="783">
        <v>394.13957431428571</v>
      </c>
      <c r="T15" s="783">
        <v>203.44642857142858</v>
      </c>
      <c r="U15" s="783">
        <v>43.529285431428569</v>
      </c>
      <c r="V15" s="783">
        <v>19.572964258571432</v>
      </c>
      <c r="W15" s="783">
        <v>1.7968571012857144</v>
      </c>
      <c r="X15" s="783">
        <v>327.82142857142861</v>
      </c>
      <c r="Y15" s="783">
        <v>98.4</v>
      </c>
    </row>
    <row r="16" spans="1:25" ht="11.25" customHeight="1">
      <c r="A16" s="132"/>
      <c r="B16" s="154"/>
      <c r="C16" s="132"/>
      <c r="D16" s="154"/>
      <c r="E16" s="154"/>
      <c r="F16" s="175"/>
      <c r="G16" s="176"/>
      <c r="H16" s="176"/>
      <c r="I16" s="177"/>
      <c r="J16" s="25"/>
      <c r="K16" s="26"/>
      <c r="L16" s="22"/>
      <c r="P16" s="593">
        <v>13</v>
      </c>
      <c r="Q16" s="783">
        <v>24.844714028571435</v>
      </c>
      <c r="R16" s="783">
        <v>20.569142751428576</v>
      </c>
      <c r="S16" s="783">
        <v>522.42285592857138</v>
      </c>
      <c r="T16" s="783">
        <v>225.26185825714285</v>
      </c>
      <c r="U16" s="783">
        <v>57.974427901428569</v>
      </c>
      <c r="V16" s="783">
        <v>12.582738467142859</v>
      </c>
      <c r="W16" s="783">
        <v>1.6904285634285714</v>
      </c>
      <c r="X16" s="783">
        <v>339.04356602857143</v>
      </c>
      <c r="Y16" s="783">
        <v>92.103571201428579</v>
      </c>
    </row>
    <row r="17" spans="1:25" ht="11.25" customHeight="1">
      <c r="A17" s="132"/>
      <c r="B17" s="154"/>
      <c r="C17" s="132"/>
      <c r="D17" s="154"/>
      <c r="E17" s="154"/>
      <c r="F17" s="175"/>
      <c r="G17" s="176"/>
      <c r="H17" s="176"/>
      <c r="I17" s="177"/>
      <c r="J17" s="25"/>
      <c r="K17" s="26"/>
      <c r="L17" s="22"/>
      <c r="P17" s="593">
        <v>14</v>
      </c>
      <c r="Q17" s="783">
        <v>29.483285902857141</v>
      </c>
      <c r="R17" s="783">
        <v>18.767857142857142</v>
      </c>
      <c r="S17" s="783">
        <v>316.33943394285717</v>
      </c>
      <c r="T17" s="783">
        <v>152.47643277142856</v>
      </c>
      <c r="U17" s="783">
        <v>55.119428907142868</v>
      </c>
      <c r="V17" s="783">
        <v>21.303751674285714</v>
      </c>
      <c r="W17" s="783">
        <v>1.6808571647142858</v>
      </c>
      <c r="X17" s="783">
        <v>250.08571298571431</v>
      </c>
      <c r="Y17" s="783">
        <v>65.665856497142855</v>
      </c>
    </row>
    <row r="18" spans="1:25" ht="11.25" customHeight="1">
      <c r="A18" s="863" t="s">
        <v>560</v>
      </c>
      <c r="B18" s="863"/>
      <c r="C18" s="863"/>
      <c r="D18" s="863"/>
      <c r="E18" s="863"/>
      <c r="F18" s="863"/>
      <c r="G18" s="863"/>
      <c r="H18" s="863"/>
      <c r="I18" s="863"/>
      <c r="J18" s="863"/>
      <c r="K18" s="863"/>
      <c r="L18" s="863"/>
      <c r="P18" s="593">
        <v>15</v>
      </c>
      <c r="Q18" s="783">
        <v>20.040428705714284</v>
      </c>
      <c r="R18" s="783">
        <v>14.275999887714287</v>
      </c>
      <c r="S18" s="783">
        <v>168.45457024285716</v>
      </c>
      <c r="T18" s="783">
        <v>98.160714291428576</v>
      </c>
      <c r="U18" s="783">
        <v>27.713714872857139</v>
      </c>
      <c r="V18" s="783">
        <v>17.810774395714287</v>
      </c>
      <c r="W18" s="783">
        <v>1.7205714498571432</v>
      </c>
      <c r="X18" s="783">
        <v>148.48785617142858</v>
      </c>
      <c r="Y18" s="783">
        <v>49.633285522857136</v>
      </c>
    </row>
    <row r="19" spans="1:25" ht="11.25" customHeight="1">
      <c r="A19" s="25"/>
      <c r="B19" s="154"/>
      <c r="C19" s="132"/>
      <c r="D19" s="154"/>
      <c r="E19" s="154"/>
      <c r="F19" s="175"/>
      <c r="G19" s="176"/>
      <c r="H19" s="176"/>
      <c r="I19" s="177"/>
      <c r="J19" s="25"/>
      <c r="K19" s="26"/>
      <c r="L19" s="22"/>
      <c r="O19" s="275">
        <v>16</v>
      </c>
      <c r="P19" s="593">
        <v>16</v>
      </c>
      <c r="Q19" s="783">
        <v>16.072142737142858</v>
      </c>
      <c r="R19" s="783">
        <v>10.180143014285713</v>
      </c>
      <c r="S19" s="783">
        <v>131.80142647142856</v>
      </c>
      <c r="T19" s="783">
        <v>98.279714314285712</v>
      </c>
      <c r="U19" s="783">
        <v>22.869143077142859</v>
      </c>
      <c r="V19" s="783">
        <v>12.210951395714286</v>
      </c>
      <c r="W19" s="783">
        <v>1.789857131857143</v>
      </c>
      <c r="X19" s="783">
        <v>105.47928511571429</v>
      </c>
      <c r="Y19" s="783">
        <v>31.291000095714285</v>
      </c>
    </row>
    <row r="20" spans="1:25" ht="11.25" customHeight="1">
      <c r="A20" s="132"/>
      <c r="B20" s="154"/>
      <c r="C20" s="132"/>
      <c r="D20" s="154"/>
      <c r="E20" s="154"/>
      <c r="F20" s="175"/>
      <c r="G20" s="176"/>
      <c r="H20" s="176"/>
      <c r="I20" s="177"/>
      <c r="J20" s="25"/>
      <c r="K20" s="26"/>
      <c r="L20" s="22"/>
      <c r="P20" s="593">
        <v>17</v>
      </c>
      <c r="Q20" s="783">
        <v>15.383999960000001</v>
      </c>
      <c r="R20" s="783">
        <v>12.121571608857142</v>
      </c>
      <c r="S20" s="783">
        <v>143.84128789999997</v>
      </c>
      <c r="T20" s="783">
        <v>83.547571454285716</v>
      </c>
      <c r="U20" s="783">
        <v>20.273857388571425</v>
      </c>
      <c r="V20" s="783">
        <v>12.949641501428573</v>
      </c>
      <c r="W20" s="783">
        <v>1.6648571664285714</v>
      </c>
      <c r="X20" s="783">
        <v>103.81928579571429</v>
      </c>
      <c r="Y20" s="783">
        <v>25.921857015714284</v>
      </c>
    </row>
    <row r="21" spans="1:25" ht="11.25" customHeight="1">
      <c r="A21" s="132"/>
      <c r="B21" s="154"/>
      <c r="C21" s="132"/>
      <c r="D21" s="154"/>
      <c r="E21" s="154"/>
      <c r="F21" s="175"/>
      <c r="G21" s="176"/>
      <c r="H21" s="176"/>
      <c r="I21" s="177"/>
      <c r="J21" s="25"/>
      <c r="K21" s="29"/>
      <c r="L21" s="30"/>
      <c r="P21" s="593">
        <v>18</v>
      </c>
      <c r="Q21" s="783">
        <v>16.026142665714286</v>
      </c>
      <c r="R21" s="783">
        <v>11.996285711571428</v>
      </c>
      <c r="S21" s="783">
        <v>111.12314277285714</v>
      </c>
      <c r="T21" s="783">
        <v>74.392857142857139</v>
      </c>
      <c r="U21" s="783">
        <v>18.103142875714287</v>
      </c>
      <c r="V21" s="783">
        <v>11.493274145714285</v>
      </c>
      <c r="W21" s="783">
        <v>1.55</v>
      </c>
      <c r="X21" s="783">
        <v>91.532855442857141</v>
      </c>
      <c r="Y21" s="783">
        <v>22.190428595714284</v>
      </c>
    </row>
    <row r="22" spans="1:25" ht="11.25" customHeight="1">
      <c r="A22" s="137"/>
      <c r="B22" s="154"/>
      <c r="C22" s="132"/>
      <c r="D22" s="154"/>
      <c r="E22" s="154"/>
      <c r="F22" s="175"/>
      <c r="G22" s="176"/>
      <c r="H22" s="176"/>
      <c r="I22" s="177"/>
      <c r="J22" s="25"/>
      <c r="K22" s="26"/>
      <c r="L22" s="22"/>
      <c r="P22" s="593">
        <v>19</v>
      </c>
      <c r="Q22" s="783">
        <v>14.769714355714287</v>
      </c>
      <c r="R22" s="783">
        <v>10.123285769857144</v>
      </c>
      <c r="S22" s="783">
        <v>89.41828482428572</v>
      </c>
      <c r="T22" s="783">
        <v>60.613000051428571</v>
      </c>
      <c r="U22" s="783">
        <v>15.728999954285714</v>
      </c>
      <c r="V22" s="783">
        <v>10.883738517142858</v>
      </c>
      <c r="W22" s="783">
        <v>1.5914285865714286</v>
      </c>
      <c r="X22" s="783">
        <v>82.45500183</v>
      </c>
      <c r="Y22" s="783">
        <v>20.991285870000006</v>
      </c>
    </row>
    <row r="23" spans="1:25" ht="11.25" customHeight="1">
      <c r="A23" s="137"/>
      <c r="B23" s="154"/>
      <c r="C23" s="132"/>
      <c r="D23" s="154"/>
      <c r="E23" s="154"/>
      <c r="F23" s="175"/>
      <c r="G23" s="176"/>
      <c r="H23" s="176"/>
      <c r="I23" s="177"/>
      <c r="J23" s="25"/>
      <c r="K23" s="26"/>
      <c r="L23" s="22"/>
      <c r="P23" s="593">
        <v>20</v>
      </c>
      <c r="Q23" s="783">
        <v>13.81242861</v>
      </c>
      <c r="R23" s="783">
        <v>9.3731427190000005</v>
      </c>
      <c r="S23" s="783">
        <v>79.212427410000004</v>
      </c>
      <c r="T23" s="783">
        <v>72.321428569999995</v>
      </c>
      <c r="U23" s="783">
        <v>20.647571429999999</v>
      </c>
      <c r="V23" s="783">
        <v>11.153748650000001</v>
      </c>
      <c r="W23" s="783">
        <v>1.5371428389999999</v>
      </c>
      <c r="X23" s="783">
        <v>76.857142859999996</v>
      </c>
      <c r="Y23" s="783">
        <v>23.085714070000002</v>
      </c>
    </row>
    <row r="24" spans="1:25" ht="11.25" customHeight="1">
      <c r="A24" s="137"/>
      <c r="B24" s="154"/>
      <c r="C24" s="132"/>
      <c r="D24" s="154"/>
      <c r="E24" s="154"/>
      <c r="F24" s="175"/>
      <c r="G24" s="176"/>
      <c r="H24" s="176"/>
      <c r="I24" s="177"/>
      <c r="J24" s="26"/>
      <c r="K24" s="26"/>
      <c r="L24" s="22"/>
      <c r="P24" s="593">
        <v>21</v>
      </c>
      <c r="Q24" s="783">
        <v>12.849714414285714</v>
      </c>
      <c r="R24" s="783">
        <v>7.085428442285715</v>
      </c>
      <c r="S24" s="783">
        <v>62.717000688571432</v>
      </c>
      <c r="T24" s="783">
        <v>52.565571377142859</v>
      </c>
      <c r="U24" s="783">
        <v>14.46171447</v>
      </c>
      <c r="V24" s="783">
        <v>12</v>
      </c>
      <c r="W24" s="783">
        <v>1.5128571304285714</v>
      </c>
      <c r="X24" s="783">
        <v>58.057856968571436</v>
      </c>
      <c r="Y24" s="783">
        <v>17.858285902857144</v>
      </c>
    </row>
    <row r="25" spans="1:25" ht="11.25" customHeight="1">
      <c r="A25" s="137"/>
      <c r="B25" s="154"/>
      <c r="C25" s="132"/>
      <c r="D25" s="154"/>
      <c r="E25" s="154"/>
      <c r="F25" s="175"/>
      <c r="G25" s="176"/>
      <c r="H25" s="176"/>
      <c r="I25" s="177"/>
      <c r="J25" s="25"/>
      <c r="K25" s="29"/>
      <c r="L25" s="30"/>
      <c r="P25" s="593">
        <v>22</v>
      </c>
      <c r="Q25" s="783">
        <v>12.105428559999998</v>
      </c>
      <c r="R25" s="783">
        <v>7.3308571058571435</v>
      </c>
      <c r="S25" s="783">
        <v>41.633143151428598</v>
      </c>
      <c r="T25" s="783">
        <v>49.261999948571429</v>
      </c>
      <c r="U25" s="783">
        <v>12.621714454285712</v>
      </c>
      <c r="V25" s="783">
        <v>10.442797251571431</v>
      </c>
      <c r="W25" s="783">
        <v>1.5</v>
      </c>
      <c r="X25" s="783">
        <v>51.520714895714285</v>
      </c>
      <c r="Y25" s="783">
        <v>15.324571202857143</v>
      </c>
    </row>
    <row r="26" spans="1:25" ht="11.25" customHeight="1">
      <c r="A26" s="137"/>
      <c r="B26" s="154"/>
      <c r="C26" s="132"/>
      <c r="D26" s="154"/>
      <c r="E26" s="154"/>
      <c r="F26" s="138"/>
      <c r="G26" s="138"/>
      <c r="H26" s="138"/>
      <c r="I26" s="138"/>
      <c r="J26" s="23"/>
      <c r="K26" s="26"/>
      <c r="L26" s="22"/>
      <c r="P26" s="593">
        <v>23</v>
      </c>
      <c r="Q26" s="783">
        <v>11.272714207142856</v>
      </c>
      <c r="R26" s="783">
        <v>7.7242857718571427</v>
      </c>
      <c r="S26" s="783">
        <v>41.633143151428598</v>
      </c>
      <c r="T26" s="783">
        <v>40.500142779999997</v>
      </c>
      <c r="U26" s="783">
        <v>10.571857179142857</v>
      </c>
      <c r="V26" s="783">
        <v>10.979225701428572</v>
      </c>
      <c r="W26" s="783">
        <v>1.5</v>
      </c>
      <c r="X26" s="783">
        <v>46.520714351428573</v>
      </c>
      <c r="Y26" s="783">
        <v>13.868142808571431</v>
      </c>
    </row>
    <row r="27" spans="1:25" ht="11.25" customHeight="1">
      <c r="A27" s="137"/>
      <c r="B27" s="154"/>
      <c r="C27" s="132"/>
      <c r="D27" s="154"/>
      <c r="E27" s="154"/>
      <c r="F27" s="138"/>
      <c r="G27" s="138"/>
      <c r="H27" s="138"/>
      <c r="I27" s="138"/>
      <c r="J27" s="23"/>
      <c r="K27" s="26"/>
      <c r="L27" s="22"/>
      <c r="P27" s="593">
        <v>24</v>
      </c>
      <c r="Q27" s="783">
        <v>10.867999894285715</v>
      </c>
      <c r="R27" s="783">
        <v>8.8337143495714301</v>
      </c>
      <c r="S27" s="783">
        <v>78.434000150000003</v>
      </c>
      <c r="T27" s="783">
        <v>35.785857065714289</v>
      </c>
      <c r="U27" s="783">
        <v>9.2180000031428584</v>
      </c>
      <c r="V27" s="783">
        <v>11.096784181428571</v>
      </c>
      <c r="W27" s="783">
        <v>1.5</v>
      </c>
      <c r="X27" s="783">
        <v>42.473571777142858</v>
      </c>
      <c r="Y27" s="783">
        <v>12.512571334285715</v>
      </c>
    </row>
    <row r="28" spans="1:25" ht="11.25" customHeight="1">
      <c r="A28" s="136"/>
      <c r="B28" s="138"/>
      <c r="C28" s="138"/>
      <c r="D28" s="138"/>
      <c r="E28" s="138"/>
      <c r="F28" s="138"/>
      <c r="G28" s="138"/>
      <c r="H28" s="138"/>
      <c r="I28" s="138"/>
      <c r="J28" s="25"/>
      <c r="K28" s="26"/>
      <c r="L28" s="22"/>
      <c r="P28" s="593">
        <v>25</v>
      </c>
      <c r="Q28" s="783">
        <v>10.167285918857143</v>
      </c>
      <c r="R28" s="783">
        <v>7.6592858184285708</v>
      </c>
      <c r="S28" s="783">
        <v>77.872000559999989</v>
      </c>
      <c r="T28" s="783">
        <v>33.357000077142857</v>
      </c>
      <c r="U28" s="783">
        <v>8.9321429390000002</v>
      </c>
      <c r="V28" s="783">
        <v>10.461965969999998</v>
      </c>
      <c r="W28" s="783">
        <v>1.5</v>
      </c>
      <c r="X28" s="783">
        <v>43.729285104285715</v>
      </c>
      <c r="Y28" s="783">
        <v>11.450428658571429</v>
      </c>
    </row>
    <row r="29" spans="1:25" ht="11.25" customHeight="1">
      <c r="A29" s="136"/>
      <c r="B29" s="138"/>
      <c r="C29" s="138"/>
      <c r="D29" s="138"/>
      <c r="E29" s="138"/>
      <c r="F29" s="138"/>
      <c r="G29" s="138"/>
      <c r="H29" s="138"/>
      <c r="I29" s="138"/>
      <c r="J29" s="25"/>
      <c r="K29" s="26"/>
      <c r="L29" s="22"/>
      <c r="O29" s="275">
        <v>26</v>
      </c>
      <c r="P29" s="593">
        <v>26</v>
      </c>
      <c r="Q29" s="783">
        <v>9.3535717554285718</v>
      </c>
      <c r="R29" s="783">
        <v>6.2751428064285708</v>
      </c>
      <c r="S29" s="783">
        <v>76.447856358571428</v>
      </c>
      <c r="T29" s="783">
        <v>29.154571531428569</v>
      </c>
      <c r="U29" s="783">
        <v>8.3007144928571428</v>
      </c>
      <c r="V29" s="783">
        <v>11.259941372857144</v>
      </c>
      <c r="W29" s="783">
        <v>1.5</v>
      </c>
      <c r="X29" s="783">
        <v>44.616428919999997</v>
      </c>
      <c r="Y29" s="783">
        <v>9.6660000944285702</v>
      </c>
    </row>
    <row r="30" spans="1:25" ht="11.25" customHeight="1">
      <c r="A30" s="136"/>
      <c r="B30" s="138"/>
      <c r="C30" s="138"/>
      <c r="D30" s="138"/>
      <c r="E30" s="138"/>
      <c r="F30" s="138"/>
      <c r="G30" s="138"/>
      <c r="H30" s="138"/>
      <c r="I30" s="138"/>
      <c r="J30" s="25"/>
      <c r="K30" s="26"/>
      <c r="L30" s="22"/>
      <c r="P30" s="593">
        <v>27</v>
      </c>
      <c r="Q30" s="783">
        <v>8.86</v>
      </c>
      <c r="R30" s="783">
        <v>7.15</v>
      </c>
      <c r="S30" s="783">
        <v>77.430000000000007</v>
      </c>
      <c r="T30" s="783">
        <v>30.35</v>
      </c>
      <c r="U30" s="783">
        <v>8.59</v>
      </c>
      <c r="V30" s="783">
        <v>10.758154460361988</v>
      </c>
      <c r="W30" s="783">
        <v>1.59</v>
      </c>
      <c r="X30" s="783">
        <v>43.84</v>
      </c>
      <c r="Y30" s="783">
        <v>8.27</v>
      </c>
    </row>
    <row r="31" spans="1:25" ht="11.25" customHeight="1">
      <c r="A31" s="136"/>
      <c r="B31" s="138"/>
      <c r="C31" s="138"/>
      <c r="D31" s="138"/>
      <c r="E31" s="138"/>
      <c r="F31" s="138"/>
      <c r="G31" s="138"/>
      <c r="H31" s="138"/>
      <c r="I31" s="138"/>
      <c r="J31" s="25"/>
      <c r="K31" s="26"/>
      <c r="L31" s="22"/>
      <c r="P31" s="593">
        <v>28</v>
      </c>
      <c r="Q31" s="783">
        <v>8.9135712215714289</v>
      </c>
      <c r="R31" s="783">
        <v>5.7058570728571425</v>
      </c>
      <c r="S31" s="783">
        <v>76.24514443428572</v>
      </c>
      <c r="T31" s="783">
        <v>27.702285765714286</v>
      </c>
      <c r="U31" s="783">
        <v>7.8261427880000003</v>
      </c>
      <c r="V31" s="783">
        <v>11.139168601428571</v>
      </c>
      <c r="W31" s="783">
        <v>1.6000000240000001</v>
      </c>
      <c r="X31" s="783">
        <v>39.995714458571435</v>
      </c>
      <c r="Y31" s="783">
        <v>7.4899999752857136</v>
      </c>
    </row>
    <row r="32" spans="1:25" ht="11.25" customHeight="1">
      <c r="A32" s="136"/>
      <c r="B32" s="138"/>
      <c r="C32" s="138"/>
      <c r="D32" s="138"/>
      <c r="E32" s="138"/>
      <c r="F32" s="138"/>
      <c r="G32" s="138"/>
      <c r="H32" s="138"/>
      <c r="I32" s="138"/>
      <c r="J32" s="26"/>
      <c r="K32" s="26"/>
      <c r="L32" s="22"/>
      <c r="P32" s="593">
        <v>29</v>
      </c>
      <c r="Q32" s="783">
        <v>9.1244284766060932</v>
      </c>
      <c r="R32" s="783">
        <v>6.4564285959516052</v>
      </c>
      <c r="S32" s="783">
        <v>66.31271307809007</v>
      </c>
      <c r="T32" s="783">
        <v>29.940428597586454</v>
      </c>
      <c r="U32" s="783">
        <v>7.6488569804600273</v>
      </c>
      <c r="V32" s="783">
        <v>10.810358456202879</v>
      </c>
      <c r="W32" s="783">
        <v>1.6000000238418504</v>
      </c>
      <c r="X32" s="783">
        <v>42.704285757882197</v>
      </c>
      <c r="Y32" s="783">
        <v>6.46428571428571</v>
      </c>
    </row>
    <row r="33" spans="1:25" ht="11.25" customHeight="1">
      <c r="A33" s="136"/>
      <c r="B33" s="138"/>
      <c r="C33" s="138"/>
      <c r="D33" s="138"/>
      <c r="E33" s="138"/>
      <c r="F33" s="138"/>
      <c r="G33" s="138"/>
      <c r="H33" s="138"/>
      <c r="I33" s="138"/>
      <c r="J33" s="25"/>
      <c r="K33" s="26"/>
      <c r="L33" s="22"/>
      <c r="P33" s="593">
        <v>30</v>
      </c>
      <c r="Q33" s="783">
        <v>8.5528571428571407</v>
      </c>
      <c r="R33" s="783">
        <v>4.6828571428571433</v>
      </c>
      <c r="S33" s="783">
        <v>72.048571428571435</v>
      </c>
      <c r="T33" s="783">
        <v>36.729999999999997</v>
      </c>
      <c r="U33" s="783">
        <v>8.18</v>
      </c>
      <c r="V33" s="783">
        <v>12.61</v>
      </c>
      <c r="W33" s="783">
        <v>1.6285714285714283</v>
      </c>
      <c r="X33" s="783">
        <v>44.611428571428576</v>
      </c>
      <c r="Y33" s="783">
        <v>8.2285714285714295</v>
      </c>
    </row>
    <row r="34" spans="1:25" ht="11.25" customHeight="1">
      <c r="A34" s="136"/>
      <c r="B34" s="138"/>
      <c r="C34" s="138"/>
      <c r="D34" s="138"/>
      <c r="E34" s="138"/>
      <c r="F34" s="138"/>
      <c r="G34" s="138"/>
      <c r="H34" s="138"/>
      <c r="I34" s="138"/>
      <c r="J34" s="25"/>
      <c r="K34" s="34"/>
      <c r="L34" s="22"/>
      <c r="P34" s="593">
        <v>31</v>
      </c>
      <c r="Q34" s="783">
        <v>8.6655714172857152</v>
      </c>
      <c r="R34" s="783">
        <v>6.0697142064285714</v>
      </c>
      <c r="S34" s="783">
        <v>71.543143134285714</v>
      </c>
      <c r="T34" s="783">
        <v>31.720428468571431</v>
      </c>
      <c r="U34" s="783">
        <v>7.0618571554285712</v>
      </c>
      <c r="V34" s="783">
        <v>12.322975702857141</v>
      </c>
      <c r="W34" s="783">
        <v>1.7000000479999999</v>
      </c>
      <c r="X34" s="783">
        <v>43.444999694285706</v>
      </c>
      <c r="Y34" s="783">
        <v>6.7562857354285706</v>
      </c>
    </row>
    <row r="35" spans="1:25" ht="11.25" customHeight="1">
      <c r="A35" s="136"/>
      <c r="B35" s="138"/>
      <c r="C35" s="138"/>
      <c r="D35" s="138"/>
      <c r="E35" s="138"/>
      <c r="F35" s="138"/>
      <c r="G35" s="138"/>
      <c r="H35" s="138"/>
      <c r="I35" s="138"/>
      <c r="J35" s="25"/>
      <c r="K35" s="34"/>
      <c r="L35" s="38"/>
      <c r="P35" s="593">
        <v>32</v>
      </c>
      <c r="Q35" s="783">
        <v>8.8231430052857132</v>
      </c>
      <c r="R35" s="783">
        <v>7.5088570807142858</v>
      </c>
      <c r="S35" s="783">
        <v>73.754999434285722</v>
      </c>
      <c r="T35" s="783">
        <v>23.255857194285714</v>
      </c>
      <c r="U35" s="783">
        <v>6.2595714159999991</v>
      </c>
      <c r="V35" s="783">
        <v>12.551451548571427</v>
      </c>
      <c r="W35" s="783">
        <v>1.7214285988571427</v>
      </c>
      <c r="X35" s="783">
        <v>38.432857512857147</v>
      </c>
      <c r="Y35" s="783">
        <v>6.4201429230000002</v>
      </c>
    </row>
    <row r="36" spans="1:25" ht="11.25" customHeight="1">
      <c r="A36" s="136"/>
      <c r="B36" s="138"/>
      <c r="C36" s="138"/>
      <c r="D36" s="138"/>
      <c r="E36" s="138"/>
      <c r="F36" s="138"/>
      <c r="G36" s="138"/>
      <c r="H36" s="138"/>
      <c r="I36" s="138"/>
      <c r="J36" s="25"/>
      <c r="K36" s="29"/>
      <c r="L36" s="22"/>
      <c r="P36" s="593">
        <v>33</v>
      </c>
      <c r="Q36" s="783">
        <v>7.5077142715714285</v>
      </c>
      <c r="R36" s="783">
        <v>3.2121428764285715</v>
      </c>
      <c r="S36" s="783">
        <v>68.878572191428574</v>
      </c>
      <c r="T36" s="783">
        <v>21.297428674285715</v>
      </c>
      <c r="U36" s="783">
        <v>6.3691428730000004</v>
      </c>
      <c r="V36" s="783">
        <v>12.137084417142857</v>
      </c>
      <c r="W36" s="783">
        <v>1.7482857022857143</v>
      </c>
      <c r="X36" s="783">
        <v>36.690713608571421</v>
      </c>
      <c r="Y36" s="783">
        <v>4.7154285567142855</v>
      </c>
    </row>
    <row r="37" spans="1:25" ht="11.25" customHeight="1">
      <c r="A37" s="136"/>
      <c r="B37" s="138"/>
      <c r="C37" s="138"/>
      <c r="D37" s="138"/>
      <c r="E37" s="138"/>
      <c r="F37" s="138"/>
      <c r="G37" s="138"/>
      <c r="H37" s="138"/>
      <c r="I37" s="138"/>
      <c r="J37" s="25"/>
      <c r="K37" s="29"/>
      <c r="L37" s="22"/>
      <c r="P37" s="593">
        <v>34</v>
      </c>
      <c r="Q37" s="783">
        <v>7.6147142817142859</v>
      </c>
      <c r="R37" s="783">
        <v>3.3949999810000002</v>
      </c>
      <c r="S37" s="783">
        <v>65.663999831428569</v>
      </c>
      <c r="T37" s="783">
        <v>20.922428674285715</v>
      </c>
      <c r="U37" s="783">
        <v>6.115428584</v>
      </c>
      <c r="V37" s="783">
        <v>12.034524235714285</v>
      </c>
      <c r="W37" s="783">
        <v>1.7482857022857143</v>
      </c>
      <c r="X37" s="783">
        <v>34.872856138571429</v>
      </c>
      <c r="Y37" s="783">
        <v>5.7421428814285713</v>
      </c>
    </row>
    <row r="38" spans="1:25" ht="11.25" customHeight="1">
      <c r="A38" s="136"/>
      <c r="B38" s="138"/>
      <c r="C38" s="138"/>
      <c r="D38" s="138"/>
      <c r="E38" s="138"/>
      <c r="F38" s="138"/>
      <c r="G38" s="138"/>
      <c r="H38" s="138"/>
      <c r="I38" s="138"/>
      <c r="J38" s="25"/>
      <c r="K38" s="29"/>
      <c r="L38" s="22"/>
      <c r="P38" s="593">
        <v>35</v>
      </c>
      <c r="Q38" s="783">
        <v>8.7815715245714294</v>
      </c>
      <c r="R38" s="783">
        <v>7.1025714534285722</v>
      </c>
      <c r="S38" s="783">
        <v>65.224427905714279</v>
      </c>
      <c r="T38" s="783">
        <v>19.458285740000001</v>
      </c>
      <c r="U38" s="783">
        <v>6.3137143680000003</v>
      </c>
      <c r="V38" s="783">
        <v>12.041607177142856</v>
      </c>
      <c r="W38" s="783">
        <v>1.75</v>
      </c>
      <c r="X38" s="783">
        <v>34.16142872428572</v>
      </c>
      <c r="Y38" s="783">
        <v>6.5945714541428577</v>
      </c>
    </row>
    <row r="39" spans="1:25" ht="11.25" customHeight="1">
      <c r="O39" s="275">
        <v>36</v>
      </c>
      <c r="P39" s="593">
        <v>36</v>
      </c>
      <c r="Q39" s="783">
        <v>8.2851428302857144</v>
      </c>
      <c r="R39" s="783">
        <v>6.7619999824285708</v>
      </c>
      <c r="S39" s="783">
        <v>60.719142914285719</v>
      </c>
      <c r="T39" s="783">
        <v>25.369000025714286</v>
      </c>
      <c r="U39" s="783">
        <v>5.8737142427142857</v>
      </c>
      <c r="V39" s="783">
        <v>12.055594308571429</v>
      </c>
      <c r="W39" s="783">
        <v>1.6425714154285713</v>
      </c>
      <c r="X39" s="783">
        <v>35.968571799999999</v>
      </c>
      <c r="Y39" s="783">
        <v>4.9847143037142851</v>
      </c>
    </row>
    <row r="40" spans="1:25" ht="11.25" customHeight="1">
      <c r="A40" s="863" t="s">
        <v>561</v>
      </c>
      <c r="B40" s="863"/>
      <c r="C40" s="863"/>
      <c r="D40" s="863"/>
      <c r="E40" s="863"/>
      <c r="F40" s="863"/>
      <c r="G40" s="863"/>
      <c r="H40" s="863"/>
      <c r="I40" s="863"/>
      <c r="J40" s="863"/>
      <c r="K40" s="863"/>
      <c r="L40" s="863"/>
      <c r="P40" s="593">
        <v>37</v>
      </c>
      <c r="Q40" s="783">
        <v>7.6475714954285712</v>
      </c>
      <c r="R40" s="783">
        <v>6.5272856442857137</v>
      </c>
      <c r="S40" s="783">
        <v>62.679428645714289</v>
      </c>
      <c r="T40" s="783">
        <v>28.136857168571428</v>
      </c>
      <c r="U40" s="783">
        <v>6.1154285838571436</v>
      </c>
      <c r="V40" s="783">
        <v>12.130952835714286</v>
      </c>
      <c r="W40" s="783">
        <v>1.6457142658571429</v>
      </c>
      <c r="X40" s="783">
        <v>34.324999674285714</v>
      </c>
      <c r="Y40" s="783">
        <v>5.502714293285714</v>
      </c>
    </row>
    <row r="41" spans="1:25" ht="11.25" customHeight="1">
      <c r="P41" s="593">
        <v>38</v>
      </c>
      <c r="Q41" s="783">
        <v>7.6971428571428575</v>
      </c>
      <c r="R41" s="783">
        <v>5.444285714285714</v>
      </c>
      <c r="S41" s="783">
        <v>65.47</v>
      </c>
      <c r="T41" s="783">
        <v>29.351428571428567</v>
      </c>
      <c r="U41" s="783">
        <v>6.8328571428571419</v>
      </c>
      <c r="V41" s="783">
        <v>12.194285714285716</v>
      </c>
      <c r="W41" s="783">
        <v>1.6014285714285712</v>
      </c>
      <c r="X41" s="783">
        <v>33.131428571428572</v>
      </c>
      <c r="Y41" s="783">
        <v>6.8414285714285716</v>
      </c>
    </row>
    <row r="42" spans="1:25" ht="11.25" customHeight="1">
      <c r="A42" s="136"/>
      <c r="B42" s="138"/>
      <c r="C42" s="138"/>
      <c r="D42" s="138"/>
      <c r="E42" s="138"/>
      <c r="F42" s="138"/>
      <c r="G42" s="138"/>
      <c r="H42" s="138"/>
      <c r="I42" s="138"/>
      <c r="P42" s="593">
        <v>39</v>
      </c>
      <c r="Q42" s="783">
        <v>7.6702859061104887</v>
      </c>
      <c r="R42" s="783">
        <v>5.896142857415323</v>
      </c>
      <c r="S42" s="783">
        <v>72.930715288434641</v>
      </c>
      <c r="T42" s="783">
        <v>26.470285688127774</v>
      </c>
      <c r="U42" s="783">
        <v>9.2337144442966927</v>
      </c>
      <c r="V42" s="783">
        <v>12.167024339948341</v>
      </c>
      <c r="W42" s="783">
        <v>1.4285714115415273</v>
      </c>
      <c r="X42" s="783">
        <v>32.532142911638481</v>
      </c>
      <c r="Y42" s="783">
        <v>5.5879999569484111</v>
      </c>
    </row>
    <row r="43" spans="1:25" ht="11.25" customHeight="1">
      <c r="A43" s="136"/>
      <c r="B43" s="138"/>
      <c r="C43" s="138"/>
      <c r="D43" s="138"/>
      <c r="E43" s="138"/>
      <c r="F43" s="138"/>
      <c r="G43" s="138"/>
      <c r="H43" s="138"/>
      <c r="I43" s="138"/>
      <c r="P43" s="593">
        <v>40</v>
      </c>
      <c r="Q43" s="783">
        <v>6.5494285314285721</v>
      </c>
      <c r="R43" s="783">
        <v>3.8238571030000004</v>
      </c>
      <c r="S43" s="783">
        <v>70.661287578571418</v>
      </c>
      <c r="T43" s="783">
        <v>28.190571377142856</v>
      </c>
      <c r="U43" s="783">
        <v>9.6928569934285722</v>
      </c>
      <c r="V43" s="783">
        <v>12.594642775714282</v>
      </c>
      <c r="W43" s="783">
        <v>1.3999999759999999</v>
      </c>
      <c r="X43" s="783">
        <v>36.384999957142853</v>
      </c>
      <c r="Y43" s="783">
        <v>8.0550000327142861</v>
      </c>
    </row>
    <row r="44" spans="1:25" ht="11.25" customHeight="1">
      <c r="A44" s="136"/>
      <c r="B44" s="138"/>
      <c r="C44" s="138"/>
      <c r="D44" s="138"/>
      <c r="E44" s="138"/>
      <c r="F44" s="138"/>
      <c r="G44" s="138"/>
      <c r="H44" s="138"/>
      <c r="I44" s="138"/>
      <c r="P44" s="593">
        <v>41</v>
      </c>
      <c r="Q44" s="783">
        <v>8.096428529999999</v>
      </c>
      <c r="R44" s="783">
        <v>4.0404286040000006</v>
      </c>
      <c r="S44" s="783">
        <v>65.047571455714291</v>
      </c>
      <c r="T44" s="783">
        <v>47.010571615714284</v>
      </c>
      <c r="U44" s="783">
        <v>10.709857054714286</v>
      </c>
      <c r="V44" s="783">
        <v>13.274107117142858</v>
      </c>
      <c r="W44" s="783">
        <v>1.3785714251428571</v>
      </c>
      <c r="X44" s="783">
        <v>40.987143380000006</v>
      </c>
      <c r="Y44" s="783">
        <v>6.9969999451428562</v>
      </c>
    </row>
    <row r="45" spans="1:25" ht="11.25" customHeight="1">
      <c r="A45" s="136"/>
      <c r="B45" s="138"/>
      <c r="C45" s="138"/>
      <c r="D45" s="138"/>
      <c r="E45" s="138"/>
      <c r="F45" s="138"/>
      <c r="G45" s="138"/>
      <c r="H45" s="138"/>
      <c r="I45" s="138"/>
      <c r="P45" s="593">
        <v>42</v>
      </c>
      <c r="Q45" s="783">
        <v>7.4685714285714289</v>
      </c>
      <c r="R45" s="783">
        <v>4.8257142857142856</v>
      </c>
      <c r="S45" s="783">
        <v>67.597142857142856</v>
      </c>
      <c r="T45" s="783">
        <v>47.291428571428575</v>
      </c>
      <c r="U45" s="783">
        <v>8.5642857142857132</v>
      </c>
      <c r="V45" s="783">
        <v>13.001428571428571</v>
      </c>
      <c r="W45" s="783">
        <v>1.3499999999999999</v>
      </c>
      <c r="X45" s="783">
        <v>37.554285714285712</v>
      </c>
      <c r="Y45" s="783">
        <v>6.2985714285714289</v>
      </c>
    </row>
    <row r="46" spans="1:25" ht="11.25" customHeight="1">
      <c r="A46" s="136"/>
      <c r="B46" s="138"/>
      <c r="C46" s="138"/>
      <c r="D46" s="138"/>
      <c r="E46" s="138"/>
      <c r="F46" s="138"/>
      <c r="G46" s="138"/>
      <c r="H46" s="138"/>
      <c r="I46" s="138"/>
      <c r="P46" s="593">
        <v>43</v>
      </c>
      <c r="Q46" s="783">
        <v>8.9041427881428579</v>
      </c>
      <c r="R46" s="783">
        <v>7.354714223857143</v>
      </c>
      <c r="S46" s="783">
        <v>80.445570807142857</v>
      </c>
      <c r="T46" s="783">
        <v>71.934570317142857</v>
      </c>
      <c r="U46" s="783">
        <v>12.279142925142859</v>
      </c>
      <c r="V46" s="783">
        <v>13.139822822857143</v>
      </c>
      <c r="W46" s="783">
        <v>1.2642857177142857</v>
      </c>
      <c r="X46" s="783">
        <v>52.87071446142857</v>
      </c>
      <c r="Y46" s="783">
        <v>11.989999907285712</v>
      </c>
    </row>
    <row r="47" spans="1:25" ht="11.25" customHeight="1">
      <c r="A47" s="136"/>
      <c r="B47" s="138"/>
      <c r="C47" s="138"/>
      <c r="D47" s="138"/>
      <c r="E47" s="138"/>
      <c r="F47" s="138"/>
      <c r="G47" s="138"/>
      <c r="H47" s="138"/>
      <c r="I47" s="138"/>
      <c r="O47" s="275">
        <v>44</v>
      </c>
      <c r="P47" s="593">
        <v>44</v>
      </c>
      <c r="Q47" s="783">
        <v>7.8245713370000001</v>
      </c>
      <c r="R47" s="783">
        <v>6.0929999348571409</v>
      </c>
      <c r="S47" s="783">
        <v>68.079284669999993</v>
      </c>
      <c r="T47" s="783">
        <v>33.011999948571429</v>
      </c>
      <c r="U47" s="783">
        <v>8.685571329857142</v>
      </c>
      <c r="V47" s="783">
        <v>13.275356975714287</v>
      </c>
      <c r="W47" s="783">
        <v>1.1857142621428574</v>
      </c>
      <c r="X47" s="783">
        <v>36.208572388571426</v>
      </c>
      <c r="Y47" s="783">
        <v>7.9394285338571438</v>
      </c>
    </row>
    <row r="48" spans="1:25">
      <c r="A48" s="136"/>
      <c r="B48" s="138"/>
      <c r="C48" s="138"/>
      <c r="D48" s="138"/>
      <c r="E48" s="138"/>
      <c r="F48" s="138"/>
      <c r="G48" s="138"/>
      <c r="H48" s="138"/>
      <c r="I48" s="138"/>
      <c r="P48" s="593">
        <v>45</v>
      </c>
      <c r="Q48" s="783">
        <v>9.4607142031428566</v>
      </c>
      <c r="R48" s="783">
        <v>6.8107141777142859</v>
      </c>
      <c r="S48" s="783">
        <v>71.555715832857132</v>
      </c>
      <c r="T48" s="783">
        <v>77.119000028571435</v>
      </c>
      <c r="U48" s="783">
        <v>11.169571467285715</v>
      </c>
      <c r="V48" s="783">
        <v>14</v>
      </c>
      <c r="W48" s="783">
        <v>1.1200000049999999</v>
      </c>
      <c r="X48" s="783">
        <v>61.867856707142856</v>
      </c>
      <c r="Y48" s="783">
        <v>10.621285710571428</v>
      </c>
    </row>
    <row r="49" spans="1:25">
      <c r="A49" s="136"/>
      <c r="B49" s="138"/>
      <c r="C49" s="138"/>
      <c r="D49" s="138"/>
      <c r="E49" s="138"/>
      <c r="F49" s="138"/>
      <c r="G49" s="138"/>
      <c r="H49" s="138"/>
      <c r="I49" s="138"/>
      <c r="P49" s="593">
        <v>46</v>
      </c>
      <c r="Q49" s="783">
        <v>9.3077141910000005</v>
      </c>
      <c r="R49" s="783">
        <v>7.0327142307142854</v>
      </c>
      <c r="S49" s="783">
        <v>91.077428547142858</v>
      </c>
      <c r="T49" s="783">
        <v>102.37485722571429</v>
      </c>
      <c r="U49" s="783">
        <v>13.601000102857142</v>
      </c>
      <c r="V49" s="783">
        <v>14.050535747142858</v>
      </c>
      <c r="W49" s="783">
        <v>1.1085714441428569</v>
      </c>
      <c r="X49" s="783">
        <v>108.26642826857143</v>
      </c>
      <c r="Y49" s="783">
        <v>19.484428541428574</v>
      </c>
    </row>
    <row r="50" spans="1:25">
      <c r="A50" s="136"/>
      <c r="B50" s="138"/>
      <c r="C50" s="138"/>
      <c r="D50" s="138"/>
      <c r="E50" s="138"/>
      <c r="F50" s="138"/>
      <c r="G50" s="138"/>
      <c r="H50" s="138"/>
      <c r="I50" s="138"/>
      <c r="P50" s="593">
        <v>47</v>
      </c>
      <c r="Q50" s="783">
        <v>9.4625713492857138</v>
      </c>
      <c r="R50" s="783">
        <v>5.5844285494285719</v>
      </c>
      <c r="S50" s="783">
        <v>81.972856794285704</v>
      </c>
      <c r="T50" s="783">
        <v>82.511857174285723</v>
      </c>
      <c r="U50" s="783">
        <v>10.628571509714286</v>
      </c>
      <c r="V50" s="783">
        <v>13.985775811428573</v>
      </c>
      <c r="W50" s="783">
        <v>1.1000000240000001</v>
      </c>
      <c r="X50" s="783">
        <v>123.16000039999999</v>
      </c>
      <c r="Y50" s="783">
        <v>19.475428171428575</v>
      </c>
    </row>
    <row r="51" spans="1:25">
      <c r="A51" s="136"/>
      <c r="B51" s="138"/>
      <c r="C51" s="138"/>
      <c r="D51" s="138"/>
      <c r="E51" s="138"/>
      <c r="F51" s="138"/>
      <c r="G51" s="138"/>
      <c r="H51" s="138"/>
      <c r="I51" s="138"/>
      <c r="P51" s="593">
        <v>48</v>
      </c>
      <c r="Q51" s="783">
        <v>10.788142817999999</v>
      </c>
      <c r="R51" s="783">
        <v>7.5644286014285722</v>
      </c>
      <c r="S51" s="783">
        <v>84.626999989999987</v>
      </c>
      <c r="T51" s="783">
        <v>67.75</v>
      </c>
      <c r="U51" s="783">
        <v>8.4404285975714277</v>
      </c>
      <c r="V51" s="783">
        <v>13.781128474285714</v>
      </c>
      <c r="W51" s="783">
        <v>1.1000000240000001</v>
      </c>
      <c r="X51" s="783">
        <v>94.382143292857137</v>
      </c>
      <c r="Y51" s="783">
        <v>16.918428555714282</v>
      </c>
    </row>
    <row r="52" spans="1:25">
      <c r="A52" s="136"/>
      <c r="B52" s="138"/>
      <c r="C52" s="138"/>
      <c r="D52" s="138"/>
      <c r="E52" s="138"/>
      <c r="F52" s="138"/>
      <c r="G52" s="138"/>
      <c r="H52" s="138"/>
      <c r="I52" s="138"/>
      <c r="P52" s="593">
        <v>49</v>
      </c>
      <c r="Q52" s="783">
        <v>12.195857184142856</v>
      </c>
      <c r="R52" s="783">
        <v>8.7971429828571424</v>
      </c>
      <c r="S52" s="783">
        <v>127.52371543</v>
      </c>
      <c r="T52" s="783">
        <v>92.821572431428564</v>
      </c>
      <c r="U52" s="783">
        <v>12.563142707428572</v>
      </c>
      <c r="V52" s="783">
        <v>13.148691448571428</v>
      </c>
      <c r="W52" s="783">
        <v>1.1000000000000001</v>
      </c>
      <c r="X52" s="783">
        <v>134.38285718142859</v>
      </c>
      <c r="Y52" s="783">
        <v>23.580285755714289</v>
      </c>
    </row>
    <row r="53" spans="1:25">
      <c r="A53" s="136"/>
      <c r="B53" s="138"/>
      <c r="C53" s="138"/>
      <c r="D53" s="138"/>
      <c r="E53" s="138"/>
      <c r="F53" s="138"/>
      <c r="G53" s="138"/>
      <c r="H53" s="138"/>
      <c r="I53" s="138"/>
      <c r="P53" s="593">
        <v>50</v>
      </c>
      <c r="Q53" s="783">
        <v>12.195857184142856</v>
      </c>
      <c r="R53" s="783">
        <v>8.7971429828571424</v>
      </c>
      <c r="S53" s="783">
        <v>183.5428575857143</v>
      </c>
      <c r="T53" s="783">
        <v>117.73200008285714</v>
      </c>
      <c r="U53" s="783">
        <v>21.506999832857144</v>
      </c>
      <c r="V53" s="783">
        <v>12.61392865857143</v>
      </c>
      <c r="W53" s="783">
        <v>1.1014285939999999</v>
      </c>
      <c r="X53" s="783">
        <v>210.99928282857144</v>
      </c>
      <c r="Y53" s="783">
        <v>41.892142702857143</v>
      </c>
    </row>
    <row r="54" spans="1:25">
      <c r="A54" s="136"/>
      <c r="B54" s="138"/>
      <c r="C54" s="138"/>
      <c r="D54" s="138"/>
      <c r="E54" s="138"/>
      <c r="F54" s="138"/>
      <c r="G54" s="138"/>
      <c r="H54" s="138"/>
      <c r="I54" s="138"/>
      <c r="P54" s="593">
        <v>51</v>
      </c>
      <c r="Q54" s="783">
        <v>18.622142792857144</v>
      </c>
      <c r="R54" s="783">
        <v>18.057571141428571</v>
      </c>
      <c r="S54" s="783">
        <v>292.95071844285718</v>
      </c>
      <c r="T54" s="783">
        <v>180.44057028571427</v>
      </c>
      <c r="U54" s="783">
        <v>47.032857078571432</v>
      </c>
      <c r="V54" s="783">
        <v>12.600475584285714</v>
      </c>
      <c r="W54" s="783">
        <v>1.1000000240000001</v>
      </c>
      <c r="X54" s="783">
        <v>166.85428727142857</v>
      </c>
      <c r="Y54" s="783">
        <v>39.827428544285716</v>
      </c>
    </row>
    <row r="55" spans="1:25">
      <c r="A55" s="136"/>
      <c r="B55" s="138"/>
      <c r="C55" s="138"/>
      <c r="D55" s="138"/>
      <c r="E55" s="138"/>
      <c r="F55" s="138"/>
      <c r="G55" s="138"/>
      <c r="H55" s="138"/>
      <c r="I55" s="138"/>
      <c r="P55" s="593">
        <v>52</v>
      </c>
      <c r="Q55" s="783">
        <v>29.98</v>
      </c>
      <c r="R55" s="783">
        <v>19.592142921428572</v>
      </c>
      <c r="S55" s="783">
        <v>381.11599999999993</v>
      </c>
      <c r="T55" s="783">
        <v>222.82728794285717</v>
      </c>
      <c r="U55" s="783">
        <v>45.963714052857135</v>
      </c>
      <c r="V55" s="783">
        <v>12.617798667142859</v>
      </c>
      <c r="W55" s="783">
        <v>1.4000000274285713</v>
      </c>
      <c r="X55" s="783">
        <v>293.28928701428578</v>
      </c>
      <c r="Y55" s="783">
        <v>62.57285690285714</v>
      </c>
    </row>
    <row r="56" spans="1:25">
      <c r="A56" s="136"/>
      <c r="B56" s="138"/>
      <c r="C56" s="138"/>
      <c r="D56" s="138"/>
      <c r="E56" s="138"/>
      <c r="F56" s="138"/>
      <c r="G56" s="138"/>
      <c r="H56" s="138"/>
      <c r="I56" s="138"/>
      <c r="O56" s="275">
        <v>53</v>
      </c>
      <c r="P56" s="593">
        <v>53</v>
      </c>
      <c r="Q56" s="783">
        <v>16.182714325714286</v>
      </c>
      <c r="R56" s="783">
        <v>8.7855713015714283</v>
      </c>
      <c r="S56" s="783">
        <v>271.83385794285715</v>
      </c>
      <c r="T56" s="783">
        <v>172.15485925714285</v>
      </c>
      <c r="U56" s="783">
        <v>29.933428355714284</v>
      </c>
      <c r="V56" s="783">
        <v>12.85226127</v>
      </c>
      <c r="W56" s="783">
        <v>1.4571428811428571</v>
      </c>
      <c r="X56" s="783">
        <v>278.16286141428571</v>
      </c>
      <c r="Y56" s="783">
        <v>97.806430279999987</v>
      </c>
    </row>
    <row r="57" spans="1:25">
      <c r="A57" s="136"/>
      <c r="B57" s="138"/>
      <c r="C57" s="138"/>
      <c r="D57" s="138"/>
      <c r="E57" s="138"/>
      <c r="F57" s="138"/>
      <c r="G57" s="138"/>
      <c r="H57" s="138"/>
      <c r="I57" s="138"/>
      <c r="N57" s="275">
        <v>2020</v>
      </c>
      <c r="P57" s="593">
        <v>1</v>
      </c>
      <c r="Q57" s="783">
        <v>12.763571330479184</v>
      </c>
      <c r="R57" s="783">
        <v>7.4842857292720009</v>
      </c>
      <c r="S57" s="783">
        <v>176.20814078194715</v>
      </c>
      <c r="T57" s="783">
        <v>130.2321406773155</v>
      </c>
      <c r="U57" s="783">
        <v>24.27742849077493</v>
      </c>
      <c r="V57" s="783">
        <v>14.514315741402715</v>
      </c>
      <c r="W57" s="783">
        <v>2.278571367263786</v>
      </c>
      <c r="X57" s="783">
        <v>468.15499877929659</v>
      </c>
      <c r="Y57" s="783">
        <v>152.80385916573601</v>
      </c>
    </row>
    <row r="58" spans="1:25">
      <c r="A58" s="136"/>
      <c r="B58" s="138"/>
      <c r="C58" s="138"/>
      <c r="D58" s="138"/>
      <c r="E58" s="138"/>
      <c r="F58" s="138"/>
      <c r="G58" s="138"/>
      <c r="H58" s="138"/>
      <c r="I58" s="138"/>
      <c r="P58" s="593">
        <v>2</v>
      </c>
      <c r="Q58" s="783">
        <v>13.386285781428571</v>
      </c>
      <c r="R58" s="783">
        <v>6.9174285272857139</v>
      </c>
      <c r="S58" s="783">
        <v>159.75199889999999</v>
      </c>
      <c r="T58" s="783">
        <v>106.97614288285715</v>
      </c>
      <c r="U58" s="783">
        <v>30.680286678571431</v>
      </c>
      <c r="V58" s="783">
        <v>13.21958133142857</v>
      </c>
      <c r="W58" s="783">
        <v>1.8857142757142857</v>
      </c>
      <c r="X58" s="783">
        <v>213.59428187142859</v>
      </c>
      <c r="Y58" s="783">
        <v>97.949856347142855</v>
      </c>
    </row>
    <row r="59" spans="1:25">
      <c r="A59" s="136"/>
      <c r="B59" s="138"/>
      <c r="C59" s="138"/>
      <c r="D59" s="138"/>
      <c r="E59" s="138"/>
      <c r="F59" s="138"/>
      <c r="G59" s="138"/>
      <c r="H59" s="138"/>
      <c r="I59" s="138"/>
      <c r="P59" s="593">
        <v>3</v>
      </c>
      <c r="Q59" s="783">
        <v>15.196428435714285</v>
      </c>
      <c r="R59" s="783">
        <v>11.330428599714283</v>
      </c>
      <c r="S59" s="783">
        <v>243.87700107142857</v>
      </c>
      <c r="T59" s="783">
        <v>137.04186028571428</v>
      </c>
      <c r="U59" s="783">
        <v>40.240000044285715</v>
      </c>
      <c r="V59" s="783">
        <v>16.855534282857143</v>
      </c>
      <c r="W59" s="783">
        <v>6.3075712748571418</v>
      </c>
      <c r="X59" s="783">
        <v>247.26214164285713</v>
      </c>
      <c r="Y59" s="783">
        <v>78.131857190000005</v>
      </c>
    </row>
    <row r="60" spans="1:25">
      <c r="A60" s="136"/>
      <c r="B60" s="138"/>
      <c r="C60" s="138"/>
      <c r="D60" s="138"/>
      <c r="E60" s="138"/>
      <c r="F60" s="138"/>
      <c r="G60" s="138"/>
      <c r="H60" s="138"/>
      <c r="I60" s="138"/>
      <c r="P60" s="593">
        <v>4</v>
      </c>
      <c r="Q60" s="783">
        <v>16.57199968714286</v>
      </c>
      <c r="R60" s="783">
        <v>12.821999958571428</v>
      </c>
      <c r="S60" s="783">
        <v>236.61043005714285</v>
      </c>
      <c r="T60" s="783">
        <v>121.29742760000001</v>
      </c>
      <c r="U60" s="783">
        <v>26.470714297142855</v>
      </c>
      <c r="V60" s="783">
        <v>22.011848449999999</v>
      </c>
      <c r="W60" s="783">
        <v>4.3669999327142861</v>
      </c>
      <c r="X60" s="783">
        <v>212.78856985714287</v>
      </c>
      <c r="Y60" s="783">
        <v>52.875</v>
      </c>
    </row>
    <row r="61" spans="1:25">
      <c r="A61" s="136"/>
      <c r="B61" s="138"/>
      <c r="C61" s="138"/>
      <c r="D61" s="138"/>
      <c r="E61" s="138"/>
      <c r="F61" s="138"/>
      <c r="G61" s="138"/>
      <c r="H61" s="138"/>
      <c r="I61" s="138"/>
      <c r="P61" s="593">
        <v>5</v>
      </c>
      <c r="Q61" s="783">
        <v>25.675428661428576</v>
      </c>
      <c r="R61" s="783">
        <v>18.254856927142857</v>
      </c>
      <c r="S61" s="783">
        <v>392.82542635714287</v>
      </c>
      <c r="T61" s="783">
        <v>216.11300005714287</v>
      </c>
      <c r="U61" s="783">
        <v>48.707714625714289</v>
      </c>
      <c r="V61" s="783">
        <v>14.496191432857142</v>
      </c>
      <c r="W61" s="783">
        <v>2.6891428574285712</v>
      </c>
      <c r="X61" s="783">
        <v>410.15428595714286</v>
      </c>
      <c r="Y61" s="783">
        <v>99.128998899999985</v>
      </c>
    </row>
    <row r="62" spans="1:25" ht="19.2" customHeight="1">
      <c r="A62" s="136"/>
      <c r="B62" s="138"/>
      <c r="C62" s="138"/>
      <c r="D62" s="138"/>
      <c r="E62" s="138"/>
      <c r="F62" s="138"/>
      <c r="G62" s="138"/>
      <c r="H62" s="138"/>
      <c r="I62" s="138"/>
      <c r="P62" s="593">
        <v>6</v>
      </c>
      <c r="Q62" s="783">
        <v>22.638571330479174</v>
      </c>
      <c r="R62" s="783">
        <v>17.332571574619813</v>
      </c>
      <c r="S62" s="783">
        <v>448.59157017299066</v>
      </c>
      <c r="T62" s="783">
        <v>221.35714285714261</v>
      </c>
      <c r="U62" s="783">
        <v>51.925000326974022</v>
      </c>
      <c r="V62" s="783">
        <v>17.659045491899729</v>
      </c>
      <c r="W62" s="783">
        <v>9.7964284079415354</v>
      </c>
      <c r="X62" s="783">
        <v>622.45499965122758</v>
      </c>
      <c r="Y62" s="783">
        <v>151.47385733468144</v>
      </c>
    </row>
    <row r="63" spans="1:25">
      <c r="A63" s="136"/>
      <c r="B63" s="138"/>
      <c r="C63" s="138"/>
      <c r="D63" s="138"/>
      <c r="E63" s="138"/>
      <c r="F63" s="138"/>
      <c r="G63" s="138"/>
      <c r="H63" s="138"/>
      <c r="I63" s="138"/>
      <c r="P63" s="593">
        <v>7</v>
      </c>
      <c r="Q63" s="783">
        <v>24.818285805714286</v>
      </c>
      <c r="R63" s="783">
        <v>19.436000279999998</v>
      </c>
      <c r="S63" s="783">
        <v>374.25799560000002</v>
      </c>
      <c r="T63" s="783">
        <v>142.54771639999998</v>
      </c>
      <c r="U63" s="783">
        <v>37.997142247142854</v>
      </c>
      <c r="V63" s="783">
        <v>23.642735891428568</v>
      </c>
      <c r="W63" s="783">
        <v>10.810714449000001</v>
      </c>
      <c r="X63" s="783">
        <v>434.32357352857144</v>
      </c>
      <c r="Y63" s="783">
        <v>148.12728554285715</v>
      </c>
    </row>
    <row r="64" spans="1:25" ht="6" customHeight="1">
      <c r="A64" s="136"/>
      <c r="B64" s="138"/>
      <c r="C64" s="138"/>
      <c r="D64" s="138"/>
      <c r="E64" s="138"/>
      <c r="F64" s="138"/>
      <c r="G64" s="138"/>
      <c r="H64" s="138"/>
      <c r="I64" s="138"/>
      <c r="O64" s="275">
        <v>8</v>
      </c>
      <c r="P64" s="593">
        <v>8</v>
      </c>
      <c r="Q64" s="783">
        <v>16.877285957336387</v>
      </c>
      <c r="R64" s="783">
        <v>13.084142684936484</v>
      </c>
      <c r="S64" s="783">
        <v>289.19357081821948</v>
      </c>
      <c r="T64" s="783">
        <v>162.01200212751087</v>
      </c>
      <c r="U64" s="783">
        <v>30.780285699026873</v>
      </c>
      <c r="V64" s="783">
        <v>23.681545802525072</v>
      </c>
      <c r="W64" s="783">
        <v>21.290571621486073</v>
      </c>
      <c r="X64" s="783">
        <v>403.40571376255542</v>
      </c>
      <c r="Y64" s="783">
        <v>143.28899928501644</v>
      </c>
    </row>
    <row r="65" spans="1:25" ht="24.75" customHeight="1">
      <c r="A65" s="836" t="s">
        <v>562</v>
      </c>
      <c r="B65" s="836"/>
      <c r="C65" s="836"/>
      <c r="D65" s="836"/>
      <c r="E65" s="836"/>
      <c r="F65" s="836"/>
      <c r="G65" s="836"/>
      <c r="H65" s="836"/>
      <c r="I65" s="836"/>
      <c r="J65" s="836"/>
      <c r="K65" s="836"/>
      <c r="L65" s="836"/>
      <c r="P65" s="593">
        <v>9</v>
      </c>
      <c r="Q65" s="783">
        <v>20.463000162857146</v>
      </c>
      <c r="R65" s="783">
        <v>16.131428717142857</v>
      </c>
      <c r="S65" s="783">
        <v>302.38613892857137</v>
      </c>
      <c r="T65" s="783">
        <v>174.72028894285717</v>
      </c>
      <c r="U65" s="783">
        <v>36.13400023285714</v>
      </c>
      <c r="V65" s="783">
        <v>23.625475747142854</v>
      </c>
      <c r="W65" s="783">
        <v>11.064000130142858</v>
      </c>
      <c r="X65" s="783">
        <v>388.35356794285718</v>
      </c>
      <c r="Y65" s="783">
        <v>84.357999531428575</v>
      </c>
    </row>
    <row r="66" spans="1:25" ht="20.25" customHeight="1">
      <c r="P66" s="593">
        <v>10</v>
      </c>
      <c r="Q66" s="783">
        <v>20.001714159999999</v>
      </c>
      <c r="R66" s="783">
        <v>16.133428572857145</v>
      </c>
      <c r="S66" s="783">
        <v>219.49971445714283</v>
      </c>
      <c r="T66" s="783">
        <v>118.91071428571429</v>
      </c>
      <c r="U66" s="783">
        <v>22.61842863857143</v>
      </c>
      <c r="V66" s="783">
        <v>23.72583552857143</v>
      </c>
      <c r="W66" s="783">
        <v>5.0324285712857142</v>
      </c>
      <c r="X66" s="783">
        <v>317.96785625714284</v>
      </c>
      <c r="Y66" s="783">
        <v>76.472572329999977</v>
      </c>
    </row>
    <row r="67" spans="1:25">
      <c r="P67" s="593">
        <v>11</v>
      </c>
      <c r="Q67" s="783">
        <v>20.464285714285715</v>
      </c>
      <c r="R67" s="783">
        <v>16.275285719999999</v>
      </c>
      <c r="S67" s="783">
        <v>210.39014761428572</v>
      </c>
      <c r="T67" s="783">
        <v>145.36899785714286</v>
      </c>
      <c r="U67" s="783">
        <v>39.343428748571434</v>
      </c>
      <c r="V67" s="783">
        <v>23.714347295714287</v>
      </c>
      <c r="W67" s="783">
        <v>12.165999821428571</v>
      </c>
      <c r="X67" s="783">
        <v>377.62500435714281</v>
      </c>
      <c r="Y67" s="783">
        <v>110.78628649857141</v>
      </c>
    </row>
    <row r="68" spans="1:25">
      <c r="P68" s="593">
        <v>12</v>
      </c>
      <c r="Q68" s="783">
        <v>23.032714026314846</v>
      </c>
      <c r="R68" s="783">
        <v>20.180714198521169</v>
      </c>
      <c r="S68" s="783">
        <v>335.19785417829189</v>
      </c>
      <c r="T68" s="783">
        <v>171.26185716901472</v>
      </c>
      <c r="U68" s="783">
        <v>46.286999838692772</v>
      </c>
      <c r="V68" s="783">
        <v>23.623331614903002</v>
      </c>
      <c r="W68" s="783">
        <v>11.119714055742502</v>
      </c>
      <c r="X68" s="783">
        <v>380.85929216657314</v>
      </c>
      <c r="Y68" s="783">
        <v>113.32999965122723</v>
      </c>
    </row>
    <row r="69" spans="1:25">
      <c r="P69" s="593">
        <v>13</v>
      </c>
      <c r="Q69" s="783">
        <v>27.558857236589642</v>
      </c>
      <c r="R69" s="783">
        <v>21.319143022809669</v>
      </c>
      <c r="S69" s="783">
        <v>569.31741768973188</v>
      </c>
      <c r="T69" s="783">
        <v>241.59529113769531</v>
      </c>
      <c r="U69" s="783">
        <v>63.414285387311629</v>
      </c>
      <c r="V69" s="783">
        <v>22.128154209681874</v>
      </c>
      <c r="W69" s="783">
        <v>6.0048571995326432</v>
      </c>
      <c r="X69" s="783">
        <v>332.15285818917374</v>
      </c>
      <c r="Y69" s="783">
        <v>97.158571515764294</v>
      </c>
    </row>
    <row r="70" spans="1:25">
      <c r="P70" s="593">
        <v>14</v>
      </c>
      <c r="Q70" s="783">
        <v>18.795857294285714</v>
      </c>
      <c r="R70" s="783">
        <v>18.168000220000003</v>
      </c>
      <c r="S70" s="783">
        <v>298.48543221428571</v>
      </c>
      <c r="T70" s="783">
        <v>156.28586031428571</v>
      </c>
      <c r="U70" s="783">
        <v>40.567142485714285</v>
      </c>
      <c r="V70" s="783">
        <v>21.36</v>
      </c>
      <c r="W70" s="783">
        <v>4.6619999238571435</v>
      </c>
      <c r="X70" s="783">
        <v>272.16142927142863</v>
      </c>
      <c r="Y70" s="783">
        <v>87.023999895714283</v>
      </c>
    </row>
    <row r="71" spans="1:25">
      <c r="P71" s="593">
        <v>15</v>
      </c>
      <c r="Q71" s="783">
        <v>16.380999974285714</v>
      </c>
      <c r="R71" s="783">
        <v>14.786285537142858</v>
      </c>
      <c r="S71" s="783">
        <v>196.30642698571427</v>
      </c>
      <c r="T71" s="783">
        <v>126.20242854857143</v>
      </c>
      <c r="U71" s="783">
        <v>27.609000341428576</v>
      </c>
      <c r="V71" s="783">
        <v>23.601429802857144</v>
      </c>
      <c r="W71" s="783">
        <v>2.5870000464285714</v>
      </c>
      <c r="X71" s="783">
        <v>174.17928642857143</v>
      </c>
      <c r="Y71" s="783">
        <v>56.692000798571428</v>
      </c>
    </row>
    <row r="72" spans="1:25">
      <c r="O72" s="275">
        <v>16</v>
      </c>
      <c r="P72" s="593">
        <v>16</v>
      </c>
      <c r="Q72" s="783">
        <v>15.142857142857142</v>
      </c>
      <c r="R72" s="783">
        <v>11.113285608857142</v>
      </c>
      <c r="S72" s="783">
        <v>144.25785718571427</v>
      </c>
      <c r="T72" s="783">
        <v>112.32742854857143</v>
      </c>
      <c r="U72" s="783">
        <v>23.319143022857144</v>
      </c>
      <c r="V72" s="783">
        <v>16.145714351428573</v>
      </c>
      <c r="W72" s="783">
        <v>1.9568571534285717</v>
      </c>
      <c r="X72" s="783">
        <v>124.01500048571428</v>
      </c>
      <c r="Y72" s="783">
        <v>41.578285762857142</v>
      </c>
    </row>
    <row r="73" spans="1:25">
      <c r="P73" s="593">
        <v>17</v>
      </c>
      <c r="Q73" s="783">
        <v>14.535142626081141</v>
      </c>
      <c r="R73" s="783">
        <v>7.95871441704886</v>
      </c>
      <c r="S73" s="783">
        <v>118.61742946079741</v>
      </c>
      <c r="T73" s="783">
        <v>86.636999947684131</v>
      </c>
      <c r="U73" s="783">
        <v>19.662570953369116</v>
      </c>
      <c r="V73" s="783">
        <v>14.007261548723459</v>
      </c>
      <c r="W73" s="783">
        <v>2.0897142546517471</v>
      </c>
      <c r="X73" s="783">
        <v>109.72071402413471</v>
      </c>
      <c r="Y73" s="783">
        <v>32.277857099260544</v>
      </c>
    </row>
    <row r="74" spans="1:25">
      <c r="P74" s="593">
        <v>18</v>
      </c>
      <c r="Q74" s="783">
        <v>15.919285638571427</v>
      </c>
      <c r="R74" s="783">
        <v>12.133857388142859</v>
      </c>
      <c r="S74" s="783">
        <v>119.46943012857146</v>
      </c>
      <c r="T74" s="783">
        <v>95.79771531714286</v>
      </c>
      <c r="U74" s="783">
        <v>21.329571314285715</v>
      </c>
      <c r="V74" s="783">
        <v>12.484048571428572</v>
      </c>
      <c r="W74" s="783">
        <v>2.074857081857143</v>
      </c>
      <c r="X74" s="783">
        <v>121.69785745714287</v>
      </c>
      <c r="Y74" s="783">
        <v>27.218570980000003</v>
      </c>
    </row>
    <row r="75" spans="1:25">
      <c r="P75" s="593">
        <v>19</v>
      </c>
      <c r="Q75" s="783">
        <v>16.148714472857144</v>
      </c>
      <c r="R75" s="783">
        <v>14.776714189999998</v>
      </c>
      <c r="S75" s="783">
        <v>179.62085941428572</v>
      </c>
      <c r="T75" s="783">
        <v>63.654857091428575</v>
      </c>
      <c r="U75" s="783">
        <v>18.961428234285709</v>
      </c>
      <c r="V75" s="783">
        <v>11.436902861999998</v>
      </c>
      <c r="W75" s="783">
        <v>1.6491428614285712</v>
      </c>
      <c r="X75" s="783">
        <v>98.23285565285714</v>
      </c>
      <c r="Y75" s="783">
        <v>23.996714454285712</v>
      </c>
    </row>
    <row r="76" spans="1:25">
      <c r="P76" s="593">
        <v>20</v>
      </c>
      <c r="Q76" s="783">
        <v>13.91285719</v>
      </c>
      <c r="R76" s="783">
        <v>10.484285559</v>
      </c>
      <c r="S76" s="783">
        <v>132.41042655714287</v>
      </c>
      <c r="T76" s="783">
        <v>63.017857142857146</v>
      </c>
      <c r="U76" s="783">
        <v>17.724285941428572</v>
      </c>
      <c r="V76" s="783">
        <v>12.01881</v>
      </c>
      <c r="W76" s="783">
        <v>1.6491428614285712</v>
      </c>
      <c r="X76" s="783">
        <v>74.486427307142861</v>
      </c>
      <c r="Y76" s="783">
        <v>27.218570980000003</v>
      </c>
    </row>
    <row r="77" spans="1:25">
      <c r="P77" s="593">
        <v>21</v>
      </c>
      <c r="Q77" s="783">
        <v>12.832571710859</v>
      </c>
      <c r="R77" s="783">
        <v>8.7072857448032899</v>
      </c>
      <c r="S77" s="783">
        <v>118.96285901750787</v>
      </c>
      <c r="T77" s="783">
        <v>55.553428649902308</v>
      </c>
      <c r="U77" s="783">
        <v>14.547714369637587</v>
      </c>
      <c r="V77" s="783">
        <v>11.963334356035457</v>
      </c>
      <c r="W77" s="783">
        <v>1.6175714560917398</v>
      </c>
      <c r="X77" s="783">
        <v>66.354285648890865</v>
      </c>
      <c r="Y77" s="783">
        <v>17.639571326119512</v>
      </c>
    </row>
    <row r="78" spans="1:25">
      <c r="P78" s="593">
        <v>22</v>
      </c>
      <c r="Q78" s="783">
        <v>11.589857237142857</v>
      </c>
      <c r="R78" s="783">
        <v>7.6087141037142851</v>
      </c>
      <c r="S78" s="783">
        <v>92.527713229999989</v>
      </c>
      <c r="T78" s="783">
        <v>48.85114288285714</v>
      </c>
      <c r="U78" s="783">
        <v>12.851142882857143</v>
      </c>
      <c r="V78" s="783">
        <v>11.972144264285713</v>
      </c>
      <c r="W78" s="783">
        <v>1.7258571555714286</v>
      </c>
      <c r="X78" s="783">
        <v>60.742857795714293</v>
      </c>
      <c r="Y78" s="783">
        <v>13.389714241428573</v>
      </c>
    </row>
    <row r="79" spans="1:25">
      <c r="P79" s="593">
        <v>23</v>
      </c>
      <c r="Q79" s="783">
        <v>10.866000038571428</v>
      </c>
      <c r="R79" s="783">
        <v>6.6898570742857144</v>
      </c>
      <c r="S79" s="783">
        <v>86.262142725714284</v>
      </c>
      <c r="T79" s="783">
        <v>49.02971431142857</v>
      </c>
      <c r="U79" s="783">
        <v>13.300571305714286</v>
      </c>
      <c r="V79" s="783">
        <v>12.060297148571431</v>
      </c>
      <c r="W79" s="783">
        <v>2.2755714314285713</v>
      </c>
      <c r="X79" s="783">
        <v>60.932143074285719</v>
      </c>
      <c r="Y79" s="783">
        <v>13.06000001</v>
      </c>
    </row>
    <row r="80" spans="1:25">
      <c r="O80" s="275">
        <v>24</v>
      </c>
      <c r="P80" s="593">
        <v>24</v>
      </c>
      <c r="Q80" s="783">
        <v>10.893428530011814</v>
      </c>
      <c r="R80" s="783">
        <v>6.3937142235892095</v>
      </c>
      <c r="S80" s="783">
        <v>80.154999869210343</v>
      </c>
      <c r="T80" s="783">
        <v>39.363000052315797</v>
      </c>
      <c r="U80" s="783">
        <v>11.205857140677287</v>
      </c>
      <c r="V80" s="783">
        <v>12.025059972490542</v>
      </c>
      <c r="W80" s="783">
        <v>2.2755714314324473</v>
      </c>
      <c r="X80" s="783">
        <v>56.771429334367994</v>
      </c>
      <c r="Y80" s="783">
        <v>10.094714164733857</v>
      </c>
    </row>
    <row r="81" spans="15:25">
      <c r="P81" s="593">
        <v>25</v>
      </c>
      <c r="Q81" s="783">
        <v>9.7685713087142858</v>
      </c>
      <c r="R81" s="783">
        <v>5.4858571460000007</v>
      </c>
      <c r="S81" s="783">
        <v>71.438000270000003</v>
      </c>
      <c r="T81" s="783">
        <v>31.88514287142857</v>
      </c>
      <c r="U81" s="783">
        <v>9.1724285395714276</v>
      </c>
      <c r="V81" s="783">
        <v>11.867550168571428</v>
      </c>
      <c r="W81" s="783">
        <v>1.7577142885714285</v>
      </c>
      <c r="X81" s="783">
        <v>51.780714305714291</v>
      </c>
      <c r="Y81" s="783">
        <v>9.1595716474285691</v>
      </c>
    </row>
    <row r="82" spans="15:25">
      <c r="P82" s="593">
        <v>26</v>
      </c>
      <c r="Q82" s="783">
        <v>9.3011428291428579</v>
      </c>
      <c r="R82" s="783">
        <v>5.6422856875714285</v>
      </c>
      <c r="S82" s="783">
        <v>70.798141479999998</v>
      </c>
      <c r="T82" s="783">
        <v>29.80342864857143</v>
      </c>
      <c r="U82" s="783">
        <v>8.6642858641428564</v>
      </c>
      <c r="V82" s="783">
        <v>11.961507115714285</v>
      </c>
      <c r="W82" s="783">
        <v>1.7387143204285713</v>
      </c>
      <c r="X82" s="783">
        <v>47.265713828571435</v>
      </c>
      <c r="Y82" s="783">
        <v>8.8348572594285706</v>
      </c>
    </row>
    <row r="83" spans="15:25">
      <c r="P83" s="593">
        <v>27</v>
      </c>
      <c r="Q83" s="783">
        <v>9.0898572376796078</v>
      </c>
      <c r="R83" s="783">
        <v>4.8411428587777223</v>
      </c>
      <c r="S83" s="783">
        <v>72.323284694126613</v>
      </c>
      <c r="T83" s="783">
        <v>28.875142778669062</v>
      </c>
      <c r="U83" s="783">
        <v>8.3150001253400507</v>
      </c>
      <c r="V83" s="783">
        <v>12.125935554504371</v>
      </c>
      <c r="W83" s="783">
        <v>2.0545714242117699</v>
      </c>
      <c r="X83" s="783">
        <v>44.601428440638877</v>
      </c>
      <c r="Y83" s="783">
        <v>8.4665715353829452</v>
      </c>
    </row>
    <row r="84" spans="15:25">
      <c r="P84" s="593">
        <v>28</v>
      </c>
      <c r="Q84" s="783">
        <v>8.3315715788571421</v>
      </c>
      <c r="R84" s="783">
        <v>4.0902857780000001</v>
      </c>
      <c r="S84" s="783">
        <v>70.352427891428562</v>
      </c>
      <c r="T84" s="783">
        <v>27.071428571428573</v>
      </c>
      <c r="U84" s="783">
        <v>7.9792855807142846</v>
      </c>
      <c r="V84" s="783">
        <v>12.036131450000001</v>
      </c>
      <c r="W84" s="783">
        <v>1.862857103571429</v>
      </c>
      <c r="X84" s="783">
        <v>42.742857252857149</v>
      </c>
      <c r="Y84" s="783">
        <v>7.6952857290000001</v>
      </c>
    </row>
    <row r="85" spans="15:25">
      <c r="P85" s="593">
        <v>29</v>
      </c>
      <c r="Q85" s="783">
        <v>8.7399999755714273</v>
      </c>
      <c r="R85" s="783">
        <v>3.3690000857142857</v>
      </c>
      <c r="S85" s="783">
        <v>69.363000051428585</v>
      </c>
      <c r="T85" s="783">
        <v>26.369142805714286</v>
      </c>
      <c r="U85" s="783">
        <v>7.2952857698571441</v>
      </c>
      <c r="V85" s="783">
        <v>12.01250158142857</v>
      </c>
      <c r="W85" s="783">
        <v>2.1428571427142855</v>
      </c>
      <c r="X85" s="783">
        <v>40.262857164285712</v>
      </c>
      <c r="Y85" s="783">
        <v>7.1297142847142867</v>
      </c>
    </row>
    <row r="86" spans="15:25">
      <c r="P86" s="593">
        <v>30</v>
      </c>
      <c r="Q86" s="783">
        <v>8.2612857819999999</v>
      </c>
      <c r="R86" s="783">
        <v>3.9334286622857135</v>
      </c>
      <c r="S86" s="783">
        <v>68.101856775714282</v>
      </c>
      <c r="T86" s="783">
        <v>23.077571325714285</v>
      </c>
      <c r="U86" s="783">
        <v>7.5452858379999999</v>
      </c>
      <c r="V86" s="783">
        <v>12.065415654285715</v>
      </c>
      <c r="W86" s="783">
        <v>2.0148571899999999</v>
      </c>
      <c r="X86" s="783">
        <v>39.827141895714291</v>
      </c>
      <c r="Y86" s="783">
        <v>8.1214285577142853</v>
      </c>
    </row>
    <row r="87" spans="15:25">
      <c r="P87" s="593">
        <v>31</v>
      </c>
      <c r="Q87" s="783">
        <v>7.5295715331428577</v>
      </c>
      <c r="R87" s="783">
        <v>3.8718570981428577</v>
      </c>
      <c r="S87" s="783">
        <v>66.163572037142856</v>
      </c>
      <c r="T87" s="783">
        <v>20.36314283098493</v>
      </c>
      <c r="U87" s="783">
        <v>7.1267142297142865</v>
      </c>
      <c r="V87" s="783">
        <v>12.064045632857143</v>
      </c>
      <c r="W87" s="783">
        <v>2.0708571672857143</v>
      </c>
      <c r="X87" s="783">
        <v>37.761428834285709</v>
      </c>
      <c r="Y87" s="783">
        <v>8.1097143717142863</v>
      </c>
    </row>
    <row r="88" spans="15:25">
      <c r="O88" s="275">
        <v>32</v>
      </c>
      <c r="P88" s="593">
        <v>32</v>
      </c>
      <c r="Q88" s="783">
        <v>7.1332857268197154</v>
      </c>
      <c r="R88" s="783">
        <v>3.9694285733359158</v>
      </c>
      <c r="S88" s="783">
        <v>69.589143480573355</v>
      </c>
      <c r="T88" s="783">
        <v>20.36</v>
      </c>
      <c r="U88" s="783">
        <v>6.828428472791396</v>
      </c>
      <c r="V88" s="783">
        <v>11.89809417724604</v>
      </c>
      <c r="W88" s="783">
        <v>1.7728571551186658</v>
      </c>
      <c r="X88" s="783">
        <v>37.760714394705587</v>
      </c>
      <c r="Y88" s="783">
        <v>10.538714272635294</v>
      </c>
    </row>
    <row r="89" spans="15:25">
      <c r="P89" s="593">
        <v>33</v>
      </c>
      <c r="Q89" s="783">
        <v>7.307000092</v>
      </c>
      <c r="R89" s="783">
        <v>4.0542857307142848</v>
      </c>
      <c r="S89" s="783">
        <v>67.52914374142857</v>
      </c>
      <c r="T89" s="783">
        <v>23.369000025714286</v>
      </c>
      <c r="U89" s="783">
        <v>6.6690000125714279</v>
      </c>
      <c r="V89" s="783">
        <v>11.954105787142856</v>
      </c>
      <c r="W89" s="783">
        <v>1.7154285907142857</v>
      </c>
      <c r="X89" s="783">
        <v>38.402142115714284</v>
      </c>
      <c r="Y89" s="783">
        <v>6.1292857952857149</v>
      </c>
    </row>
    <row r="90" spans="15:25">
      <c r="P90" s="593">
        <v>34</v>
      </c>
      <c r="Q90" s="783">
        <v>6.8864285605714288</v>
      </c>
      <c r="R90" s="783">
        <v>3.8852857181428568</v>
      </c>
      <c r="S90" s="783">
        <v>67.307859692857136</v>
      </c>
      <c r="T90" s="783">
        <v>24.434428622857144</v>
      </c>
      <c r="U90" s="783">
        <v>6.6477142742857138</v>
      </c>
      <c r="V90" s="783">
        <v>11.958392961428572</v>
      </c>
      <c r="W90" s="783">
        <v>2.26100002</v>
      </c>
      <c r="X90" s="783">
        <v>36.792856487142856</v>
      </c>
      <c r="Y90" s="783">
        <v>6.0765714645714288</v>
      </c>
    </row>
    <row r="91" spans="15:25">
      <c r="P91" s="593">
        <v>35</v>
      </c>
      <c r="Q91" s="783">
        <v>6.9537143707275364</v>
      </c>
      <c r="R91" s="783">
        <v>3.3560000147138283</v>
      </c>
      <c r="S91" s="783">
        <v>62.870428357805473</v>
      </c>
      <c r="T91" s="783">
        <v>21.077428545270632</v>
      </c>
      <c r="U91" s="783">
        <v>6.0071428843906904</v>
      </c>
      <c r="V91" s="783">
        <v>12.309941428048228</v>
      </c>
      <c r="W91" s="783">
        <v>1.5178571258272411</v>
      </c>
      <c r="X91" s="783">
        <v>37.991428375244077</v>
      </c>
      <c r="Y91" s="783">
        <v>5.9287142923900031</v>
      </c>
    </row>
    <row r="92" spans="15:25">
      <c r="P92" s="593">
        <v>36</v>
      </c>
      <c r="Q92" s="783">
        <v>6.8990000316074882</v>
      </c>
      <c r="R92" s="783">
        <v>3.1212857110159686</v>
      </c>
      <c r="S92" s="783">
        <v>65.621286119733483</v>
      </c>
      <c r="T92" s="783">
        <v>23.857142857142815</v>
      </c>
      <c r="U92" s="783">
        <v>6.0528572627476231</v>
      </c>
      <c r="V92" s="783">
        <v>12.697084290640644</v>
      </c>
      <c r="W92" s="783">
        <v>1.0650000040020247</v>
      </c>
      <c r="X92" s="783">
        <v>40.24999999999995</v>
      </c>
      <c r="Y92" s="783">
        <v>6.6625714302062962</v>
      </c>
    </row>
    <row r="93" spans="15:25">
      <c r="P93" s="593">
        <v>37</v>
      </c>
      <c r="Q93" s="783">
        <v>6.6838571003505107</v>
      </c>
      <c r="R93" s="783">
        <v>3.6978571414947474</v>
      </c>
      <c r="S93" s="783">
        <v>65.927430289132204</v>
      </c>
      <c r="T93" s="783">
        <v>21.696428571428545</v>
      </c>
      <c r="U93" s="783">
        <v>5.992857115609298</v>
      </c>
      <c r="V93" s="783">
        <v>12.722499983651257</v>
      </c>
      <c r="W93" s="783">
        <v>1.5737142903464156</v>
      </c>
      <c r="X93" s="783">
        <v>41.220714024135006</v>
      </c>
      <c r="Y93" s="783">
        <v>6.7525714465549971</v>
      </c>
    </row>
    <row r="94" spans="15:25">
      <c r="P94" s="593">
        <v>38</v>
      </c>
      <c r="Q94" s="783">
        <v>7.5399999618530247</v>
      </c>
      <c r="R94" s="783">
        <v>4.336428608285714</v>
      </c>
      <c r="S94" s="783">
        <v>68.259427751813561</v>
      </c>
      <c r="T94" s="783">
        <v>32.958285740443614</v>
      </c>
      <c r="U94" s="783">
        <v>6.3054285049438423</v>
      </c>
      <c r="V94" s="783">
        <v>12.757261548723429</v>
      </c>
      <c r="W94" s="783">
        <v>1.6808571304593714</v>
      </c>
      <c r="X94" s="783">
        <v>38.451428549630243</v>
      </c>
      <c r="Y94" s="783">
        <v>6.3287143026079411</v>
      </c>
    </row>
    <row r="95" spans="15:25">
      <c r="P95" s="593">
        <v>39</v>
      </c>
      <c r="Q95" s="783">
        <v>6.875</v>
      </c>
      <c r="R95" s="783">
        <v>3.7</v>
      </c>
      <c r="S95" s="783">
        <v>75.159429278571437</v>
      </c>
      <c r="T95" s="783">
        <v>41.827428545714284</v>
      </c>
      <c r="U95" s="783">
        <v>7.6855713981428568</v>
      </c>
      <c r="V95" s="783">
        <v>12.744882855714284</v>
      </c>
      <c r="W95" s="783">
        <v>1.6871428661428571</v>
      </c>
      <c r="X95" s="783">
        <v>41.307143075714286</v>
      </c>
      <c r="Y95" s="783">
        <v>7.4534285069999999</v>
      </c>
    </row>
    <row r="96" spans="15:25">
      <c r="O96" s="275">
        <v>40</v>
      </c>
      <c r="P96" s="593">
        <v>40</v>
      </c>
      <c r="Q96" s="783">
        <v>6.0911429268571426</v>
      </c>
      <c r="R96" s="783">
        <v>3.501428569857143</v>
      </c>
      <c r="S96" s="783">
        <v>73.523286004285723</v>
      </c>
      <c r="T96" s="783">
        <v>30.178571428571427</v>
      </c>
      <c r="U96" s="783">
        <v>7.8047143392857157</v>
      </c>
      <c r="V96" s="783">
        <v>13.59601129857143</v>
      </c>
      <c r="W96" s="783">
        <v>1.6130000010000001</v>
      </c>
      <c r="X96" s="783">
        <v>45.036428724285713</v>
      </c>
      <c r="Y96" s="783">
        <v>6.0369999748571432</v>
      </c>
    </row>
    <row r="97" spans="14:25">
      <c r="P97" s="593">
        <v>41</v>
      </c>
      <c r="Q97" s="783">
        <v>5.8652857372857152</v>
      </c>
      <c r="R97" s="783">
        <v>4.2169999735714283</v>
      </c>
      <c r="S97" s="783">
        <v>67.761285509999993</v>
      </c>
      <c r="T97" s="783">
        <v>24.547571454285713</v>
      </c>
      <c r="U97" s="783">
        <v>6.762428624428571</v>
      </c>
      <c r="V97" s="783">
        <v>13.258037294285714</v>
      </c>
      <c r="W97" s="783">
        <v>1.8452857051428571</v>
      </c>
      <c r="X97" s="783">
        <v>44.255714417142862</v>
      </c>
      <c r="Y97" s="783">
        <v>6.8767141612857143</v>
      </c>
    </row>
    <row r="98" spans="14:25">
      <c r="P98" s="593">
        <v>42</v>
      </c>
      <c r="Q98" s="783">
        <v>6.6280000550406255</v>
      </c>
      <c r="R98" s="783">
        <v>4.7599999564034556</v>
      </c>
      <c r="S98" s="783">
        <v>71.132857186453606</v>
      </c>
      <c r="T98" s="783">
        <v>41.773857116699205</v>
      </c>
      <c r="U98" s="783">
        <v>7.8334286553519048</v>
      </c>
      <c r="V98" s="783">
        <v>12.748987061636742</v>
      </c>
      <c r="W98" s="783">
        <v>1.9990000043596503</v>
      </c>
      <c r="X98" s="783">
        <v>49.407857077462303</v>
      </c>
      <c r="Y98" s="783">
        <v>6.4478571755545433</v>
      </c>
    </row>
    <row r="99" spans="14:25">
      <c r="P99" s="593">
        <v>43</v>
      </c>
      <c r="Q99" s="783">
        <v>7.1351429394285715</v>
      </c>
      <c r="R99" s="783">
        <v>5.693714175857143</v>
      </c>
      <c r="S99" s="783">
        <v>76.869857788571409</v>
      </c>
      <c r="T99" s="783">
        <v>39.60114288285714</v>
      </c>
      <c r="U99" s="783">
        <v>6.4934286387142857</v>
      </c>
      <c r="V99" s="783">
        <v>12.771309988571426</v>
      </c>
      <c r="W99" s="783">
        <v>1.5481428758571429</v>
      </c>
      <c r="X99" s="783">
        <v>49.056428090000004</v>
      </c>
      <c r="Y99" s="783">
        <v>6.2457143240000006</v>
      </c>
    </row>
    <row r="100" spans="14:25">
      <c r="P100" s="593">
        <v>44</v>
      </c>
      <c r="Q100" s="783">
        <v>6.1070000102857147</v>
      </c>
      <c r="R100" s="783">
        <v>4.3958570957142857</v>
      </c>
      <c r="S100" s="783">
        <v>68.664999825714276</v>
      </c>
      <c r="T100" s="783">
        <v>36.702285765714286</v>
      </c>
      <c r="U100" s="783">
        <v>5.6301428931428577</v>
      </c>
      <c r="V100" s="783">
        <v>13.156308445714286</v>
      </c>
      <c r="W100" s="783">
        <v>1.4392857041428573</v>
      </c>
      <c r="X100" s="783">
        <v>48.241428374285711</v>
      </c>
      <c r="Y100" s="783">
        <v>6.5374285491428568</v>
      </c>
    </row>
    <row r="101" spans="14:25">
      <c r="P101" s="593">
        <v>45</v>
      </c>
      <c r="Q101" s="783">
        <v>5.6735714502857144</v>
      </c>
      <c r="R101" s="783">
        <v>4.5134285178571432</v>
      </c>
      <c r="S101" s="783">
        <v>62.049999781428575</v>
      </c>
      <c r="T101" s="783">
        <v>27.797571454285713</v>
      </c>
      <c r="U101" s="783">
        <v>5.3054286411428562</v>
      </c>
      <c r="V101" s="783">
        <v>12.687737055714285</v>
      </c>
      <c r="W101" s="783">
        <v>1.380714297142857</v>
      </c>
      <c r="X101" s="783">
        <v>46.33071463571428</v>
      </c>
      <c r="Y101" s="783">
        <v>6.183142798285715</v>
      </c>
    </row>
    <row r="102" spans="14:25">
      <c r="P102" s="593">
        <v>46</v>
      </c>
      <c r="Q102" s="783">
        <v>5.9637143271428581</v>
      </c>
      <c r="R102" s="783">
        <v>5.3014286587142854</v>
      </c>
      <c r="S102" s="783">
        <v>57.546571460000003</v>
      </c>
      <c r="T102" s="783">
        <v>32.208285740000001</v>
      </c>
      <c r="U102" s="783">
        <v>5.1785714285714288</v>
      </c>
      <c r="V102" s="783">
        <v>13.157975741428572</v>
      </c>
      <c r="W102" s="783">
        <v>1.3845714331428574</v>
      </c>
      <c r="X102" s="783">
        <v>44.693571362857142</v>
      </c>
      <c r="Y102" s="783">
        <v>7.3267143794285712</v>
      </c>
    </row>
    <row r="103" spans="14:25">
      <c r="P103" s="593">
        <v>47</v>
      </c>
      <c r="Q103" s="783">
        <v>6.7792857034285712</v>
      </c>
      <c r="R103" s="783">
        <v>3.8094285555714285</v>
      </c>
      <c r="S103" s="783">
        <v>56.944714135714285</v>
      </c>
      <c r="T103" s="783">
        <v>25.351285662857144</v>
      </c>
      <c r="U103" s="783">
        <v>6.1274285315714279</v>
      </c>
      <c r="V103" s="783">
        <v>12.246785572857144</v>
      </c>
      <c r="W103" s="783">
        <v>1.5065714290000003</v>
      </c>
      <c r="X103" s="783">
        <v>42.967857361428564</v>
      </c>
      <c r="Y103" s="783">
        <v>9.6325714934285713</v>
      </c>
    </row>
    <row r="104" spans="14:25">
      <c r="P104" s="593">
        <v>48</v>
      </c>
      <c r="Q104" s="783">
        <v>8.2138571738571429</v>
      </c>
      <c r="R104" s="783">
        <v>5.0787143024285717</v>
      </c>
      <c r="S104" s="783">
        <v>56.829999651428572</v>
      </c>
      <c r="T104" s="783">
        <v>37.994142805714283</v>
      </c>
      <c r="U104" s="783">
        <v>8.188285623714286</v>
      </c>
      <c r="V104" s="783">
        <v>13.367501529999998</v>
      </c>
      <c r="W104" s="783">
        <v>1.0268571504285715</v>
      </c>
      <c r="X104" s="783">
        <v>63.644285474285716</v>
      </c>
      <c r="Y104" s="783">
        <v>13.102857045714286</v>
      </c>
    </row>
    <row r="105" spans="14:25">
      <c r="P105" s="593">
        <v>49</v>
      </c>
      <c r="Q105" s="783">
        <v>17.68042864142857</v>
      </c>
      <c r="R105" s="783">
        <v>12.998142924285714</v>
      </c>
      <c r="S105" s="783">
        <v>90.966000160000007</v>
      </c>
      <c r="T105" s="783">
        <v>88.630856108571422</v>
      </c>
      <c r="U105" s="783">
        <v>14.530285971857142</v>
      </c>
      <c r="V105" s="783">
        <v>13.053452899999998</v>
      </c>
      <c r="W105" s="783">
        <v>1.0737142817142857</v>
      </c>
      <c r="X105" s="783">
        <v>90.734285625714293</v>
      </c>
      <c r="Y105" s="783">
        <v>17.667142595714285</v>
      </c>
    </row>
    <row r="106" spans="14:25">
      <c r="P106" s="593">
        <v>50</v>
      </c>
      <c r="Q106" s="783">
        <v>12.617142812857141</v>
      </c>
      <c r="R106" s="783">
        <v>11.908142771714285</v>
      </c>
      <c r="S106" s="783">
        <v>83.198000225714296</v>
      </c>
      <c r="T106" s="783">
        <v>44.297571454285716</v>
      </c>
      <c r="U106" s="783">
        <v>9.220428467142856</v>
      </c>
      <c r="V106" s="783">
        <v>13.068511554285712</v>
      </c>
      <c r="W106" s="783">
        <v>1.2921428212857144</v>
      </c>
      <c r="X106" s="783">
        <v>57.20714296714285</v>
      </c>
      <c r="Y106" s="783">
        <v>14.238999775714285</v>
      </c>
    </row>
    <row r="107" spans="14:25">
      <c r="P107" s="593">
        <v>51</v>
      </c>
      <c r="Q107" s="783">
        <v>19.502285685714288</v>
      </c>
      <c r="R107" s="783">
        <v>17.91042859142857</v>
      </c>
      <c r="S107" s="783">
        <v>93.582571842857163</v>
      </c>
      <c r="T107" s="783">
        <v>77.60742949714286</v>
      </c>
      <c r="U107" s="783">
        <v>9.7118571817142847</v>
      </c>
      <c r="V107" s="783">
        <v>12.987917082857143</v>
      </c>
      <c r="W107" s="783">
        <v>1.2780000142857142</v>
      </c>
      <c r="X107" s="783">
        <v>76.025713785714288</v>
      </c>
      <c r="Y107" s="783">
        <v>17.224714688571428</v>
      </c>
    </row>
    <row r="108" spans="14:25">
      <c r="O108" s="275">
        <v>52</v>
      </c>
      <c r="P108" s="593">
        <v>52</v>
      </c>
      <c r="Q108" s="783">
        <v>24.478714262857146</v>
      </c>
      <c r="R108" s="783">
        <v>20.052142824285713</v>
      </c>
      <c r="S108" s="783">
        <v>198.89756992857141</v>
      </c>
      <c r="T108" s="783">
        <v>158.34513965714288</v>
      </c>
      <c r="U108" s="783">
        <v>34.910285677142852</v>
      </c>
      <c r="V108" s="783">
        <v>18.967856814285714</v>
      </c>
      <c r="W108" s="783">
        <v>7.1757142371428566</v>
      </c>
      <c r="X108" s="783">
        <v>180.25785610000003</v>
      </c>
      <c r="Y108" s="783">
        <v>54.019857132857133</v>
      </c>
    </row>
    <row r="109" spans="14:25">
      <c r="N109" s="275">
        <v>2021</v>
      </c>
      <c r="P109" s="593">
        <v>1</v>
      </c>
      <c r="Q109" s="783">
        <v>32.471142904285713</v>
      </c>
      <c r="R109" s="783">
        <v>23.040428705714284</v>
      </c>
      <c r="S109" s="783">
        <v>363.19999692857135</v>
      </c>
      <c r="T109" s="783">
        <v>212.58328465714288</v>
      </c>
      <c r="U109" s="783">
        <v>44.205428261428565</v>
      </c>
      <c r="V109" s="783">
        <v>22.357858387142851</v>
      </c>
      <c r="W109" s="783">
        <v>6.7241427552857145</v>
      </c>
      <c r="X109" s="783">
        <v>233.42357307142856</v>
      </c>
      <c r="Y109" s="783">
        <v>70.259001594285721</v>
      </c>
    </row>
    <row r="110" spans="14:25">
      <c r="P110" s="593">
        <v>2</v>
      </c>
      <c r="Q110" s="783">
        <v>29.357571737142859</v>
      </c>
      <c r="R110" s="783">
        <v>22.506999971428574</v>
      </c>
      <c r="S110" s="783">
        <v>323.79400198571426</v>
      </c>
      <c r="T110" s="783">
        <v>154.41086031428571</v>
      </c>
      <c r="U110" s="783">
        <v>27.91428565857143</v>
      </c>
      <c r="V110" s="783">
        <v>16.044107027142857</v>
      </c>
      <c r="W110" s="783">
        <v>3.2384286270000002</v>
      </c>
      <c r="X110" s="783">
        <v>199.51214380000002</v>
      </c>
      <c r="Y110" s="783">
        <v>58.126999447142857</v>
      </c>
    </row>
    <row r="111" spans="14:25">
      <c r="P111" s="593">
        <v>3</v>
      </c>
      <c r="Q111" s="783">
        <v>27.718428745714288</v>
      </c>
      <c r="R111" s="783">
        <v>21.345142638571424</v>
      </c>
      <c r="S111" s="783">
        <v>401.6544320142857</v>
      </c>
      <c r="T111" s="783">
        <v>185.14285714285714</v>
      </c>
      <c r="U111" s="783">
        <v>39.37385668142857</v>
      </c>
      <c r="V111" s="783">
        <v>18.835116929999998</v>
      </c>
      <c r="W111" s="783">
        <v>6.560571466571429</v>
      </c>
      <c r="X111" s="783">
        <v>380.69428361428572</v>
      </c>
      <c r="Y111" s="783">
        <v>74.927428108571434</v>
      </c>
    </row>
    <row r="112" spans="14:25">
      <c r="P112" s="593">
        <v>4</v>
      </c>
      <c r="Q112" s="783">
        <v>30.739285877142859</v>
      </c>
      <c r="R112" s="783">
        <v>24.126143047142854</v>
      </c>
      <c r="S112" s="783">
        <v>367.00971765714274</v>
      </c>
      <c r="T112" s="783">
        <v>156.14856614285716</v>
      </c>
      <c r="U112" s="783">
        <v>23.497714179999999</v>
      </c>
      <c r="V112" s="783">
        <v>16.004641395714284</v>
      </c>
      <c r="W112" s="783">
        <v>5.1067142825714296</v>
      </c>
      <c r="X112" s="783">
        <v>322.4650006857143</v>
      </c>
      <c r="Y112" s="783">
        <v>68.394571574285706</v>
      </c>
    </row>
    <row r="113" spans="15:25">
      <c r="P113" s="593">
        <v>5</v>
      </c>
      <c r="Q113" s="783">
        <v>25.584571565714288</v>
      </c>
      <c r="R113" s="783">
        <v>22.874571391428567</v>
      </c>
      <c r="S113" s="783">
        <v>260.95085362857145</v>
      </c>
      <c r="T113" s="783">
        <v>108.66671425714286</v>
      </c>
      <c r="U113" s="783">
        <v>21.321428571428573</v>
      </c>
      <c r="V113" s="783">
        <v>16.024463924285715</v>
      </c>
      <c r="W113" s="783">
        <v>3.1654285022857147</v>
      </c>
      <c r="X113" s="783">
        <v>203.94785854285715</v>
      </c>
      <c r="Y113" s="783">
        <v>56.864572254285704</v>
      </c>
    </row>
    <row r="114" spans="15:25">
      <c r="P114" s="593">
        <v>6</v>
      </c>
      <c r="Q114" s="783">
        <v>18.677976190476191</v>
      </c>
      <c r="R114" s="783">
        <v>19.115142824285716</v>
      </c>
      <c r="S114" s="783">
        <v>266.1391427142857</v>
      </c>
      <c r="T114" s="783">
        <v>132.98228671428572</v>
      </c>
      <c r="U114" s="783">
        <v>30.396999359999999</v>
      </c>
      <c r="V114" s="783">
        <v>15.963094302857142</v>
      </c>
      <c r="W114" s="783">
        <v>5.8411428927142861</v>
      </c>
      <c r="X114" s="783">
        <v>317.90785435714287</v>
      </c>
      <c r="Y114" s="783">
        <v>60.405000412857149</v>
      </c>
    </row>
    <row r="115" spans="15:25">
      <c r="P115" s="593">
        <v>7</v>
      </c>
      <c r="Q115" s="783">
        <v>18.677976190476191</v>
      </c>
      <c r="R115" s="783">
        <v>18.677976190476191</v>
      </c>
      <c r="S115" s="783">
        <v>231.286666666667</v>
      </c>
      <c r="T115" s="783">
        <v>91.321428571428569</v>
      </c>
      <c r="U115" s="783">
        <v>18.5625</v>
      </c>
      <c r="V115" s="783">
        <v>14.07</v>
      </c>
      <c r="W115" s="783">
        <v>3.3580000000000001</v>
      </c>
      <c r="X115" s="783">
        <v>339.78</v>
      </c>
      <c r="Y115" s="783">
        <v>76.87</v>
      </c>
    </row>
    <row r="116" spans="15:25">
      <c r="P116" s="593">
        <v>8</v>
      </c>
      <c r="Q116" s="783">
        <v>15.895833333333314</v>
      </c>
      <c r="R116" s="783">
        <v>8.1069999999999993</v>
      </c>
      <c r="S116" s="783">
        <v>131.62660714285707</v>
      </c>
      <c r="T116" s="783">
        <v>104.375</v>
      </c>
      <c r="U116" s="783">
        <v>21.619</v>
      </c>
      <c r="V116" s="783">
        <v>13.162619047619055</v>
      </c>
      <c r="W116" s="783">
        <v>2.181</v>
      </c>
      <c r="X116" s="783">
        <v>264.85700000000003</v>
      </c>
      <c r="Y116" s="783">
        <v>119.958</v>
      </c>
    </row>
    <row r="117" spans="15:25">
      <c r="P117" s="593">
        <v>9</v>
      </c>
      <c r="Q117" s="783">
        <v>16.03157152448377</v>
      </c>
      <c r="R117" s="783">
        <v>10.70885712759833</v>
      </c>
      <c r="S117" s="783">
        <v>115.81614358084498</v>
      </c>
      <c r="T117" s="783">
        <v>81.571428571428527</v>
      </c>
      <c r="U117" s="783">
        <v>19.778999873570012</v>
      </c>
      <c r="V117" s="783">
        <v>11.839642660958372</v>
      </c>
      <c r="W117" s="783">
        <v>2.5798570939472714</v>
      </c>
      <c r="X117" s="783">
        <v>195.40928431919602</v>
      </c>
      <c r="Y117" s="783">
        <v>71.76285661969861</v>
      </c>
    </row>
    <row r="118" spans="15:25">
      <c r="P118" s="593">
        <v>10</v>
      </c>
      <c r="Q118" s="783">
        <v>28.276142392857142</v>
      </c>
      <c r="R118" s="783">
        <v>21.731714248571429</v>
      </c>
      <c r="S118" s="783">
        <v>254.39099884285716</v>
      </c>
      <c r="T118" s="783">
        <v>146.17256928571427</v>
      </c>
      <c r="U118" s="783">
        <v>29.352285658571429</v>
      </c>
      <c r="V118" s="783">
        <v>10.568511418142858</v>
      </c>
      <c r="W118" s="783">
        <v>2.1962857415714288</v>
      </c>
      <c r="X118" s="783">
        <v>212.2000013</v>
      </c>
      <c r="Y118" s="783">
        <v>56.04871422714286</v>
      </c>
    </row>
    <row r="119" spans="15:25">
      <c r="P119" s="593">
        <v>11</v>
      </c>
      <c r="Q119" s="783">
        <v>28.634571619999999</v>
      </c>
      <c r="R119" s="783">
        <v>21.524857657142856</v>
      </c>
      <c r="S119" s="783">
        <v>320.82542418571427</v>
      </c>
      <c r="T119" s="783">
        <v>138.12514602857144</v>
      </c>
      <c r="U119" s="783">
        <v>28.100000654285715</v>
      </c>
      <c r="V119" s="783">
        <v>11.367022922857142</v>
      </c>
      <c r="W119" s="783">
        <v>2.7152857098571426</v>
      </c>
      <c r="X119" s="783">
        <v>229.93857247142856</v>
      </c>
      <c r="Y119" s="783">
        <v>63.309571402857145</v>
      </c>
    </row>
    <row r="120" spans="15:25">
      <c r="P120" s="593">
        <v>12</v>
      </c>
      <c r="Q120" s="783">
        <v>28.223285404285715</v>
      </c>
      <c r="R120" s="783">
        <v>22.087285995714286</v>
      </c>
      <c r="S120" s="783">
        <v>295.67700197142852</v>
      </c>
      <c r="T120" s="783">
        <v>176.22028785714286</v>
      </c>
      <c r="U120" s="783">
        <v>43.393999101428577</v>
      </c>
      <c r="V120" s="783">
        <v>14.060239925714285</v>
      </c>
      <c r="W120" s="783">
        <v>3.625</v>
      </c>
      <c r="X120" s="783">
        <v>287.37429152857146</v>
      </c>
      <c r="Y120" s="783">
        <v>68.27</v>
      </c>
    </row>
    <row r="121" spans="15:25">
      <c r="O121" s="275">
        <v>13</v>
      </c>
      <c r="P121" s="593">
        <v>13</v>
      </c>
      <c r="Q121" s="783">
        <v>27.516571317142855</v>
      </c>
      <c r="R121" s="783">
        <v>23.321285792857143</v>
      </c>
      <c r="S121" s="783">
        <v>358.4028538428571</v>
      </c>
      <c r="T121" s="783">
        <v>161.61914497142857</v>
      </c>
      <c r="U121" s="783">
        <v>39.082286288571431</v>
      </c>
      <c r="V121" s="783">
        <v>20.107797215142853</v>
      </c>
      <c r="W121" s="783">
        <v>4.0744285582857147</v>
      </c>
      <c r="X121" s="783">
        <v>292.37857055714284</v>
      </c>
      <c r="Y121" s="783">
        <v>61.654713765714291</v>
      </c>
    </row>
    <row r="122" spans="15:25">
      <c r="P122" s="593">
        <v>14</v>
      </c>
      <c r="Q122" s="783">
        <v>29.126714707142856</v>
      </c>
      <c r="R122" s="783">
        <v>26.810000011428574</v>
      </c>
      <c r="S122" s="783">
        <v>415.37771607142855</v>
      </c>
      <c r="T122" s="783">
        <v>180.97614180000002</v>
      </c>
      <c r="U122" s="783">
        <v>40.325571332857145</v>
      </c>
      <c r="V122" s="783">
        <v>23.453333172857139</v>
      </c>
      <c r="W122" s="783">
        <v>2.8194285800000003</v>
      </c>
      <c r="X122" s="783">
        <v>281.81714740000001</v>
      </c>
      <c r="Y122" s="783">
        <v>68.710573468571425</v>
      </c>
    </row>
    <row r="123" spans="15:25">
      <c r="P123" s="593">
        <v>15</v>
      </c>
      <c r="Q123" s="594">
        <v>28.420428685714288</v>
      </c>
      <c r="R123" s="594">
        <v>22.159857068571426</v>
      </c>
      <c r="S123" s="594">
        <v>388.02957154285713</v>
      </c>
      <c r="T123" s="594">
        <v>187.79186137142855</v>
      </c>
      <c r="U123" s="594">
        <v>52.19757080285715</v>
      </c>
      <c r="V123" s="594">
        <v>23.194762912857147</v>
      </c>
      <c r="W123" s="594">
        <v>2.7518571105714291</v>
      </c>
      <c r="X123" s="594">
        <v>319.64357211428575</v>
      </c>
      <c r="Y123" s="594">
        <v>74.239000592857138</v>
      </c>
    </row>
    <row r="124" spans="15:25">
      <c r="P124" s="593">
        <v>16</v>
      </c>
      <c r="Q124" s="783">
        <v>21.880999702857146</v>
      </c>
      <c r="R124" s="783">
        <v>20.447000231428571</v>
      </c>
      <c r="S124" s="783">
        <v>189.56900242857142</v>
      </c>
      <c r="T124" s="783">
        <v>107.50585611428572</v>
      </c>
      <c r="U124" s="783">
        <v>28.65042877285714</v>
      </c>
      <c r="V124" s="783">
        <v>18.780238424285709</v>
      </c>
      <c r="W124" s="783">
        <v>1.8839999778571432</v>
      </c>
      <c r="X124" s="783">
        <v>174.665717</v>
      </c>
      <c r="Y124" s="783">
        <v>39.415857042857148</v>
      </c>
    </row>
    <row r="125" spans="15:25">
      <c r="P125" s="593">
        <v>17</v>
      </c>
      <c r="Q125" s="783">
        <v>18.000999994285714</v>
      </c>
      <c r="R125" s="783">
        <v>14.095428602857144</v>
      </c>
      <c r="S125" s="783">
        <v>140.97214290000002</v>
      </c>
      <c r="T125" s="783">
        <v>90.738142825714277</v>
      </c>
      <c r="U125" s="783">
        <v>20.563142504285715</v>
      </c>
      <c r="V125" s="783">
        <v>13.920417241428572</v>
      </c>
      <c r="W125" s="783">
        <v>1.7985714162857143</v>
      </c>
      <c r="X125" s="783">
        <v>112.05499922142857</v>
      </c>
      <c r="Y125" s="783">
        <v>25.886856898571434</v>
      </c>
    </row>
    <row r="126" spans="15:25">
      <c r="P126" s="593">
        <v>18</v>
      </c>
      <c r="Q126" s="783">
        <v>16.076714378571427</v>
      </c>
      <c r="R126" s="783">
        <v>12.509142604285715</v>
      </c>
      <c r="S126" s="783">
        <v>114.69700078571428</v>
      </c>
      <c r="T126" s="783">
        <v>67.130999974285714</v>
      </c>
      <c r="U126" s="783">
        <v>16.68214280285714</v>
      </c>
      <c r="V126" s="783">
        <v>10.773084301857143</v>
      </c>
      <c r="W126" s="783">
        <v>1.8058571475714285</v>
      </c>
      <c r="X126" s="783">
        <v>79.242856705714289</v>
      </c>
      <c r="Y126" s="783">
        <v>19.646428789999998</v>
      </c>
    </row>
    <row r="127" spans="15:25">
      <c r="P127" s="593">
        <v>19</v>
      </c>
      <c r="Q127" s="783">
        <v>15.213571411428573</v>
      </c>
      <c r="R127" s="783">
        <v>8.5715713499999993</v>
      </c>
      <c r="S127" s="783">
        <v>99.656284881428547</v>
      </c>
      <c r="T127" s="783">
        <v>64.428571428571431</v>
      </c>
      <c r="U127" s="783">
        <v>17.039285524285713</v>
      </c>
      <c r="V127" s="783">
        <v>11.989167077142856</v>
      </c>
      <c r="W127" s="783">
        <v>1.8551428488571429</v>
      </c>
      <c r="X127" s="783">
        <v>73.040000915714288</v>
      </c>
      <c r="Y127" s="783">
        <v>16.286999974285717</v>
      </c>
    </row>
    <row r="128" spans="15:25">
      <c r="P128" s="593">
        <v>20</v>
      </c>
      <c r="Q128" s="783">
        <v>14.241714205714286</v>
      </c>
      <c r="R128" s="783">
        <v>7.0702857972857149</v>
      </c>
      <c r="S128" s="783">
        <v>88.480572290000026</v>
      </c>
      <c r="T128" s="783">
        <v>61.482142857142854</v>
      </c>
      <c r="U128" s="783">
        <v>13.813714164285713</v>
      </c>
      <c r="V128" s="783">
        <v>12.071368352857144</v>
      </c>
      <c r="W128" s="783">
        <v>1.7121428761428572</v>
      </c>
      <c r="X128" s="783">
        <v>68.874286108571425</v>
      </c>
      <c r="Y128" s="783">
        <v>14.018428667142857</v>
      </c>
    </row>
    <row r="129" spans="15:26">
      <c r="P129" s="593">
        <v>21</v>
      </c>
      <c r="Q129" s="783">
        <v>14.091571398571428</v>
      </c>
      <c r="R129" s="783">
        <v>7.0830000470000005</v>
      </c>
      <c r="S129" s="783">
        <v>98.34657178714285</v>
      </c>
      <c r="T129" s="783">
        <v>63.72614288285714</v>
      </c>
      <c r="U129" s="783">
        <v>14.927285738571429</v>
      </c>
      <c r="V129" s="783">
        <v>12.066725457142857</v>
      </c>
      <c r="W129" s="783">
        <v>1.9470000094285715</v>
      </c>
      <c r="X129" s="783">
        <v>68.332856858571418</v>
      </c>
      <c r="Y129" s="783">
        <v>14.466285705714286</v>
      </c>
    </row>
    <row r="130" spans="15:26">
      <c r="P130" s="593">
        <v>22</v>
      </c>
      <c r="Q130" s="783">
        <v>12.206428662857144</v>
      </c>
      <c r="R130" s="783">
        <v>6.5260000228571426</v>
      </c>
      <c r="S130" s="783">
        <v>88.19400133428573</v>
      </c>
      <c r="T130" s="783">
        <v>49.041857040000004</v>
      </c>
      <c r="U130" s="783">
        <v>12.11642851</v>
      </c>
      <c r="V130" s="783">
        <v>12.046847342857143</v>
      </c>
      <c r="W130" s="783">
        <v>1.9281428372857143</v>
      </c>
      <c r="X130" s="783">
        <v>60.234999522857144</v>
      </c>
      <c r="Y130" s="783">
        <v>11.637142864285716</v>
      </c>
    </row>
    <row r="131" spans="15:26">
      <c r="P131" s="593">
        <v>23</v>
      </c>
      <c r="Q131" s="783">
        <v>10.714285714285714</v>
      </c>
      <c r="R131" s="783">
        <v>6.0984286581428568</v>
      </c>
      <c r="S131" s="783">
        <v>67.392570495714281</v>
      </c>
      <c r="T131" s="783">
        <v>49.232000077142857</v>
      </c>
      <c r="U131" s="783">
        <v>10.973142897142859</v>
      </c>
      <c r="V131" s="783">
        <v>12.030653000000001</v>
      </c>
      <c r="W131" s="783">
        <v>1.8262857195714286</v>
      </c>
      <c r="X131" s="783">
        <v>55.279285977142862</v>
      </c>
      <c r="Y131" s="783">
        <v>10.373285701857142</v>
      </c>
    </row>
    <row r="132" spans="15:26">
      <c r="P132" s="528">
        <v>24</v>
      </c>
      <c r="Q132" s="783">
        <v>10.648285731428571</v>
      </c>
      <c r="R132" s="783">
        <v>5.3554284574285722</v>
      </c>
      <c r="S132" s="783">
        <v>74.302856445714283</v>
      </c>
      <c r="T132" s="783">
        <v>54.952285765714286</v>
      </c>
      <c r="U132" s="783">
        <v>10.649856976285715</v>
      </c>
      <c r="V132" s="783">
        <v>11.902322768571427</v>
      </c>
      <c r="W132" s="783">
        <v>1.3272857154285713</v>
      </c>
      <c r="X132" s="783">
        <v>49.072856904285722</v>
      </c>
      <c r="Y132" s="783">
        <v>9.3365716934285707</v>
      </c>
    </row>
    <row r="133" spans="15:26">
      <c r="P133" s="528">
        <v>25</v>
      </c>
      <c r="Q133" s="783">
        <v>10.931000164428569</v>
      </c>
      <c r="R133" s="783">
        <v>6.0032857149999996</v>
      </c>
      <c r="S133" s="783">
        <v>70.370715551428574</v>
      </c>
      <c r="T133" s="783">
        <v>39.565571377142859</v>
      </c>
      <c r="U133" s="783">
        <v>8.8067141942857141</v>
      </c>
      <c r="V133" s="783">
        <v>11.966488567142857</v>
      </c>
      <c r="W133" s="783">
        <v>1.2890000087142857</v>
      </c>
      <c r="X133" s="783">
        <v>43.960000174285717</v>
      </c>
      <c r="Y133" s="783">
        <v>8.5024284634285721</v>
      </c>
    </row>
    <row r="134" spans="15:26">
      <c r="O134" s="275">
        <v>26</v>
      </c>
      <c r="P134" s="528">
        <v>26</v>
      </c>
      <c r="Q134" s="783">
        <v>9.871286118714286</v>
      </c>
      <c r="R134" s="783">
        <v>4.9715714455714286</v>
      </c>
      <c r="S134" s="783">
        <v>60.400571005714291</v>
      </c>
      <c r="T134" s="783">
        <v>43.083285740000001</v>
      </c>
      <c r="U134" s="783">
        <v>8.6310001098571423</v>
      </c>
      <c r="V134" s="783">
        <v>11.885477065714285</v>
      </c>
      <c r="W134" s="783">
        <v>1.732857125</v>
      </c>
      <c r="X134" s="783">
        <v>41.416428701428572</v>
      </c>
      <c r="Y134" s="783">
        <v>7.8322857448571428</v>
      </c>
    </row>
    <row r="135" spans="15:26">
      <c r="P135" s="528">
        <v>27</v>
      </c>
      <c r="Q135" s="783">
        <v>9.2658571514285715</v>
      </c>
      <c r="R135" s="783">
        <v>4.8162857462857147</v>
      </c>
      <c r="S135" s="783">
        <v>66.665999275714285</v>
      </c>
      <c r="T135" s="783">
        <v>33.029857091428575</v>
      </c>
      <c r="U135" s="783">
        <v>7.6702857698571432</v>
      </c>
      <c r="V135" s="783">
        <v>11.995894294285714</v>
      </c>
      <c r="W135" s="783">
        <v>1.8799999952857143</v>
      </c>
      <c r="X135" s="783">
        <v>38.669285909999992</v>
      </c>
      <c r="Y135" s="783">
        <v>7.0652857510000002</v>
      </c>
    </row>
    <row r="136" spans="15:26">
      <c r="P136" s="528">
        <v>28</v>
      </c>
      <c r="Q136" s="783">
        <v>8.3581429888571428</v>
      </c>
      <c r="R136" s="783">
        <v>4.1457142830000002</v>
      </c>
      <c r="S136" s="783">
        <v>66.009428840000012</v>
      </c>
      <c r="T136" s="783">
        <v>29.922571454285713</v>
      </c>
      <c r="U136" s="783">
        <v>6.9708570752857142</v>
      </c>
      <c r="V136" s="783">
        <v>11.927797181428572</v>
      </c>
      <c r="W136" s="783">
        <v>1.8718571149999998</v>
      </c>
      <c r="X136" s="783">
        <v>36.412143161428574</v>
      </c>
      <c r="Y136" s="783">
        <v>6.2407143457142853</v>
      </c>
    </row>
    <row r="137" spans="15:26">
      <c r="P137" s="528">
        <v>29</v>
      </c>
      <c r="Q137" s="783">
        <v>8.2642856324285709</v>
      </c>
      <c r="R137" s="783">
        <v>4.2404285498571426</v>
      </c>
      <c r="S137" s="783">
        <v>61.976286207142856</v>
      </c>
      <c r="T137" s="783">
        <v>30.851285662857144</v>
      </c>
      <c r="U137" s="783">
        <v>7.1941427504285702</v>
      </c>
      <c r="V137" s="783">
        <v>12.045535904285714</v>
      </c>
      <c r="W137" s="783">
        <v>1.7868571450000001</v>
      </c>
      <c r="X137" s="783">
        <v>36.787142614285713</v>
      </c>
      <c r="Y137" s="783">
        <v>6.221285752</v>
      </c>
    </row>
    <row r="138" spans="15:26">
      <c r="P138" s="528">
        <v>30</v>
      </c>
      <c r="Q138" s="783">
        <v>7.629714148142857</v>
      </c>
      <c r="R138" s="783">
        <v>3.9339999471428575</v>
      </c>
      <c r="S138" s="783">
        <v>56.385429927142859</v>
      </c>
      <c r="T138" s="783">
        <v>26.327428545714287</v>
      </c>
      <c r="U138" s="783">
        <v>6.6857143130000001</v>
      </c>
      <c r="V138" s="783">
        <v>11.927261488571427</v>
      </c>
      <c r="W138" s="783">
        <v>1.8862856968571431</v>
      </c>
      <c r="X138" s="783">
        <v>39.564285824285712</v>
      </c>
      <c r="Y138" s="783">
        <v>5.7022857667142848</v>
      </c>
    </row>
    <row r="139" spans="15:26">
      <c r="P139" s="528">
        <v>31</v>
      </c>
      <c r="Q139" s="783">
        <v>7.8445713860000001</v>
      </c>
      <c r="R139" s="783">
        <v>4.2642856665714284</v>
      </c>
      <c r="S139" s="783">
        <v>63.196000779999999</v>
      </c>
      <c r="T139" s="783">
        <v>30.940428597142859</v>
      </c>
      <c r="U139" s="783">
        <v>7.3144286019999996</v>
      </c>
      <c r="V139" s="783">
        <v>13.712319918571428</v>
      </c>
      <c r="W139" s="783">
        <v>1.8420000075714285</v>
      </c>
      <c r="X139" s="783">
        <v>41.400714874285711</v>
      </c>
      <c r="Y139" s="783">
        <v>7.1649999617142859</v>
      </c>
    </row>
    <row r="140" spans="15:26">
      <c r="P140" s="528">
        <v>32</v>
      </c>
      <c r="Q140" s="783">
        <v>7.8535714147142865</v>
      </c>
      <c r="R140" s="783">
        <v>4.0602857387142857</v>
      </c>
      <c r="S140" s="783">
        <v>61.839428492857145</v>
      </c>
      <c r="T140" s="783">
        <v>23.267714362857141</v>
      </c>
      <c r="U140" s="783">
        <v>6.1658571107142865</v>
      </c>
      <c r="V140" s="783">
        <v>13.989404405714286</v>
      </c>
      <c r="W140" s="783">
        <v>1.8741428512857143</v>
      </c>
      <c r="X140" s="783">
        <v>39.942857471428567</v>
      </c>
      <c r="Y140" s="783">
        <v>7.2785714695714301</v>
      </c>
    </row>
    <row r="141" spans="15:26">
      <c r="O141" s="275">
        <v>33</v>
      </c>
      <c r="P141" s="528">
        <v>33</v>
      </c>
      <c r="Q141" s="783">
        <v>7.8434285441428573</v>
      </c>
      <c r="R141" s="783">
        <v>3.7991428715714286</v>
      </c>
      <c r="S141" s="783">
        <v>59.987286159999996</v>
      </c>
      <c r="T141" s="783">
        <v>22.755999974285714</v>
      </c>
      <c r="U141" s="783">
        <v>5.9981428554285712</v>
      </c>
      <c r="V141" s="783">
        <v>13.973928587142856</v>
      </c>
      <c r="W141" s="783">
        <v>1.871857132285714</v>
      </c>
      <c r="X141" s="783">
        <v>37.965715135714291</v>
      </c>
      <c r="Y141" s="783">
        <v>5.154142958714286</v>
      </c>
    </row>
    <row r="142" spans="15:26">
      <c r="P142" s="528">
        <v>34</v>
      </c>
      <c r="Q142" s="783">
        <v>8.0232857294285722</v>
      </c>
      <c r="R142" s="783">
        <v>3.6017142020000001</v>
      </c>
      <c r="S142" s="783">
        <v>63.141999381428562</v>
      </c>
      <c r="T142" s="783">
        <v>21.678714208571428</v>
      </c>
      <c r="U142" s="783">
        <v>5.9428571975714277</v>
      </c>
      <c r="V142" s="783">
        <v>14.050774301428572</v>
      </c>
      <c r="W142" s="783">
        <v>1.8375714168571429</v>
      </c>
      <c r="X142" s="783">
        <v>37.97857121285714</v>
      </c>
      <c r="Y142" s="783">
        <v>6.0459999357142857</v>
      </c>
    </row>
    <row r="143" spans="15:26">
      <c r="P143" s="528">
        <v>35</v>
      </c>
      <c r="Q143" s="783">
        <v>9.1238570895714286</v>
      </c>
      <c r="R143" s="783">
        <v>6.7515713490000007</v>
      </c>
      <c r="S143" s="783">
        <v>62.449570247142852</v>
      </c>
      <c r="T143" s="783">
        <v>29.398714337142856</v>
      </c>
      <c r="U143" s="783">
        <v>5.5928570885714288</v>
      </c>
      <c r="V143" s="783">
        <v>13.988035748571429</v>
      </c>
      <c r="W143" s="783">
        <v>1.654571413857143</v>
      </c>
      <c r="X143" s="783">
        <v>37.199285234285711</v>
      </c>
      <c r="Y143" s="783">
        <v>5.7705714702857147</v>
      </c>
      <c r="Z143" s="777"/>
    </row>
    <row r="144" spans="15:26">
      <c r="P144" s="528">
        <v>36</v>
      </c>
      <c r="Q144" s="783">
        <v>8.2869999062857129</v>
      </c>
      <c r="R144" s="783">
        <v>5.5024285997142854</v>
      </c>
      <c r="S144" s="783">
        <v>62.160142081428567</v>
      </c>
      <c r="T144" s="783">
        <v>24.535714285714285</v>
      </c>
      <c r="U144" s="783">
        <v>5.7147143908571421</v>
      </c>
      <c r="V144" s="783">
        <v>13.989464348571429</v>
      </c>
      <c r="W144" s="783">
        <v>1.7275714362857142</v>
      </c>
      <c r="X144" s="783">
        <v>36.553570882857137</v>
      </c>
      <c r="Y144" s="783">
        <v>7.9151426724285718</v>
      </c>
    </row>
    <row r="145" spans="15:25">
      <c r="P145" s="528">
        <v>37</v>
      </c>
      <c r="Q145" s="783">
        <v>7.2742856564285701</v>
      </c>
      <c r="R145" s="783">
        <v>5.7037142345714287</v>
      </c>
      <c r="S145" s="783">
        <v>63.491571698571427</v>
      </c>
      <c r="T145" s="783">
        <v>33.851285662857144</v>
      </c>
      <c r="U145" s="783">
        <v>6.5815715108571435</v>
      </c>
      <c r="V145" s="783">
        <v>13.932678497142856</v>
      </c>
      <c r="W145" s="783">
        <v>1.6434285640000001</v>
      </c>
      <c r="X145" s="783">
        <v>36.635714938571432</v>
      </c>
      <c r="Y145" s="783">
        <v>5.2711429254285713</v>
      </c>
    </row>
    <row r="146" spans="15:25">
      <c r="P146" s="528">
        <v>38</v>
      </c>
      <c r="Q146" s="783">
        <v>5.7302856442857149</v>
      </c>
      <c r="R146" s="783">
        <v>4.6181428091428574</v>
      </c>
      <c r="S146" s="783">
        <v>66.366000039999989</v>
      </c>
      <c r="T146" s="783">
        <v>30.833285740000001</v>
      </c>
      <c r="U146" s="783">
        <v>6.3408571651428574</v>
      </c>
      <c r="V146" s="783">
        <v>14.030597005714284</v>
      </c>
      <c r="W146" s="783">
        <v>1.7824285711428571</v>
      </c>
      <c r="X146" s="783">
        <v>36.422143117142859</v>
      </c>
      <c r="Y146" s="783">
        <v>4.8772857188571432</v>
      </c>
    </row>
    <row r="147" spans="15:25">
      <c r="P147" s="528">
        <v>39</v>
      </c>
      <c r="Q147" s="783">
        <v>5.3494285172857152</v>
      </c>
      <c r="R147" s="783">
        <v>4.7248570578571423</v>
      </c>
      <c r="S147" s="783">
        <v>75.45028468428572</v>
      </c>
      <c r="T147" s="783">
        <v>25.431428635714287</v>
      </c>
      <c r="U147" s="783">
        <v>6.8902856279999991</v>
      </c>
      <c r="V147" s="783">
        <v>14.026608604285714</v>
      </c>
      <c r="W147" s="783">
        <v>1.7897142852857144</v>
      </c>
      <c r="X147" s="783">
        <v>36.457856858571432</v>
      </c>
      <c r="Y147" s="783">
        <v>6.1969999587142857</v>
      </c>
    </row>
    <row r="148" spans="15:25">
      <c r="P148" s="528">
        <v>40</v>
      </c>
      <c r="Q148" s="783">
        <v>5.4815714698571432</v>
      </c>
      <c r="R148" s="783">
        <v>5.3951427595714279</v>
      </c>
      <c r="S148" s="783">
        <v>78.309284754285713</v>
      </c>
      <c r="T148" s="783">
        <v>54.744000025714286</v>
      </c>
      <c r="U148" s="783">
        <v>7.7940000801428573</v>
      </c>
      <c r="V148" s="783">
        <v>14.026192801428573</v>
      </c>
      <c r="W148" s="783">
        <v>1.7887142725714287</v>
      </c>
      <c r="X148" s="783">
        <v>44.888571058571429</v>
      </c>
      <c r="Y148" s="783">
        <v>10.280285493285716</v>
      </c>
    </row>
    <row r="149" spans="15:25">
      <c r="P149" s="528">
        <v>41</v>
      </c>
      <c r="Q149" s="783">
        <v>6.414142881000001</v>
      </c>
      <c r="R149" s="783">
        <v>5.6744286329999998</v>
      </c>
      <c r="S149" s="783">
        <v>79.701571872857144</v>
      </c>
      <c r="T149" s="783">
        <v>50.934571402857145</v>
      </c>
      <c r="U149" s="783">
        <v>8.9731427602857146</v>
      </c>
      <c r="V149" s="783">
        <v>14.020297051428571</v>
      </c>
      <c r="W149" s="783">
        <v>1.4745714322857144</v>
      </c>
      <c r="X149" s="783">
        <v>49.243571144285717</v>
      </c>
      <c r="Y149" s="783">
        <v>7.658571379714286</v>
      </c>
    </row>
    <row r="150" spans="15:25">
      <c r="P150" s="528">
        <v>42</v>
      </c>
      <c r="Q150" s="783">
        <v>7.0597143174285719</v>
      </c>
      <c r="R150" s="783">
        <v>5.6411428450000001</v>
      </c>
      <c r="S150" s="783">
        <v>71.140427727142864</v>
      </c>
      <c r="T150" s="783">
        <v>43.184428622857141</v>
      </c>
      <c r="U150" s="783">
        <v>9.1315714969999995</v>
      </c>
      <c r="V150" s="783">
        <v>13.992498534285714</v>
      </c>
      <c r="W150" s="783">
        <v>1.325428571</v>
      </c>
      <c r="X150" s="783">
        <v>38.599999562857143</v>
      </c>
      <c r="Y150" s="783">
        <v>5.9647143228571426</v>
      </c>
    </row>
    <row r="151" spans="15:25">
      <c r="P151" s="528">
        <v>43</v>
      </c>
      <c r="Q151" s="783">
        <v>6.5518571988571432</v>
      </c>
      <c r="R151" s="783">
        <v>5.278142861428571</v>
      </c>
      <c r="S151" s="783">
        <v>66.382999420000004</v>
      </c>
      <c r="T151" s="783">
        <v>36.916714259999999</v>
      </c>
      <c r="U151" s="783">
        <v>8.3171428948571435</v>
      </c>
      <c r="V151" s="783">
        <v>14.015835900000001</v>
      </c>
      <c r="W151" s="783">
        <v>1.3259999922857142</v>
      </c>
      <c r="X151" s="783">
        <v>35.493572237142857</v>
      </c>
      <c r="Y151" s="783">
        <v>6.7207142624285723</v>
      </c>
    </row>
    <row r="152" spans="15:25">
      <c r="O152" s="275">
        <v>44</v>
      </c>
      <c r="P152" s="528">
        <v>44</v>
      </c>
      <c r="Q152" s="783">
        <v>6.2178571565714282</v>
      </c>
      <c r="R152" s="783">
        <v>3.7729999678571429</v>
      </c>
      <c r="S152" s="783">
        <v>67.872285570000003</v>
      </c>
      <c r="T152" s="783">
        <v>41.726285662857144</v>
      </c>
      <c r="U152" s="783">
        <v>8.7617143898571435</v>
      </c>
      <c r="V152" s="783">
        <v>13.927204130000002</v>
      </c>
      <c r="W152" s="783">
        <v>1.0918571607142857</v>
      </c>
      <c r="X152" s="783">
        <v>46.067856924285714</v>
      </c>
      <c r="Y152" s="783">
        <v>5.8240000180000004</v>
      </c>
    </row>
    <row r="153" spans="15:25">
      <c r="P153" s="528">
        <v>45</v>
      </c>
      <c r="Q153" s="783">
        <v>5.7207142285714285</v>
      </c>
      <c r="R153" s="783">
        <v>4.0865714210000004</v>
      </c>
      <c r="S153" s="783">
        <v>64.557143075714279</v>
      </c>
      <c r="T153" s="783">
        <v>47.85114288285714</v>
      </c>
      <c r="U153" s="783">
        <v>8.1029998912857142</v>
      </c>
      <c r="V153" s="783">
        <v>13.944405964285716</v>
      </c>
      <c r="W153" s="783">
        <v>1.1197142941428571</v>
      </c>
      <c r="X153" s="783">
        <v>41.25857108142857</v>
      </c>
      <c r="Y153" s="783">
        <v>7.255428586571429</v>
      </c>
    </row>
    <row r="154" spans="15:25">
      <c r="P154" s="528">
        <v>46</v>
      </c>
      <c r="Q154" s="783">
        <v>5.8224285672857139</v>
      </c>
      <c r="R154" s="783">
        <v>4.1967142989999999</v>
      </c>
      <c r="S154" s="783">
        <v>48.114428929999988</v>
      </c>
      <c r="T154" s="783">
        <v>58.976285662857144</v>
      </c>
      <c r="U154" s="783">
        <v>7.6644285747142851</v>
      </c>
      <c r="V154" s="783">
        <v>14.053689955714287</v>
      </c>
      <c r="W154" s="783">
        <v>1.2584285650000002</v>
      </c>
      <c r="X154" s="783">
        <v>59.822143555714284</v>
      </c>
      <c r="Y154" s="783">
        <v>7.569857052142857</v>
      </c>
    </row>
    <row r="155" spans="15:25">
      <c r="P155" s="528">
        <v>47</v>
      </c>
      <c r="Q155" s="783">
        <v>8.7129998894285716</v>
      </c>
      <c r="R155" s="783">
        <v>6.8662857328571425</v>
      </c>
      <c r="S155" s="783">
        <v>75.949856894285716</v>
      </c>
      <c r="T155" s="783">
        <v>107.95228576857143</v>
      </c>
      <c r="U155" s="783">
        <v>21.278142930000001</v>
      </c>
      <c r="V155" s="783">
        <v>14.02023874</v>
      </c>
      <c r="W155" s="783">
        <v>1.6037142788571426</v>
      </c>
      <c r="X155" s="783">
        <v>58.205000194285724</v>
      </c>
      <c r="Y155" s="783">
        <v>11.491143022142859</v>
      </c>
    </row>
    <row r="156" spans="15:25">
      <c r="P156" s="528">
        <v>48</v>
      </c>
      <c r="Q156" s="783">
        <v>9.7443332226190496</v>
      </c>
      <c r="R156" s="783">
        <v>7.8295714628095201</v>
      </c>
      <c r="S156" s="783">
        <v>115.94985689428501</v>
      </c>
      <c r="T156" s="783">
        <v>116.577285768571</v>
      </c>
      <c r="U156" s="783">
        <v>25.523666837380901</v>
      </c>
      <c r="V156" s="783">
        <v>14.0819443290476</v>
      </c>
      <c r="W156" s="783">
        <v>1.686999981</v>
      </c>
      <c r="X156" s="783">
        <v>108.646</v>
      </c>
      <c r="Y156" s="783">
        <v>11.491143022142859</v>
      </c>
    </row>
    <row r="157" spans="15:25">
      <c r="P157" s="528">
        <v>49</v>
      </c>
      <c r="Q157" s="783">
        <v>15.740428922857143</v>
      </c>
      <c r="R157" s="783">
        <v>16.272571155571431</v>
      </c>
      <c r="S157" s="783">
        <v>179.40442985714284</v>
      </c>
      <c r="T157" s="783">
        <v>143.97028568571429</v>
      </c>
      <c r="U157" s="783">
        <v>24.464857102857142</v>
      </c>
      <c r="V157" s="783">
        <v>14.414462907142859</v>
      </c>
      <c r="W157" s="783">
        <v>1.509857126857143</v>
      </c>
      <c r="X157" s="783">
        <v>183.08428410000002</v>
      </c>
      <c r="Y157" s="783">
        <v>11.52</v>
      </c>
    </row>
    <row r="158" spans="15:25">
      <c r="P158" s="528">
        <v>50</v>
      </c>
      <c r="Q158" s="783">
        <v>11.458857127</v>
      </c>
      <c r="R158" s="783">
        <v>8.6871428825714272</v>
      </c>
      <c r="S158" s="783">
        <v>180.05014475714285</v>
      </c>
      <c r="T158" s="783">
        <v>105.38685716857142</v>
      </c>
      <c r="U158" s="783">
        <v>15.326142855714284</v>
      </c>
      <c r="V158" s="783">
        <v>14.382619995714284</v>
      </c>
      <c r="W158" s="783">
        <v>1.5802857021428574</v>
      </c>
      <c r="X158" s="783">
        <v>192.18500408571427</v>
      </c>
      <c r="Y158" s="783">
        <v>63.42214257285714</v>
      </c>
    </row>
    <row r="159" spans="15:25">
      <c r="P159" s="528">
        <v>51</v>
      </c>
      <c r="Q159" s="783">
        <v>9.4554285322857137</v>
      </c>
      <c r="R159" s="783">
        <v>4.7284286361428576</v>
      </c>
      <c r="S159" s="783">
        <v>179.9772862142857</v>
      </c>
      <c r="T159" s="783">
        <v>14.57142870857143</v>
      </c>
      <c r="U159" s="783">
        <v>5</v>
      </c>
      <c r="V159" s="783">
        <v>13.809047154285716</v>
      </c>
      <c r="W159" s="783">
        <v>1.0052857144285714</v>
      </c>
      <c r="X159" s="783">
        <v>189.54214041428571</v>
      </c>
      <c r="Y159" s="783">
        <v>105.71028573142858</v>
      </c>
    </row>
    <row r="160" spans="15:25">
      <c r="O160" s="275">
        <v>52</v>
      </c>
      <c r="P160" s="528">
        <v>52</v>
      </c>
      <c r="Q160" s="783">
        <v>10.030285698</v>
      </c>
      <c r="R160" s="783">
        <v>6.3814284807142858</v>
      </c>
      <c r="S160" s="783">
        <v>180.17299980000001</v>
      </c>
      <c r="T160" s="783">
        <v>59.892857142857146</v>
      </c>
      <c r="U160" s="783">
        <v>9.771428653000001</v>
      </c>
      <c r="V160" s="783">
        <v>13.759048734285715</v>
      </c>
      <c r="W160" s="783">
        <v>1.2590000118571429</v>
      </c>
      <c r="X160" s="783">
        <v>169.73285565714286</v>
      </c>
      <c r="Y160" s="783">
        <v>86.07714135142858</v>
      </c>
    </row>
    <row r="161" spans="14:25">
      <c r="N161" s="275">
        <v>2022</v>
      </c>
      <c r="P161" s="593">
        <v>1</v>
      </c>
      <c r="Q161" s="783">
        <v>11.54385730142857</v>
      </c>
      <c r="R161" s="783">
        <v>6.3410000120000003</v>
      </c>
      <c r="S161" s="594">
        <v>180.25871278571432</v>
      </c>
      <c r="T161" s="594">
        <v>53.005857194285717</v>
      </c>
      <c r="U161" s="783">
        <v>8.6221429277142843</v>
      </c>
      <c r="V161" s="783">
        <v>12.151368549999999</v>
      </c>
      <c r="W161" s="783">
        <v>1.4929999965714287</v>
      </c>
      <c r="X161" s="783">
        <v>101.56500134142858</v>
      </c>
      <c r="Y161" s="783">
        <v>45.721570695714284</v>
      </c>
    </row>
    <row r="162" spans="14:25">
      <c r="P162" s="593">
        <v>2</v>
      </c>
      <c r="Q162" s="783">
        <v>10.532571247428569</v>
      </c>
      <c r="R162" s="783">
        <v>5.6152856691428568</v>
      </c>
      <c r="S162" s="594">
        <v>180.17585754285713</v>
      </c>
      <c r="T162" s="594">
        <v>85.154714317142862</v>
      </c>
      <c r="U162" s="783">
        <v>16.483285767857144</v>
      </c>
      <c r="V162" s="783">
        <v>15.379761560000002</v>
      </c>
      <c r="W162" s="783">
        <v>4.383714250142857</v>
      </c>
      <c r="X162" s="783">
        <v>191.4592830114286</v>
      </c>
      <c r="Y162" s="783">
        <v>44.29957117428571</v>
      </c>
    </row>
    <row r="163" spans="14:25">
      <c r="P163" s="593">
        <v>3</v>
      </c>
      <c r="Q163" s="783">
        <v>12.373285701428571</v>
      </c>
      <c r="R163" s="783">
        <v>6.7777144562857146</v>
      </c>
      <c r="S163" s="594">
        <v>180.45157077142858</v>
      </c>
      <c r="T163" s="594">
        <v>79.166570397142863</v>
      </c>
      <c r="U163" s="783">
        <v>14.234428677142859</v>
      </c>
      <c r="V163" s="783">
        <v>13.331011501428572</v>
      </c>
      <c r="W163" s="783">
        <v>3.4292857477142862</v>
      </c>
      <c r="X163" s="783">
        <v>222.21500070000002</v>
      </c>
      <c r="Y163" s="783">
        <v>55.850142344285707</v>
      </c>
    </row>
    <row r="164" spans="14:25">
      <c r="O164" s="784"/>
      <c r="P164" s="593">
        <v>4</v>
      </c>
      <c r="Q164" s="783">
        <v>13.78142860857143</v>
      </c>
      <c r="R164" s="783">
        <v>10.307714326428572</v>
      </c>
      <c r="S164" s="594">
        <v>200.41585867142899</v>
      </c>
      <c r="T164" s="594">
        <v>156.24399677142856</v>
      </c>
      <c r="U164" s="783">
        <v>35.655428067142857</v>
      </c>
      <c r="V164" s="783">
        <v>12.147084100000001</v>
      </c>
      <c r="W164" s="783">
        <v>5.8837143019999996</v>
      </c>
      <c r="X164" s="783">
        <v>439.25357492857148</v>
      </c>
      <c r="Y164" s="783">
        <v>129.95414407142854</v>
      </c>
    </row>
    <row r="165" spans="14:25">
      <c r="O165" s="784"/>
      <c r="P165" s="593">
        <v>5</v>
      </c>
      <c r="Q165" s="783">
        <v>16.13685744</v>
      </c>
      <c r="R165" s="783">
        <v>10.226857389000001</v>
      </c>
      <c r="S165" s="594">
        <v>288.91129194285719</v>
      </c>
      <c r="T165" s="594">
        <v>182</v>
      </c>
      <c r="U165" s="783">
        <v>43.192856380000002</v>
      </c>
      <c r="V165" s="783">
        <v>11.764999934285715</v>
      </c>
      <c r="W165" s="783">
        <v>5.8837143019999996</v>
      </c>
      <c r="X165" s="783">
        <v>404.03070942857141</v>
      </c>
      <c r="Y165" s="783">
        <v>128.39200045714284</v>
      </c>
    </row>
    <row r="166" spans="14:25">
      <c r="O166" s="784">
        <v>6</v>
      </c>
      <c r="P166" s="593">
        <v>6</v>
      </c>
      <c r="Q166" s="783">
        <v>18.235713957142856</v>
      </c>
      <c r="R166" s="783">
        <v>10.726285798285716</v>
      </c>
      <c r="S166" s="594">
        <v>435.79956928571431</v>
      </c>
      <c r="T166" s="594">
        <v>179.08343068571426</v>
      </c>
      <c r="U166" s="783">
        <v>33.553428921428569</v>
      </c>
      <c r="V166" s="783">
        <v>11.749167034285714</v>
      </c>
      <c r="W166" s="783">
        <v>5.6551427840000006</v>
      </c>
      <c r="X166" s="783">
        <v>420.1207101</v>
      </c>
      <c r="Y166" s="783">
        <v>133.21328737142855</v>
      </c>
    </row>
    <row r="167" spans="14:25">
      <c r="O167" s="784"/>
      <c r="P167" s="593">
        <v>7</v>
      </c>
      <c r="Q167" s="783">
        <v>20.117499826428599</v>
      </c>
      <c r="R167" s="783">
        <v>12.450857264642901</v>
      </c>
      <c r="S167" s="594">
        <v>435.79956928571403</v>
      </c>
      <c r="T167" s="594">
        <v>195.28190973333301</v>
      </c>
      <c r="U167" s="783">
        <v>35.365238643809498</v>
      </c>
      <c r="V167" s="783">
        <v>10.9661612507143</v>
      </c>
      <c r="W167" s="783">
        <v>2.0952857050000002</v>
      </c>
      <c r="X167" s="783">
        <v>427.15742450542803</v>
      </c>
      <c r="Y167" s="783">
        <v>133.77895393333301</v>
      </c>
    </row>
    <row r="168" spans="14:25">
      <c r="O168" s="784"/>
      <c r="P168" s="593">
        <v>8</v>
      </c>
      <c r="Q168" s="783">
        <v>25.340999875749826</v>
      </c>
      <c r="R168" s="783">
        <v>18.084142684936488</v>
      </c>
      <c r="S168" s="594">
        <v>441.50872366768942</v>
      </c>
      <c r="T168" s="594">
        <v>167.45813860212002</v>
      </c>
      <c r="U168" s="783">
        <v>52.961428506033734</v>
      </c>
      <c r="V168" s="783">
        <v>11.586785861424</v>
      </c>
      <c r="W168" s="783">
        <v>3.7204570871142901</v>
      </c>
      <c r="X168" s="783">
        <v>294.89857700892827</v>
      </c>
      <c r="Y168" s="783">
        <v>69.417142050606813</v>
      </c>
    </row>
    <row r="169" spans="14:25">
      <c r="O169" s="784"/>
      <c r="P169" s="593">
        <v>9</v>
      </c>
      <c r="Q169" s="783">
        <v>27.784285954285711</v>
      </c>
      <c r="R169" s="783">
        <v>17.056714467142857</v>
      </c>
      <c r="S169" s="594">
        <v>390.83399745714286</v>
      </c>
      <c r="T169" s="594">
        <v>152.44642748571428</v>
      </c>
      <c r="U169" s="783">
        <v>60.130286080000005</v>
      </c>
      <c r="V169" s="783">
        <v>15.540178571428571</v>
      </c>
      <c r="W169" s="783">
        <v>4.1637142385755217</v>
      </c>
      <c r="X169" s="783">
        <v>302.25500487142864</v>
      </c>
      <c r="Y169" s="783">
        <v>186.68128532857142</v>
      </c>
    </row>
    <row r="170" spans="14:25">
      <c r="O170" s="784"/>
      <c r="P170" s="593">
        <v>10</v>
      </c>
      <c r="Q170" s="783">
        <v>28.093753942631899</v>
      </c>
      <c r="R170" s="783">
        <v>19.095928647332201</v>
      </c>
      <c r="S170" s="594">
        <v>377.74852497494402</v>
      </c>
      <c r="T170" s="594">
        <v>177.15485925714287</v>
      </c>
      <c r="U170" s="783">
        <v>62.624940787617</v>
      </c>
      <c r="V170" s="783">
        <v>12.489226658966601</v>
      </c>
      <c r="W170" s="783">
        <v>4.8724285875714282</v>
      </c>
      <c r="X170" s="783">
        <v>288.89999999999998</v>
      </c>
      <c r="Y170" s="783">
        <v>146.131261154827</v>
      </c>
    </row>
    <row r="171" spans="14:25">
      <c r="O171" s="784"/>
      <c r="P171" s="593">
        <v>11</v>
      </c>
      <c r="Q171" s="783">
        <v>33.420857293265151</v>
      </c>
      <c r="R171" s="783">
        <v>21.210571697780029</v>
      </c>
      <c r="S171" s="594">
        <v>559.81058175223166</v>
      </c>
      <c r="T171" s="594">
        <v>223.70857456752233</v>
      </c>
      <c r="U171" s="783">
        <v>65.082142966134157</v>
      </c>
      <c r="V171" s="783">
        <v>15.861725670950701</v>
      </c>
      <c r="W171" s="783">
        <v>3.3848571777343723</v>
      </c>
      <c r="X171" s="783">
        <v>414.23214285714226</v>
      </c>
      <c r="Y171" s="783">
        <v>110.17142813546286</v>
      </c>
    </row>
    <row r="172" spans="14:25">
      <c r="O172" s="784"/>
      <c r="P172" s="593">
        <v>12</v>
      </c>
      <c r="Q172" s="783">
        <v>23.805857249668641</v>
      </c>
      <c r="R172" s="783">
        <v>19.053143092564113</v>
      </c>
      <c r="S172" s="594">
        <v>323.97713797432982</v>
      </c>
      <c r="T172" s="594">
        <v>151.51800210135301</v>
      </c>
      <c r="U172" s="783">
        <v>38.394142695835612</v>
      </c>
      <c r="V172" s="783">
        <v>15.601665633065315</v>
      </c>
      <c r="W172" s="783">
        <v>2.6404285430908159</v>
      </c>
      <c r="X172" s="783">
        <v>293.36786106654517</v>
      </c>
      <c r="Y172" s="783">
        <v>81.900570460728204</v>
      </c>
    </row>
    <row r="173" spans="14:25">
      <c r="O173" s="784">
        <v>13</v>
      </c>
      <c r="P173" s="593">
        <v>13</v>
      </c>
      <c r="Q173" s="783">
        <v>28.491428571428571</v>
      </c>
      <c r="R173" s="783">
        <v>22.648571428571426</v>
      </c>
      <c r="S173" s="594">
        <v>381.44857142857143</v>
      </c>
      <c r="T173" s="594">
        <v>178.99571428571431</v>
      </c>
      <c r="U173" s="783">
        <v>36.35</v>
      </c>
      <c r="V173" s="783">
        <v>14.272857142857143</v>
      </c>
      <c r="W173" s="783">
        <v>2.0657142857142858</v>
      </c>
      <c r="X173" s="783">
        <v>268.19142857142862</v>
      </c>
      <c r="Y173" s="783">
        <v>61.771428571428579</v>
      </c>
    </row>
    <row r="174" spans="14:25">
      <c r="O174" s="784"/>
      <c r="P174" s="593">
        <v>14</v>
      </c>
      <c r="Q174" s="783">
        <v>27.723999840872604</v>
      </c>
      <c r="R174" s="783">
        <v>25.617999758039169</v>
      </c>
      <c r="S174" s="594">
        <v>593.21614728655084</v>
      </c>
      <c r="T174" s="594">
        <v>183.63700212751101</v>
      </c>
      <c r="U174" s="783">
        <v>45.316000257219557</v>
      </c>
      <c r="V174" s="783">
        <v>12.459285599844744</v>
      </c>
      <c r="W174" s="783">
        <v>1.8045714242117685</v>
      </c>
      <c r="X174" s="783">
        <v>229.34857395717026</v>
      </c>
      <c r="Y174" s="783">
        <v>46.260999952043754</v>
      </c>
    </row>
    <row r="175" spans="14:25">
      <c r="O175" s="784"/>
      <c r="P175" s="593">
        <v>15</v>
      </c>
      <c r="Q175" s="783">
        <v>22.026428767142853</v>
      </c>
      <c r="R175" s="783">
        <v>20.249143055714288</v>
      </c>
      <c r="S175" s="594">
        <v>348.80585371428572</v>
      </c>
      <c r="T175" s="594">
        <v>124.73814282857143</v>
      </c>
      <c r="U175" s="783">
        <v>26.343714578571426</v>
      </c>
      <c r="V175" s="783">
        <v>12.322202818571428</v>
      </c>
      <c r="W175" s="783">
        <v>1.5654285974285713</v>
      </c>
      <c r="X175" s="783">
        <v>215.08928787142855</v>
      </c>
      <c r="Y175" s="783">
        <v>36.220571791428576</v>
      </c>
    </row>
    <row r="176" spans="14:25">
      <c r="O176" s="784"/>
      <c r="P176" s="593">
        <v>16</v>
      </c>
      <c r="Q176" s="783">
        <v>15.928285734994029</v>
      </c>
      <c r="R176" s="783">
        <v>13.163428579057927</v>
      </c>
      <c r="S176" s="594">
        <v>176.68314470563573</v>
      </c>
      <c r="T176" s="594">
        <v>78.339428492954767</v>
      </c>
      <c r="U176" s="783">
        <v>19.653713771275072</v>
      </c>
      <c r="V176" s="783">
        <v>12.955415725707971</v>
      </c>
      <c r="W176" s="783">
        <v>1.6847143173217742</v>
      </c>
      <c r="X176" s="783">
        <v>128.73071398053784</v>
      </c>
      <c r="Y176" s="783">
        <v>27.017142704554924</v>
      </c>
    </row>
    <row r="177" spans="15:25">
      <c r="O177" s="784"/>
      <c r="P177" s="593">
        <v>17</v>
      </c>
      <c r="Q177" s="783">
        <v>14.988285734993999</v>
      </c>
      <c r="R177" s="783">
        <v>14.963714392629401</v>
      </c>
      <c r="S177" s="594">
        <v>174.68314470563601</v>
      </c>
      <c r="T177" s="594">
        <v>73.639428492954806</v>
      </c>
      <c r="U177" s="783">
        <v>18.143000000000001</v>
      </c>
      <c r="V177" s="783">
        <v>13.5886286328445</v>
      </c>
      <c r="W177" s="783">
        <v>1.80400003721498</v>
      </c>
      <c r="X177" s="783">
        <v>118.43833195974599</v>
      </c>
      <c r="Y177" s="783">
        <v>26.255714235187</v>
      </c>
    </row>
    <row r="178" spans="15:25">
      <c r="O178" s="784">
        <v>18</v>
      </c>
      <c r="P178" s="593">
        <v>18</v>
      </c>
      <c r="Q178" s="783">
        <v>13.782857142857143</v>
      </c>
      <c r="R178" s="783">
        <v>9.805714285714286</v>
      </c>
      <c r="S178" s="594">
        <v>119.01714285714286</v>
      </c>
      <c r="T178" s="594">
        <v>55.180000000000007</v>
      </c>
      <c r="U178" s="783">
        <v>17.828571428571429</v>
      </c>
      <c r="V178" s="783">
        <v>12.145714285714286</v>
      </c>
      <c r="W178" s="783">
        <v>1.5071428571428569</v>
      </c>
      <c r="X178" s="783">
        <v>73.115714285714276</v>
      </c>
      <c r="Y178" s="783">
        <v>16.581428571428575</v>
      </c>
    </row>
    <row r="179" spans="15:25">
      <c r="O179" s="784"/>
      <c r="P179" s="593">
        <v>19</v>
      </c>
      <c r="Q179" s="783">
        <v>12.89642851693287</v>
      </c>
      <c r="R179" s="783">
        <v>8.2621427263532308</v>
      </c>
      <c r="S179" s="594">
        <v>110.76885659354043</v>
      </c>
      <c r="T179" s="594">
        <v>59.773714338030103</v>
      </c>
      <c r="U179" s="783">
        <v>15.455142838614288</v>
      </c>
      <c r="V179" s="783">
        <v>11.9720828192574</v>
      </c>
      <c r="W179" s="783">
        <v>1.5408571277345884</v>
      </c>
      <c r="X179" s="783">
        <v>69.296428135463117</v>
      </c>
      <c r="Y179" s="783">
        <v>69.459999084472599</v>
      </c>
    </row>
    <row r="180" spans="15:25">
      <c r="O180" s="784"/>
      <c r="P180" s="593">
        <v>20</v>
      </c>
      <c r="Q180" s="783">
        <v>12.223428453717887</v>
      </c>
      <c r="R180" s="783">
        <v>8.1970000267028773</v>
      </c>
      <c r="S180" s="594">
        <v>101.37014225551034</v>
      </c>
      <c r="T180" s="594">
        <v>76.803571428571416</v>
      </c>
      <c r="U180" s="783">
        <v>17.032571247645741</v>
      </c>
      <c r="V180" s="783">
        <v>12.044524329049228</v>
      </c>
      <c r="W180" s="783">
        <v>1.2638571347509076</v>
      </c>
      <c r="X180" s="783">
        <v>62.86000006539475</v>
      </c>
      <c r="Y180" s="783">
        <v>66.260002136230398</v>
      </c>
    </row>
    <row r="181" spans="15:25">
      <c r="O181" s="784"/>
      <c r="P181" s="593">
        <v>21</v>
      </c>
      <c r="Q181" s="783">
        <v>10.884428433009543</v>
      </c>
      <c r="R181" s="783">
        <v>7.9334286281040693</v>
      </c>
      <c r="S181" s="594">
        <v>97.459857395716909</v>
      </c>
      <c r="T181" s="594">
        <v>50.738285609653985</v>
      </c>
      <c r="U181" s="783">
        <v>13.328000204903701</v>
      </c>
      <c r="V181" s="783">
        <v>12.004824365888286</v>
      </c>
      <c r="W181" s="783">
        <v>1.5594285896846185</v>
      </c>
      <c r="X181" s="783">
        <v>54.305714198521159</v>
      </c>
      <c r="Y181" s="783">
        <v>65.75</v>
      </c>
    </row>
    <row r="182" spans="15:25">
      <c r="O182" s="784">
        <v>22</v>
      </c>
      <c r="P182" s="593">
        <v>22</v>
      </c>
      <c r="Q182" s="783">
        <v>10.348285540285715</v>
      </c>
      <c r="R182" s="783">
        <v>7.5271429334285713</v>
      </c>
      <c r="S182" s="594">
        <v>89.468571255714281</v>
      </c>
      <c r="T182" s="594">
        <v>47.993857245714288</v>
      </c>
      <c r="U182" s="783">
        <v>14.01614271</v>
      </c>
      <c r="V182" s="783">
        <v>12.003629958571429</v>
      </c>
      <c r="W182" s="783">
        <v>1.5562856965714285</v>
      </c>
      <c r="X182" s="783">
        <v>53.467142922857143</v>
      </c>
      <c r="Y182" s="783">
        <v>65.72000122</v>
      </c>
    </row>
    <row r="183" spans="15:25">
      <c r="O183" s="784"/>
      <c r="P183" s="593"/>
    </row>
    <row r="184" spans="15:25">
      <c r="O184" s="784"/>
      <c r="Q184" s="784" t="s">
        <v>264</v>
      </c>
      <c r="R184" s="784" t="s">
        <v>265</v>
      </c>
      <c r="S184" s="784" t="s">
        <v>266</v>
      </c>
      <c r="T184" s="784" t="s">
        <v>267</v>
      </c>
      <c r="U184" s="784" t="s">
        <v>268</v>
      </c>
      <c r="V184" s="784" t="s">
        <v>269</v>
      </c>
      <c r="W184" s="784" t="s">
        <v>270</v>
      </c>
      <c r="X184" s="784" t="s">
        <v>271</v>
      </c>
      <c r="Y184" s="784" t="s">
        <v>272</v>
      </c>
    </row>
    <row r="185" spans="15:25">
      <c r="O185" s="784"/>
    </row>
    <row r="186" spans="15:25">
      <c r="O186" s="784"/>
    </row>
    <row r="234" spans="16:25">
      <c r="P234" s="593"/>
      <c r="Q234" s="783"/>
      <c r="R234" s="783"/>
      <c r="S234" s="783"/>
      <c r="T234" s="783"/>
      <c r="U234" s="783"/>
      <c r="V234" s="783"/>
      <c r="W234" s="783"/>
      <c r="X234" s="783"/>
      <c r="Y234" s="783"/>
    </row>
    <row r="238" spans="16:25">
      <c r="P238" s="593"/>
      <c r="Q238" s="783"/>
      <c r="R238" s="783"/>
      <c r="S238" s="783"/>
      <c r="T238" s="783"/>
      <c r="U238" s="783"/>
      <c r="V238" s="783"/>
      <c r="W238" s="783"/>
      <c r="X238" s="783"/>
      <c r="Y238" s="783"/>
    </row>
    <row r="239" spans="16:25">
      <c r="P239" s="593"/>
      <c r="Q239" s="783"/>
      <c r="R239" s="783"/>
      <c r="S239" s="783"/>
      <c r="T239" s="783"/>
      <c r="U239" s="783"/>
      <c r="V239" s="783"/>
      <c r="W239" s="783"/>
      <c r="X239" s="783"/>
      <c r="Y239" s="783"/>
    </row>
    <row r="240" spans="16:25">
      <c r="P240" s="593"/>
      <c r="Q240" s="783"/>
      <c r="R240" s="783"/>
      <c r="S240" s="783"/>
      <c r="T240" s="783"/>
      <c r="U240" s="783"/>
      <c r="V240" s="783"/>
      <c r="W240" s="783"/>
      <c r="X240" s="783"/>
      <c r="Y240" s="783"/>
    </row>
    <row r="241" spans="16:25">
      <c r="P241" s="593"/>
      <c r="Q241" s="783"/>
      <c r="R241" s="783"/>
      <c r="S241" s="783"/>
      <c r="T241" s="783"/>
      <c r="U241" s="783"/>
      <c r="V241" s="783"/>
      <c r="W241" s="783"/>
      <c r="X241" s="783"/>
      <c r="Y241" s="783"/>
    </row>
    <row r="242" spans="16:25">
      <c r="P242" s="593"/>
      <c r="Q242" s="783"/>
      <c r="R242" s="783"/>
      <c r="S242" s="785"/>
      <c r="T242" s="783"/>
      <c r="U242" s="783"/>
      <c r="V242" s="783"/>
      <c r="W242" s="783"/>
      <c r="X242" s="783"/>
      <c r="Y242" s="783"/>
    </row>
    <row r="243" spans="16:25">
      <c r="P243" s="593"/>
      <c r="Q243" s="783"/>
      <c r="R243" s="783"/>
      <c r="S243" s="785"/>
      <c r="T243" s="783"/>
      <c r="U243" s="783"/>
      <c r="V243" s="783"/>
      <c r="W243" s="783"/>
      <c r="X243" s="783"/>
      <c r="Y243" s="783"/>
    </row>
    <row r="244" spans="16:25">
      <c r="P244" s="593"/>
      <c r="Q244" s="783"/>
      <c r="R244" s="783"/>
      <c r="S244" s="785"/>
      <c r="T244" s="783"/>
      <c r="U244" s="783"/>
      <c r="V244" s="783"/>
      <c r="W244" s="783"/>
      <c r="X244" s="783"/>
      <c r="Y244" s="783"/>
    </row>
    <row r="245" spans="16:25">
      <c r="P245" s="593"/>
      <c r="Q245" s="783"/>
      <c r="R245" s="783"/>
      <c r="S245" s="785"/>
      <c r="T245" s="783"/>
      <c r="U245" s="783"/>
      <c r="V245" s="783"/>
      <c r="W245" s="783"/>
      <c r="X245" s="783"/>
      <c r="Y245" s="783"/>
    </row>
    <row r="246" spans="16:25">
      <c r="P246" s="593"/>
      <c r="Q246" s="783"/>
      <c r="R246" s="783"/>
      <c r="S246" s="785"/>
      <c r="T246" s="783"/>
      <c r="U246" s="783"/>
      <c r="V246" s="783"/>
      <c r="W246" s="783"/>
      <c r="X246" s="783"/>
      <c r="Y246" s="783"/>
    </row>
    <row r="247" spans="16:25">
      <c r="P247" s="593"/>
      <c r="Q247" s="783"/>
      <c r="R247" s="783"/>
      <c r="S247" s="783"/>
      <c r="T247" s="783"/>
      <c r="U247" s="783"/>
      <c r="V247" s="783"/>
      <c r="W247" s="783"/>
      <c r="X247" s="783"/>
      <c r="Y247" s="783"/>
    </row>
    <row r="248" spans="16:25">
      <c r="P248" s="593"/>
      <c r="Q248" s="783"/>
      <c r="R248" s="783"/>
      <c r="S248" s="783"/>
      <c r="T248" s="783"/>
      <c r="U248" s="783"/>
      <c r="V248" s="783"/>
      <c r="W248" s="783"/>
      <c r="X248" s="783"/>
      <c r="Y248" s="783"/>
    </row>
    <row r="249" spans="16:25">
      <c r="P249" s="593"/>
      <c r="Q249" s="783"/>
      <c r="R249" s="783"/>
      <c r="S249" s="783"/>
      <c r="T249" s="783"/>
      <c r="U249" s="783"/>
      <c r="V249" s="783"/>
      <c r="W249" s="783"/>
      <c r="X249" s="783"/>
      <c r="Y249" s="783"/>
    </row>
    <row r="250" spans="16:25">
      <c r="P250" s="593"/>
      <c r="Q250" s="783"/>
      <c r="R250" s="783"/>
      <c r="S250" s="783"/>
      <c r="T250" s="783"/>
      <c r="U250" s="783"/>
      <c r="V250" s="783"/>
      <c r="W250" s="783"/>
      <c r="X250" s="783"/>
      <c r="Y250" s="783"/>
    </row>
    <row r="251" spans="16:25">
      <c r="P251" s="593"/>
      <c r="Q251" s="783"/>
      <c r="R251" s="783"/>
      <c r="S251" s="783"/>
      <c r="T251" s="783"/>
      <c r="U251" s="783"/>
      <c r="V251" s="783"/>
      <c r="W251" s="783"/>
      <c r="X251" s="783"/>
      <c r="Y251" s="783"/>
    </row>
    <row r="252" spans="16:25">
      <c r="P252" s="593"/>
      <c r="Q252" s="783"/>
      <c r="R252" s="783"/>
      <c r="S252" s="783"/>
      <c r="T252" s="783"/>
      <c r="U252" s="783"/>
      <c r="V252" s="783"/>
      <c r="W252" s="783"/>
      <c r="X252" s="783"/>
      <c r="Y252" s="783"/>
    </row>
    <row r="253" spans="16:25">
      <c r="P253" s="593"/>
      <c r="Q253" s="783"/>
      <c r="R253" s="783"/>
      <c r="S253" s="783"/>
      <c r="T253" s="783"/>
      <c r="U253" s="783"/>
      <c r="V253" s="783"/>
      <c r="W253" s="783"/>
      <c r="X253" s="783"/>
      <c r="Y253" s="783"/>
    </row>
    <row r="254" spans="16:25">
      <c r="P254" s="593"/>
      <c r="Q254" s="783"/>
      <c r="R254" s="783"/>
      <c r="S254" s="783"/>
      <c r="T254" s="783"/>
      <c r="U254" s="783"/>
      <c r="V254" s="783"/>
      <c r="W254" s="783"/>
      <c r="X254" s="783"/>
      <c r="Y254" s="783"/>
    </row>
    <row r="255" spans="16:25">
      <c r="P255" s="593"/>
      <c r="Q255" s="783"/>
      <c r="R255" s="783"/>
      <c r="S255" s="783"/>
      <c r="T255" s="783"/>
      <c r="U255" s="783"/>
      <c r="V255" s="783"/>
      <c r="W255" s="783"/>
      <c r="X255" s="783"/>
      <c r="Y255" s="783"/>
    </row>
    <row r="256" spans="16:25">
      <c r="P256" s="593"/>
      <c r="Q256" s="783"/>
      <c r="R256" s="783"/>
      <c r="S256" s="783"/>
      <c r="T256" s="783"/>
      <c r="U256" s="783"/>
      <c r="V256" s="783"/>
      <c r="W256" s="783"/>
      <c r="X256" s="783"/>
      <c r="Y256" s="783"/>
    </row>
    <row r="257" spans="16:25">
      <c r="P257" s="593"/>
      <c r="Q257" s="783"/>
      <c r="R257" s="783"/>
      <c r="S257" s="783"/>
      <c r="T257" s="783"/>
      <c r="U257" s="783"/>
      <c r="V257" s="783"/>
      <c r="W257" s="783"/>
      <c r="X257" s="783"/>
      <c r="Y257" s="783"/>
    </row>
    <row r="258" spans="16:25">
      <c r="P258" s="593"/>
      <c r="Q258" s="783"/>
      <c r="R258" s="783"/>
      <c r="S258" s="783"/>
      <c r="T258" s="783"/>
      <c r="U258" s="783"/>
      <c r="V258" s="783"/>
      <c r="W258" s="783"/>
      <c r="X258" s="783"/>
      <c r="Y258" s="783"/>
    </row>
    <row r="259" spans="16:25">
      <c r="P259" s="593"/>
      <c r="Q259" s="783"/>
      <c r="R259" s="783"/>
      <c r="S259" s="783"/>
      <c r="T259" s="783"/>
      <c r="U259" s="783"/>
      <c r="V259" s="783"/>
      <c r="W259" s="783"/>
      <c r="X259" s="783"/>
      <c r="Y259" s="783"/>
    </row>
    <row r="260" spans="16:25">
      <c r="P260" s="593"/>
      <c r="Q260" s="783"/>
      <c r="R260" s="783"/>
      <c r="S260" s="783"/>
      <c r="T260" s="783"/>
      <c r="U260" s="783"/>
      <c r="V260" s="783"/>
      <c r="W260" s="783"/>
      <c r="X260" s="783"/>
      <c r="Y260" s="783"/>
    </row>
    <row r="261" spans="16:25">
      <c r="P261" s="593"/>
      <c r="Q261" s="783"/>
      <c r="R261" s="783"/>
      <c r="S261" s="783"/>
      <c r="T261" s="783"/>
      <c r="U261" s="783"/>
      <c r="V261" s="783"/>
      <c r="W261" s="783"/>
      <c r="X261" s="783"/>
      <c r="Y261" s="783"/>
    </row>
    <row r="262" spans="16:25">
      <c r="P262" s="593"/>
      <c r="Q262" s="783"/>
      <c r="R262" s="783"/>
      <c r="S262" s="783"/>
      <c r="T262" s="783"/>
      <c r="U262" s="783"/>
      <c r="V262" s="783"/>
      <c r="W262" s="783"/>
      <c r="X262" s="783"/>
      <c r="Y262" s="783"/>
    </row>
    <row r="263" spans="16:25">
      <c r="P263" s="593"/>
      <c r="Q263" s="783"/>
      <c r="R263" s="783"/>
      <c r="S263" s="783"/>
      <c r="T263" s="783"/>
      <c r="U263" s="783"/>
      <c r="V263" s="783"/>
      <c r="W263" s="783"/>
      <c r="X263" s="783"/>
      <c r="Y263" s="783"/>
    </row>
    <row r="264" spans="16:25">
      <c r="P264" s="593"/>
      <c r="Q264" s="783"/>
      <c r="R264" s="783"/>
      <c r="S264" s="783"/>
      <c r="T264" s="783"/>
      <c r="U264" s="783"/>
      <c r="V264" s="783"/>
      <c r="W264" s="783"/>
      <c r="X264" s="783"/>
      <c r="Y264" s="783"/>
    </row>
    <row r="265" spans="16:25">
      <c r="P265" s="593"/>
      <c r="Q265" s="783"/>
      <c r="R265" s="783"/>
      <c r="S265" s="783"/>
      <c r="T265" s="783"/>
      <c r="U265" s="783"/>
      <c r="V265" s="783"/>
      <c r="W265" s="783"/>
      <c r="X265" s="783"/>
      <c r="Y265" s="783"/>
    </row>
    <row r="266" spans="16:25">
      <c r="P266" s="593"/>
      <c r="Q266" s="783"/>
      <c r="R266" s="783"/>
      <c r="S266" s="783"/>
      <c r="T266" s="783"/>
      <c r="U266" s="783"/>
      <c r="V266" s="783"/>
      <c r="W266" s="783"/>
      <c r="X266" s="783"/>
      <c r="Y266" s="783"/>
    </row>
    <row r="267" spans="16:25">
      <c r="P267" s="593"/>
      <c r="Q267" s="783"/>
      <c r="R267" s="783"/>
      <c r="S267" s="783"/>
      <c r="T267" s="783"/>
      <c r="U267" s="783"/>
      <c r="V267" s="783"/>
      <c r="W267" s="783"/>
      <c r="X267" s="783"/>
      <c r="Y267" s="783"/>
    </row>
    <row r="268" spans="16:25">
      <c r="P268" s="593"/>
    </row>
  </sheetData>
  <mergeCells count="3">
    <mergeCell ref="A65:L65"/>
    <mergeCell ref="A40:L40"/>
    <mergeCell ref="A18:L18"/>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59"/>
  <sheetViews>
    <sheetView showGridLines="0" view="pageBreakPreview" zoomScaleNormal="100" zoomScaleSheetLayoutView="100" zoomScalePageLayoutView="120" workbookViewId="0">
      <selection activeCell="R35" sqref="R35"/>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81"/>
    <col min="13" max="13" width="20.42578125" style="528" customWidth="1"/>
    <col min="14" max="15" width="9.28515625" style="275"/>
    <col min="16" max="19" width="9.28515625" style="681"/>
    <col min="20" max="21" width="9.28515625" style="556"/>
  </cols>
  <sheetData>
    <row r="1" spans="1:15" ht="11.25" customHeight="1"/>
    <row r="2" spans="1:15" ht="11.25" customHeight="1">
      <c r="A2" s="840" t="s">
        <v>444</v>
      </c>
      <c r="B2" s="840"/>
      <c r="C2" s="840"/>
      <c r="D2" s="840"/>
      <c r="E2" s="840"/>
      <c r="F2" s="840"/>
      <c r="G2" s="840"/>
      <c r="H2" s="840"/>
      <c r="I2" s="840"/>
      <c r="J2" s="840"/>
      <c r="K2" s="840"/>
    </row>
    <row r="3" spans="1:15" ht="11.25" customHeight="1">
      <c r="A3" s="18"/>
      <c r="B3" s="18"/>
      <c r="C3" s="18"/>
      <c r="D3" s="18"/>
      <c r="E3" s="18"/>
      <c r="F3" s="18"/>
      <c r="G3" s="18"/>
      <c r="H3" s="18"/>
      <c r="I3" s="18"/>
      <c r="J3" s="519"/>
      <c r="K3" s="519"/>
      <c r="L3" s="683"/>
    </row>
    <row r="4" spans="1:15" ht="11.25" customHeight="1">
      <c r="A4" s="826" t="s">
        <v>383</v>
      </c>
      <c r="B4" s="826"/>
      <c r="C4" s="826"/>
      <c r="D4" s="826"/>
      <c r="E4" s="826"/>
      <c r="F4" s="826"/>
      <c r="G4" s="826"/>
      <c r="H4" s="826"/>
      <c r="I4" s="181"/>
      <c r="J4" s="520"/>
      <c r="L4" s="683"/>
    </row>
    <row r="5" spans="1:15" ht="7.5" customHeight="1">
      <c r="A5" s="182"/>
      <c r="B5" s="182"/>
      <c r="C5" s="182"/>
      <c r="D5" s="182"/>
      <c r="E5" s="182"/>
      <c r="F5" s="182"/>
      <c r="G5" s="182"/>
      <c r="H5" s="182"/>
      <c r="I5" s="182"/>
      <c r="J5" s="521"/>
      <c r="L5" s="748"/>
    </row>
    <row r="6" spans="1:15" ht="11.25" customHeight="1">
      <c r="A6" s="182"/>
      <c r="B6" s="186" t="s">
        <v>384</v>
      </c>
      <c r="C6" s="182"/>
      <c r="D6" s="182"/>
      <c r="E6" s="182"/>
      <c r="F6" s="182"/>
      <c r="G6" s="182"/>
      <c r="H6" s="182"/>
      <c r="I6" s="182"/>
      <c r="J6" s="521"/>
      <c r="L6" s="749"/>
    </row>
    <row r="7" spans="1:15" ht="7.5" customHeight="1">
      <c r="A7" s="182"/>
      <c r="B7" s="183"/>
      <c r="C7" s="182"/>
      <c r="D7" s="182"/>
      <c r="E7" s="182"/>
      <c r="F7" s="182"/>
      <c r="G7" s="182"/>
      <c r="H7" s="182"/>
      <c r="I7" s="182"/>
      <c r="J7" s="521"/>
      <c r="L7" s="750"/>
    </row>
    <row r="8" spans="1:15" ht="21" customHeight="1">
      <c r="A8" s="182"/>
      <c r="B8" s="378" t="s">
        <v>164</v>
      </c>
      <c r="C8" s="379" t="s">
        <v>165</v>
      </c>
      <c r="D8" s="379" t="s">
        <v>166</v>
      </c>
      <c r="E8" s="379" t="s">
        <v>168</v>
      </c>
      <c r="F8" s="379" t="s">
        <v>167</v>
      </c>
      <c r="G8" s="380" t="s">
        <v>169</v>
      </c>
      <c r="H8" s="178"/>
      <c r="I8" s="178"/>
      <c r="J8" s="522"/>
      <c r="L8" s="751"/>
      <c r="M8" s="529" t="s">
        <v>165</v>
      </c>
      <c r="N8" s="557" t="str">
        <f>M8&amp;"
 ("&amp;ROUND(HLOOKUP(M8,$C$8:$G$9,2,0),2)&amp;" USD/MWh)"</f>
        <v>PIURA OESTE 220
 (30,55 USD/MWh)</v>
      </c>
    </row>
    <row r="9" spans="1:15" ht="18" customHeight="1">
      <c r="A9" s="182"/>
      <c r="B9" s="381" t="s">
        <v>170</v>
      </c>
      <c r="C9" s="264">
        <v>30.547584588949697</v>
      </c>
      <c r="D9" s="264">
        <v>30.193176926426617</v>
      </c>
      <c r="E9" s="264">
        <v>29.91583597563902</v>
      </c>
      <c r="F9" s="264">
        <v>29.756586237784692</v>
      </c>
      <c r="G9" s="264">
        <v>29.634617451073364</v>
      </c>
      <c r="H9" s="178"/>
      <c r="I9" s="178"/>
      <c r="J9" s="522"/>
      <c r="K9" s="522"/>
      <c r="L9" s="751"/>
      <c r="M9" s="529" t="s">
        <v>166</v>
      </c>
      <c r="N9" s="557" t="str">
        <f>M9&amp;"
("&amp;ROUND(HLOOKUP(M9,$C$8:$G$9,2,0),2)&amp;" USD/MWh)"</f>
        <v>CHICLAYO 220
(30,19 USD/MWh)</v>
      </c>
    </row>
    <row r="10" spans="1:15" ht="14.25" customHeight="1">
      <c r="A10" s="182"/>
      <c r="B10" s="864" t="str">
        <f>"Cuadro N°11: Valor de los costos marginales medios registrados en las principales barras del área norte durante el mes de "&amp;'1. Resumen'!Q4</f>
        <v>Cuadro N°11: Valor de los costos marginales medios registrados en las principales barras del área norte durante el mes de mayo</v>
      </c>
      <c r="C10" s="864"/>
      <c r="D10" s="864"/>
      <c r="E10" s="864"/>
      <c r="F10" s="864"/>
      <c r="G10" s="864"/>
      <c r="H10" s="864"/>
      <c r="I10" s="864"/>
      <c r="J10" s="522"/>
      <c r="K10" s="522"/>
      <c r="L10" s="751"/>
      <c r="M10" s="529" t="s">
        <v>168</v>
      </c>
      <c r="N10" s="557" t="str">
        <f>M10&amp;"
("&amp;ROUND(HLOOKUP(M10,$C$8:$G$9,2,0),2)&amp;" USD/MWh)"</f>
        <v>TRUJILLO 220
(29,92 USD/MWh)</v>
      </c>
    </row>
    <row r="11" spans="1:15" ht="11.25" customHeight="1">
      <c r="A11" s="182"/>
      <c r="B11" s="189"/>
      <c r="C11" s="178"/>
      <c r="D11" s="178"/>
      <c r="E11" s="178"/>
      <c r="F11" s="178"/>
      <c r="G11" s="178"/>
      <c r="H11" s="178"/>
      <c r="I11" s="178"/>
      <c r="J11" s="522"/>
      <c r="K11" s="522"/>
      <c r="L11" s="751"/>
      <c r="M11" s="529" t="s">
        <v>167</v>
      </c>
      <c r="N11" s="557" t="str">
        <f>M11&amp;"
("&amp;ROUND(HLOOKUP(M11,$C$8:$G$9,2,0),2)&amp;" USD/MWh)"</f>
        <v>CHIMBOTE1 138
(29,76 USD/MWh)</v>
      </c>
    </row>
    <row r="12" spans="1:15" ht="11.25" customHeight="1">
      <c r="A12" s="182"/>
      <c r="B12" s="178"/>
      <c r="C12" s="178"/>
      <c r="D12" s="178"/>
      <c r="E12" s="178"/>
      <c r="F12" s="178"/>
      <c r="G12" s="178"/>
      <c r="H12" s="178"/>
      <c r="I12" s="178"/>
      <c r="J12" s="522"/>
      <c r="K12" s="522"/>
      <c r="L12" s="752"/>
      <c r="M12" s="529" t="s">
        <v>169</v>
      </c>
      <c r="N12" s="557" t="str">
        <f>M12&amp;"
("&amp;ROUND(HLOOKUP(M12,$C$8:$G$9,2,0),2)&amp;" USD/MWh)"</f>
        <v>CAJAMARCA 220
(29,63 USD/MWh)</v>
      </c>
    </row>
    <row r="13" spans="1:15" ht="11.25" customHeight="1">
      <c r="A13" s="182"/>
      <c r="B13" s="178"/>
      <c r="C13" s="178"/>
      <c r="D13" s="178"/>
      <c r="E13" s="178"/>
      <c r="F13" s="178"/>
      <c r="G13" s="178"/>
      <c r="H13" s="178"/>
      <c r="I13" s="178"/>
      <c r="J13" s="522"/>
      <c r="K13" s="522"/>
      <c r="L13" s="751"/>
      <c r="M13" s="529"/>
      <c r="N13" s="557"/>
      <c r="O13" s="529"/>
    </row>
    <row r="14" spans="1:15" ht="11.25" customHeight="1">
      <c r="A14" s="182"/>
      <c r="B14" s="178"/>
      <c r="C14" s="178"/>
      <c r="D14" s="178"/>
      <c r="E14" s="178"/>
      <c r="F14" s="178"/>
      <c r="G14" s="178"/>
      <c r="H14" s="178"/>
      <c r="I14" s="178"/>
      <c r="J14" s="522"/>
      <c r="K14" s="522"/>
      <c r="L14" s="751"/>
      <c r="M14" s="529" t="s">
        <v>438</v>
      </c>
      <c r="N14" s="557" t="str">
        <f>M14&amp;"
("&amp;ROUND(HLOOKUP(M14,$C$26:$I$27,2,0),2)&amp;" USD/MWh)"</f>
        <v>CHAVARRIA 220
(28,91 USD/MWh)</v>
      </c>
    </row>
    <row r="15" spans="1:15" ht="11.25" customHeight="1">
      <c r="A15" s="182"/>
      <c r="B15" s="178"/>
      <c r="C15" s="178"/>
      <c r="D15" s="178"/>
      <c r="E15" s="178"/>
      <c r="F15" s="178"/>
      <c r="G15" s="178"/>
      <c r="H15" s="178"/>
      <c r="I15" s="178"/>
      <c r="J15" s="522"/>
      <c r="K15" s="522"/>
      <c r="L15" s="751"/>
      <c r="M15" s="529" t="s">
        <v>173</v>
      </c>
      <c r="N15" s="557" t="str">
        <f t="shared" ref="N15:N20" si="0">M15&amp;"
("&amp;ROUND(HLOOKUP(M15,$C$26:$I$27,2,0),2)&amp;" USD/MWh)"</f>
        <v>INDEPENDENCIA 220
(29,05 USD/MWh)</v>
      </c>
    </row>
    <row r="16" spans="1:15" ht="11.25" customHeight="1">
      <c r="A16" s="182"/>
      <c r="B16" s="178"/>
      <c r="C16" s="178"/>
      <c r="D16" s="178"/>
      <c r="E16" s="178"/>
      <c r="F16" s="178"/>
      <c r="G16" s="178"/>
      <c r="H16" s="178"/>
      <c r="I16" s="178"/>
      <c r="J16" s="522"/>
      <c r="K16" s="522"/>
      <c r="L16" s="751"/>
      <c r="M16" s="529" t="s">
        <v>174</v>
      </c>
      <c r="N16" s="557" t="str">
        <f t="shared" si="0"/>
        <v>CARABAYLLO 220
(28,91 USD/MWh)</v>
      </c>
    </row>
    <row r="17" spans="1:14" ht="11.25" customHeight="1">
      <c r="A17" s="182"/>
      <c r="B17" s="178"/>
      <c r="C17" s="178"/>
      <c r="D17" s="178"/>
      <c r="E17" s="178"/>
      <c r="F17" s="178"/>
      <c r="G17" s="178"/>
      <c r="H17" s="178"/>
      <c r="I17" s="178"/>
      <c r="J17" s="522"/>
      <c r="K17" s="522"/>
      <c r="L17" s="751"/>
      <c r="M17" s="529" t="s">
        <v>171</v>
      </c>
      <c r="N17" s="557" t="str">
        <f t="shared" si="0"/>
        <v>SANTA ROSA 220
(28,88 USD/MWh)</v>
      </c>
    </row>
    <row r="18" spans="1:14" ht="11.25" customHeight="1">
      <c r="A18" s="182"/>
      <c r="B18" s="178"/>
      <c r="C18" s="178"/>
      <c r="D18" s="178"/>
      <c r="E18" s="178"/>
      <c r="F18" s="178"/>
      <c r="G18" s="178"/>
      <c r="H18" s="178"/>
      <c r="I18" s="178"/>
      <c r="J18" s="522"/>
      <c r="K18" s="522"/>
      <c r="L18" s="751"/>
      <c r="M18" s="529" t="s">
        <v>172</v>
      </c>
      <c r="N18" s="557" t="str">
        <f t="shared" si="0"/>
        <v>SAN JUAN 220
(28,73 USD/MWh)</v>
      </c>
    </row>
    <row r="19" spans="1:14" ht="11.25" customHeight="1">
      <c r="A19" s="182"/>
      <c r="B19" s="178"/>
      <c r="C19" s="178"/>
      <c r="D19" s="178"/>
      <c r="E19" s="178"/>
      <c r="F19" s="178"/>
      <c r="G19" s="178"/>
      <c r="H19" s="178"/>
      <c r="I19" s="178"/>
      <c r="J19" s="522"/>
      <c r="K19" s="522"/>
      <c r="L19" s="753"/>
      <c r="M19" s="529" t="s">
        <v>175</v>
      </c>
      <c r="N19" s="557" t="str">
        <f t="shared" si="0"/>
        <v>POMACOCHA 220
(28,21 USD/MWh)</v>
      </c>
    </row>
    <row r="20" spans="1:14" ht="11.25" customHeight="1">
      <c r="A20" s="182"/>
      <c r="B20" s="188"/>
      <c r="C20" s="188"/>
      <c r="D20" s="188"/>
      <c r="E20" s="188"/>
      <c r="F20" s="188"/>
      <c r="G20" s="178"/>
      <c r="H20" s="178"/>
      <c r="I20" s="178"/>
      <c r="J20" s="522"/>
      <c r="K20" s="522"/>
      <c r="L20" s="751"/>
      <c r="M20" s="529" t="s">
        <v>176</v>
      </c>
      <c r="N20" s="557" t="str">
        <f t="shared" si="0"/>
        <v>OROYA NUEVA 50
(27,96 USD/MWh)</v>
      </c>
    </row>
    <row r="21" spans="1:14" ht="11.25" customHeight="1">
      <c r="A21" s="182"/>
      <c r="B21" s="865" t="str">
        <f>"Gráfico N°20: Costos marginales medios registrados en las principales barras del área norte durante el mes de "&amp;'1. Resumen'!Q4</f>
        <v>Gráfico N°20: Costos marginales medios registrados en las principales barras del área norte durante el mes de mayo</v>
      </c>
      <c r="C21" s="865"/>
      <c r="D21" s="865"/>
      <c r="E21" s="865"/>
      <c r="F21" s="865"/>
      <c r="G21" s="865"/>
      <c r="H21" s="865"/>
      <c r="I21" s="865"/>
      <c r="J21" s="522"/>
      <c r="K21" s="522"/>
      <c r="L21" s="751"/>
      <c r="M21" s="529"/>
      <c r="N21" s="557"/>
    </row>
    <row r="22" spans="1:14" ht="7.5" customHeight="1">
      <c r="A22" s="182"/>
      <c r="B22" s="184"/>
      <c r="C22" s="184"/>
      <c r="D22" s="184"/>
      <c r="E22" s="184"/>
      <c r="F22" s="184"/>
      <c r="G22" s="182"/>
      <c r="H22" s="182"/>
      <c r="I22" s="182"/>
      <c r="J22" s="521"/>
      <c r="K22" s="521"/>
      <c r="L22" s="749"/>
      <c r="M22" s="529"/>
      <c r="N22" s="557"/>
    </row>
    <row r="23" spans="1:14" ht="11.25" customHeight="1">
      <c r="A23" s="182"/>
      <c r="B23" s="184"/>
      <c r="C23" s="184"/>
      <c r="D23" s="184"/>
      <c r="E23" s="184"/>
      <c r="F23" s="184"/>
      <c r="G23" s="182"/>
      <c r="H23" s="182"/>
      <c r="I23" s="182"/>
      <c r="J23" s="521"/>
      <c r="K23" s="521"/>
      <c r="L23" s="754"/>
      <c r="M23" s="529" t="s">
        <v>177</v>
      </c>
      <c r="N23" s="557" t="str">
        <f t="shared" ref="N23:N29" si="1">M23&amp;"
("&amp;ROUND(HLOOKUP(M23,$C$45:$I$46,2,0),2)&amp;" USD/MWh)"</f>
        <v>TINTAYA NUEVA 220
(31,75 USD/MWh)</v>
      </c>
    </row>
    <row r="24" spans="1:14" ht="11.25" customHeight="1">
      <c r="A24" s="182"/>
      <c r="B24" s="187" t="s">
        <v>385</v>
      </c>
      <c r="C24" s="184"/>
      <c r="D24" s="184"/>
      <c r="E24" s="184"/>
      <c r="F24" s="184"/>
      <c r="G24" s="182"/>
      <c r="H24" s="182"/>
      <c r="I24" s="182"/>
      <c r="J24" s="521"/>
      <c r="K24" s="521"/>
      <c r="L24" s="749"/>
      <c r="M24" s="529" t="s">
        <v>178</v>
      </c>
      <c r="N24" s="557" t="str">
        <f t="shared" si="1"/>
        <v>PUNO 138
(30,88 USD/MWh)</v>
      </c>
    </row>
    <row r="25" spans="1:14" ht="6.75" customHeight="1">
      <c r="A25" s="182"/>
      <c r="B25" s="184"/>
      <c r="C25" s="184"/>
      <c r="D25" s="184"/>
      <c r="E25" s="184"/>
      <c r="F25" s="184"/>
      <c r="G25" s="182"/>
      <c r="H25" s="182"/>
      <c r="I25" s="182"/>
      <c r="J25" s="521"/>
      <c r="K25" s="521"/>
      <c r="L25" s="749"/>
      <c r="M25" s="529" t="s">
        <v>179</v>
      </c>
      <c r="N25" s="557" t="str">
        <f t="shared" si="1"/>
        <v>SOCABAYA 220
(30,64 USD/MWh)</v>
      </c>
    </row>
    <row r="26" spans="1:14" ht="25.5" customHeight="1">
      <c r="A26" s="182"/>
      <c r="B26" s="382" t="s">
        <v>164</v>
      </c>
      <c r="C26" s="379" t="s">
        <v>438</v>
      </c>
      <c r="D26" s="379" t="s">
        <v>171</v>
      </c>
      <c r="E26" s="379" t="s">
        <v>174</v>
      </c>
      <c r="F26" s="379" t="s">
        <v>172</v>
      </c>
      <c r="G26" s="379" t="s">
        <v>173</v>
      </c>
      <c r="H26" s="379" t="s">
        <v>175</v>
      </c>
      <c r="I26" s="380" t="s">
        <v>176</v>
      </c>
      <c r="J26" s="524"/>
      <c r="K26" s="522"/>
      <c r="L26" s="751"/>
      <c r="M26" s="529" t="s">
        <v>180</v>
      </c>
      <c r="N26" s="557" t="str">
        <f t="shared" si="1"/>
        <v>MOQUEGUA 138
(30,64 USD/MWh)</v>
      </c>
    </row>
    <row r="27" spans="1:14" ht="18" customHeight="1">
      <c r="A27" s="182"/>
      <c r="B27" s="383" t="s">
        <v>170</v>
      </c>
      <c r="C27" s="264">
        <v>28.913051277226195</v>
      </c>
      <c r="D27" s="264">
        <v>28.883714123019317</v>
      </c>
      <c r="E27" s="264">
        <v>28.911870374197651</v>
      </c>
      <c r="F27" s="264">
        <v>28.732999866207788</v>
      </c>
      <c r="G27" s="264">
        <v>29.04803997087755</v>
      </c>
      <c r="H27" s="264">
        <v>28.210019179422169</v>
      </c>
      <c r="I27" s="264">
        <v>27.960521032027511</v>
      </c>
      <c r="J27" s="525"/>
      <c r="K27" s="522"/>
      <c r="L27" s="751"/>
      <c r="M27" s="529" t="s">
        <v>181</v>
      </c>
      <c r="N27" s="557" t="str">
        <f t="shared" si="1"/>
        <v>DOLORESPATA 138
(29,04 USD/MWh)</v>
      </c>
    </row>
    <row r="28" spans="1:14" ht="19.5" customHeight="1">
      <c r="A28" s="182"/>
      <c r="B28" s="866" t="str">
        <f>"Cuadro N°12: Valor de los costos marginales medios registrados en las principales barras del área centro durante el mes de "&amp;'1. Resumen'!Q4</f>
        <v>Cuadro N°12: Valor de los costos marginales medios registrados en las principales barras del área centro durante el mes de mayo</v>
      </c>
      <c r="C28" s="866"/>
      <c r="D28" s="866"/>
      <c r="E28" s="866"/>
      <c r="F28" s="866"/>
      <c r="G28" s="866"/>
      <c r="H28" s="866"/>
      <c r="I28" s="866"/>
      <c r="J28" s="522"/>
      <c r="K28" s="522"/>
      <c r="L28" s="751"/>
      <c r="M28" s="529" t="s">
        <v>182</v>
      </c>
      <c r="N28" s="557" t="str">
        <f t="shared" si="1"/>
        <v>COTARUSE 220
(28,81 USD/MWh)</v>
      </c>
    </row>
    <row r="29" spans="1:14" ht="11.25" customHeight="1">
      <c r="A29" s="182"/>
      <c r="B29" s="188"/>
      <c r="C29" s="188"/>
      <c r="D29" s="188"/>
      <c r="E29" s="188"/>
      <c r="F29" s="188"/>
      <c r="G29" s="188"/>
      <c r="H29" s="188"/>
      <c r="I29" s="188"/>
      <c r="J29" s="526"/>
      <c r="K29" s="526"/>
      <c r="L29" s="751"/>
      <c r="M29" s="529" t="s">
        <v>183</v>
      </c>
      <c r="N29" s="557" t="str">
        <f t="shared" si="1"/>
        <v>SAN GABAN 138
(28,61 USD/MWh)</v>
      </c>
    </row>
    <row r="30" spans="1:14" ht="11.25" customHeight="1">
      <c r="A30" s="182"/>
      <c r="B30" s="188"/>
      <c r="C30" s="188"/>
      <c r="D30" s="188"/>
      <c r="E30" s="188"/>
      <c r="F30" s="188"/>
      <c r="G30" s="188"/>
      <c r="H30" s="188"/>
      <c r="I30" s="188"/>
      <c r="J30" s="526"/>
      <c r="K30" s="526"/>
      <c r="L30" s="751"/>
      <c r="M30" s="529"/>
      <c r="N30" s="558"/>
    </row>
    <row r="31" spans="1:14" ht="11.25" customHeight="1">
      <c r="A31" s="182"/>
      <c r="B31" s="188"/>
      <c r="C31" s="188"/>
      <c r="D31" s="188"/>
      <c r="E31" s="188"/>
      <c r="F31" s="188"/>
      <c r="G31" s="188"/>
      <c r="H31" s="188"/>
      <c r="I31" s="188"/>
      <c r="J31" s="526"/>
      <c r="K31" s="526"/>
      <c r="L31" s="751"/>
      <c r="M31" s="529"/>
      <c r="N31" s="558"/>
    </row>
    <row r="32" spans="1:14" ht="11.25" customHeight="1">
      <c r="A32" s="182"/>
      <c r="B32" s="188"/>
      <c r="C32" s="188"/>
      <c r="D32" s="188"/>
      <c r="E32" s="188"/>
      <c r="F32" s="188"/>
      <c r="G32" s="188"/>
      <c r="H32" s="188"/>
      <c r="I32" s="188"/>
      <c r="J32" s="526"/>
      <c r="K32" s="526"/>
      <c r="L32" s="751"/>
      <c r="M32" s="529"/>
    </row>
    <row r="33" spans="1:12" ht="11.25" customHeight="1">
      <c r="A33" s="182"/>
      <c r="B33" s="188"/>
      <c r="C33" s="188"/>
      <c r="D33" s="188"/>
      <c r="E33" s="188"/>
      <c r="F33" s="188"/>
      <c r="G33" s="188"/>
      <c r="H33" s="188"/>
      <c r="I33" s="188"/>
      <c r="J33" s="526"/>
      <c r="K33" s="526"/>
      <c r="L33" s="751"/>
    </row>
    <row r="34" spans="1:12" ht="11.25" customHeight="1">
      <c r="A34" s="182"/>
      <c r="B34" s="188"/>
      <c r="C34" s="188"/>
      <c r="D34" s="188"/>
      <c r="E34" s="188"/>
      <c r="F34" s="188"/>
      <c r="G34" s="188"/>
      <c r="H34" s="188"/>
      <c r="I34" s="188"/>
      <c r="J34" s="526"/>
      <c r="K34" s="526"/>
      <c r="L34" s="751"/>
    </row>
    <row r="35" spans="1:12" ht="11.25" customHeight="1">
      <c r="A35" s="182"/>
      <c r="B35" s="188"/>
      <c r="C35" s="188"/>
      <c r="D35" s="188"/>
      <c r="E35" s="188"/>
      <c r="F35" s="188"/>
      <c r="G35" s="188"/>
      <c r="H35" s="188"/>
      <c r="I35" s="188"/>
      <c r="J35" s="526"/>
      <c r="K35" s="526"/>
      <c r="L35" s="747"/>
    </row>
    <row r="36" spans="1:12" ht="11.25" customHeight="1">
      <c r="A36" s="182"/>
      <c r="B36" s="188"/>
      <c r="C36" s="188"/>
      <c r="D36" s="188"/>
      <c r="E36" s="188"/>
      <c r="F36" s="188"/>
      <c r="G36" s="188"/>
      <c r="H36" s="188"/>
      <c r="I36" s="188"/>
      <c r="J36" s="526"/>
      <c r="K36" s="526"/>
      <c r="L36" s="751"/>
    </row>
    <row r="37" spans="1:12" ht="11.25" customHeight="1">
      <c r="A37" s="182"/>
      <c r="B37" s="188"/>
      <c r="C37" s="188"/>
      <c r="D37" s="188"/>
      <c r="E37" s="188"/>
      <c r="F37" s="188"/>
      <c r="G37" s="188"/>
      <c r="H37" s="188"/>
      <c r="I37" s="188"/>
      <c r="J37" s="526"/>
      <c r="K37" s="526"/>
      <c r="L37" s="751"/>
    </row>
    <row r="38" spans="1:12" ht="11.25" customHeight="1">
      <c r="A38" s="182"/>
      <c r="B38" s="188"/>
      <c r="C38" s="188"/>
      <c r="D38" s="188"/>
      <c r="E38" s="188"/>
      <c r="F38" s="188"/>
      <c r="G38" s="188"/>
      <c r="H38" s="188"/>
      <c r="I38" s="188"/>
      <c r="J38" s="526"/>
      <c r="K38" s="526"/>
      <c r="L38" s="751"/>
    </row>
    <row r="39" spans="1:12" ht="11.25" customHeight="1">
      <c r="A39" s="182"/>
      <c r="B39" s="188"/>
      <c r="C39" s="188"/>
      <c r="D39" s="188"/>
      <c r="E39" s="188"/>
      <c r="F39" s="188"/>
      <c r="G39" s="188"/>
      <c r="H39" s="188"/>
      <c r="I39" s="188"/>
      <c r="J39" s="526"/>
      <c r="K39" s="526"/>
      <c r="L39" s="751"/>
    </row>
    <row r="40" spans="1:12" ht="13.5" customHeight="1">
      <c r="A40" s="182"/>
      <c r="B40" s="864" t="str">
        <f>"Gráfico N°21: Costos marginales medios registrados en las principales barras del área centro durante el mes de "&amp;'1. Resumen'!Q4</f>
        <v>Gráfico N°21: Costos marginales medios registrados en las principales barras del área centro durante el mes de mayo</v>
      </c>
      <c r="C40" s="864"/>
      <c r="D40" s="864"/>
      <c r="E40" s="864"/>
      <c r="F40" s="864"/>
      <c r="G40" s="864"/>
      <c r="H40" s="864"/>
      <c r="I40" s="864"/>
      <c r="J40" s="526"/>
      <c r="K40" s="526"/>
      <c r="L40" s="751"/>
    </row>
    <row r="41" spans="1:12" ht="6.75" customHeight="1">
      <c r="A41" s="182"/>
      <c r="B41" s="188"/>
      <c r="C41" s="188"/>
      <c r="D41" s="188"/>
      <c r="E41" s="188"/>
      <c r="F41" s="188"/>
      <c r="G41" s="188"/>
      <c r="H41" s="188"/>
      <c r="I41" s="188"/>
      <c r="J41" s="526"/>
      <c r="K41" s="526"/>
      <c r="L41" s="751"/>
    </row>
    <row r="42" spans="1:12" ht="8.25" customHeight="1">
      <c r="A42" s="182"/>
      <c r="B42" s="184"/>
      <c r="C42" s="184"/>
      <c r="D42" s="184"/>
      <c r="E42" s="184"/>
      <c r="F42" s="184"/>
      <c r="G42" s="184"/>
      <c r="H42" s="184"/>
      <c r="I42" s="184"/>
      <c r="J42" s="527"/>
      <c r="K42" s="527"/>
      <c r="L42" s="755"/>
    </row>
    <row r="43" spans="1:12" ht="11.25" customHeight="1">
      <c r="A43" s="182"/>
      <c r="B43" s="187" t="s">
        <v>386</v>
      </c>
      <c r="C43" s="184"/>
      <c r="D43" s="184"/>
      <c r="E43" s="184"/>
      <c r="F43" s="184"/>
      <c r="G43" s="184"/>
      <c r="H43" s="184"/>
      <c r="I43" s="184"/>
      <c r="J43" s="527"/>
      <c r="K43" s="527"/>
      <c r="L43" s="755"/>
    </row>
    <row r="44" spans="1:12" ht="6.75" customHeight="1">
      <c r="A44" s="182"/>
      <c r="B44" s="184"/>
      <c r="C44" s="184"/>
      <c r="D44" s="184"/>
      <c r="E44" s="184"/>
      <c r="F44" s="184"/>
      <c r="G44" s="184"/>
      <c r="H44" s="184"/>
      <c r="I44" s="184"/>
      <c r="J44" s="527"/>
      <c r="K44" s="527"/>
      <c r="L44" s="755"/>
    </row>
    <row r="45" spans="1:12" ht="27" customHeight="1">
      <c r="A45" s="182"/>
      <c r="B45" s="382" t="s">
        <v>164</v>
      </c>
      <c r="C45" s="379" t="s">
        <v>177</v>
      </c>
      <c r="D45" s="379" t="s">
        <v>179</v>
      </c>
      <c r="E45" s="379" t="s">
        <v>180</v>
      </c>
      <c r="F45" s="379" t="s">
        <v>178</v>
      </c>
      <c r="G45" s="379" t="s">
        <v>181</v>
      </c>
      <c r="H45" s="379" t="s">
        <v>182</v>
      </c>
      <c r="I45" s="380" t="s">
        <v>183</v>
      </c>
      <c r="J45" s="524"/>
      <c r="K45" s="526"/>
    </row>
    <row r="46" spans="1:12" ht="18.75" customHeight="1">
      <c r="A46" s="182"/>
      <c r="B46" s="383" t="s">
        <v>170</v>
      </c>
      <c r="C46" s="264">
        <v>31.750141690850764</v>
      </c>
      <c r="D46" s="264">
        <v>30.64061347991014</v>
      </c>
      <c r="E46" s="264">
        <v>30.641072660775389</v>
      </c>
      <c r="F46" s="264">
        <v>30.876206534027517</v>
      </c>
      <c r="G46" s="264">
        <v>29.039477022909331</v>
      </c>
      <c r="H46" s="264">
        <v>28.80727637555805</v>
      </c>
      <c r="I46" s="264">
        <v>28.612707701355504</v>
      </c>
      <c r="J46" s="525"/>
      <c r="K46" s="526"/>
    </row>
    <row r="47" spans="1:12" ht="18" customHeight="1">
      <c r="A47" s="182"/>
      <c r="B47" s="866" t="str">
        <f>"Cuadro N°13: Valor de los costos marginales medios registrados en las principales barras del área sur durante el mes de "&amp;'1. Resumen'!Q4</f>
        <v>Cuadro N°13: Valor de los costos marginales medios registrados en las principales barras del área sur durante el mes de mayo</v>
      </c>
      <c r="C47" s="866"/>
      <c r="D47" s="866"/>
      <c r="E47" s="866"/>
      <c r="F47" s="866"/>
      <c r="G47" s="866"/>
      <c r="H47" s="866"/>
      <c r="I47" s="866"/>
      <c r="J47" s="525"/>
      <c r="K47" s="526"/>
    </row>
    <row r="48" spans="1:12" ht="13.2">
      <c r="A48" s="182"/>
      <c r="B48" s="188"/>
      <c r="C48" s="188"/>
      <c r="D48" s="188"/>
      <c r="E48" s="188"/>
      <c r="F48" s="188"/>
      <c r="G48" s="178"/>
      <c r="H48" s="178"/>
      <c r="I48" s="178"/>
      <c r="J48" s="522"/>
      <c r="K48" s="526"/>
    </row>
    <row r="49" spans="1:11" ht="13.2">
      <c r="A49" s="182"/>
      <c r="B49" s="178"/>
      <c r="C49" s="178"/>
      <c r="D49" s="178"/>
      <c r="E49" s="178"/>
      <c r="F49" s="178"/>
      <c r="G49" s="178"/>
      <c r="H49" s="178"/>
      <c r="I49" s="178"/>
      <c r="J49" s="522"/>
      <c r="K49" s="526"/>
    </row>
    <row r="50" spans="1:11" ht="13.2">
      <c r="A50" s="182"/>
      <c r="B50" s="111"/>
      <c r="C50" s="111"/>
      <c r="D50" s="111"/>
      <c r="E50" s="111"/>
      <c r="F50" s="111"/>
      <c r="G50" s="111"/>
      <c r="H50" s="111"/>
      <c r="I50" s="111"/>
      <c r="J50" s="46"/>
      <c r="K50" s="526"/>
    </row>
    <row r="51" spans="1:11" ht="13.2">
      <c r="A51" s="182"/>
      <c r="B51" s="111"/>
      <c r="C51" s="111"/>
      <c r="D51" s="111"/>
      <c r="E51" s="111"/>
      <c r="F51" s="111"/>
      <c r="G51" s="111"/>
      <c r="H51" s="111"/>
      <c r="I51" s="111"/>
      <c r="J51" s="46"/>
      <c r="K51" s="526"/>
    </row>
    <row r="52" spans="1:11" ht="13.2">
      <c r="A52" s="182"/>
      <c r="B52" s="111"/>
      <c r="C52" s="111"/>
      <c r="D52" s="111"/>
      <c r="E52" s="111"/>
      <c r="F52" s="111"/>
      <c r="G52" s="111"/>
      <c r="H52" s="111"/>
      <c r="I52" s="111"/>
      <c r="J52" s="46"/>
      <c r="K52" s="526"/>
    </row>
    <row r="53" spans="1:11" ht="13.2">
      <c r="A53" s="182"/>
      <c r="B53" s="111"/>
      <c r="C53" s="111"/>
      <c r="D53" s="111"/>
      <c r="E53" s="111"/>
      <c r="F53" s="111"/>
      <c r="G53" s="111"/>
      <c r="H53" s="111"/>
      <c r="I53" s="111"/>
      <c r="J53" s="46"/>
      <c r="K53" s="526"/>
    </row>
    <row r="54" spans="1:11" ht="13.2">
      <c r="A54" s="182"/>
      <c r="B54" s="111"/>
      <c r="C54" s="111"/>
      <c r="D54" s="111"/>
      <c r="E54" s="111"/>
      <c r="F54" s="111"/>
      <c r="G54" s="111"/>
      <c r="H54" s="111"/>
      <c r="I54" s="111"/>
      <c r="J54" s="46"/>
      <c r="K54" s="526"/>
    </row>
    <row r="55" spans="1:11" ht="13.2">
      <c r="A55" s="182"/>
      <c r="B55" s="111"/>
      <c r="C55" s="111"/>
      <c r="D55" s="111"/>
      <c r="E55" s="111"/>
      <c r="F55" s="111"/>
      <c r="G55" s="111"/>
      <c r="H55" s="111"/>
      <c r="I55" s="111"/>
      <c r="J55" s="46"/>
      <c r="K55" s="526"/>
    </row>
    <row r="56" spans="1:11" ht="13.2">
      <c r="A56" s="182"/>
      <c r="B56" s="178"/>
      <c r="C56" s="178"/>
      <c r="D56" s="178"/>
      <c r="E56" s="178"/>
      <c r="F56" s="178"/>
      <c r="G56" s="178"/>
      <c r="H56" s="178"/>
      <c r="I56" s="178"/>
      <c r="J56" s="522"/>
      <c r="K56" s="526"/>
    </row>
    <row r="57" spans="1:11" ht="13.2">
      <c r="A57" s="182"/>
      <c r="B57" s="178"/>
      <c r="C57" s="178"/>
      <c r="D57" s="178"/>
      <c r="E57" s="178"/>
      <c r="F57" s="178"/>
      <c r="G57" s="178"/>
      <c r="H57" s="178"/>
      <c r="I57" s="178"/>
      <c r="J57" s="522"/>
      <c r="K57" s="526"/>
    </row>
    <row r="58" spans="1:11" ht="13.2">
      <c r="A58" s="182"/>
      <c r="B58" s="864" t="str">
        <f>"Gráfico N°22: Costos marginales medios registrados en las principales barras del área sur durante el mes de "&amp;'1. Resumen'!Q4</f>
        <v>Gráfico N°22: Costos marginales medios registrados en las principales barras del área sur durante el mes de mayo</v>
      </c>
      <c r="C58" s="864"/>
      <c r="D58" s="864"/>
      <c r="E58" s="864"/>
      <c r="F58" s="864"/>
      <c r="G58" s="864"/>
      <c r="H58" s="864"/>
      <c r="I58" s="864"/>
      <c r="J58" s="522"/>
      <c r="K58" s="526"/>
    </row>
    <row r="59" spans="1:11" ht="13.2">
      <c r="A59" s="74"/>
      <c r="B59" s="136"/>
      <c r="C59" s="136"/>
      <c r="D59" s="136"/>
      <c r="E59" s="136"/>
      <c r="F59" s="136"/>
      <c r="G59" s="136"/>
      <c r="H59" s="178"/>
      <c r="I59" s="178"/>
      <c r="J59" s="522"/>
      <c r="K59" s="526"/>
    </row>
  </sheetData>
  <mergeCells count="8">
    <mergeCell ref="B58:I58"/>
    <mergeCell ref="B21:I21"/>
    <mergeCell ref="B10:I10"/>
    <mergeCell ref="A2:K2"/>
    <mergeCell ref="A4:H4"/>
    <mergeCell ref="B28:I28"/>
    <mergeCell ref="B47:I47"/>
    <mergeCell ref="B40:I4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0"/>
  <sheetViews>
    <sheetView showGridLines="0" view="pageBreakPreview" zoomScaleNormal="100" zoomScaleSheetLayoutView="100" zoomScalePageLayoutView="115" workbookViewId="0">
      <selection activeCell="A63" sqref="A63:XFD63"/>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26" t="s">
        <v>388</v>
      </c>
      <c r="B2" s="826"/>
      <c r="C2" s="826"/>
      <c r="D2" s="826"/>
      <c r="E2" s="826"/>
      <c r="F2" s="826"/>
      <c r="G2" s="826"/>
      <c r="H2" s="826"/>
      <c r="I2" s="826"/>
      <c r="J2" s="826"/>
      <c r="K2" s="826"/>
      <c r="L2" s="826"/>
    </row>
    <row r="3" spans="1:12" ht="11.25" customHeight="1">
      <c r="A3" s="182"/>
      <c r="B3" s="182"/>
      <c r="C3" s="182"/>
      <c r="D3" s="182"/>
      <c r="E3" s="182"/>
      <c r="F3" s="182"/>
      <c r="G3" s="182"/>
      <c r="H3" s="182"/>
      <c r="I3" s="182"/>
      <c r="J3" s="182"/>
      <c r="K3" s="182"/>
      <c r="L3" s="190"/>
    </row>
    <row r="4" spans="1:12" ht="11.25" customHeight="1">
      <c r="A4" s="182"/>
      <c r="B4" s="182"/>
      <c r="C4" s="182"/>
      <c r="D4" s="182"/>
      <c r="E4" s="182"/>
      <c r="F4" s="182"/>
      <c r="G4" s="182"/>
      <c r="H4" s="182"/>
      <c r="I4" s="182"/>
      <c r="J4" s="182"/>
      <c r="K4" s="182"/>
      <c r="L4" s="17"/>
    </row>
    <row r="5" spans="1:12" ht="11.25" customHeight="1">
      <c r="A5" s="182"/>
      <c r="B5" s="182"/>
      <c r="C5" s="182"/>
      <c r="D5" s="182"/>
      <c r="E5" s="182"/>
      <c r="F5" s="182"/>
      <c r="G5" s="182"/>
      <c r="H5" s="182"/>
      <c r="I5" s="182"/>
      <c r="J5" s="182"/>
      <c r="K5" s="182"/>
      <c r="L5" s="17"/>
    </row>
    <row r="6" spans="1:12" ht="11.25" customHeight="1">
      <c r="A6" s="182"/>
      <c r="B6" s="182"/>
      <c r="C6" s="182"/>
      <c r="D6" s="182"/>
      <c r="E6" s="182"/>
      <c r="F6" s="182"/>
      <c r="G6" s="182"/>
      <c r="H6" s="182"/>
      <c r="I6" s="182"/>
      <c r="J6" s="182"/>
      <c r="K6" s="182"/>
      <c r="L6" s="17"/>
    </row>
    <row r="7" spans="1:12" ht="11.25" customHeight="1">
      <c r="A7" s="182"/>
      <c r="B7" s="183"/>
      <c r="C7" s="182"/>
      <c r="D7" s="182"/>
      <c r="E7" s="182"/>
      <c r="F7" s="182"/>
      <c r="G7" s="182"/>
      <c r="H7" s="182"/>
      <c r="I7" s="182"/>
      <c r="J7" s="182"/>
      <c r="K7" s="182"/>
      <c r="L7" s="17"/>
    </row>
    <row r="8" spans="1:12" ht="11.25" customHeight="1">
      <c r="A8" s="182"/>
      <c r="B8" s="183"/>
      <c r="C8" s="182"/>
      <c r="D8" s="182"/>
      <c r="E8" s="182"/>
      <c r="F8" s="182"/>
      <c r="G8" s="182"/>
      <c r="H8" s="182"/>
      <c r="I8" s="182"/>
      <c r="J8" s="182"/>
      <c r="K8" s="182"/>
      <c r="L8" s="17"/>
    </row>
    <row r="9" spans="1:12" ht="11.25" customHeight="1">
      <c r="A9" s="182"/>
      <c r="B9" s="183"/>
      <c r="C9" s="182"/>
      <c r="D9" s="182"/>
      <c r="E9" s="182"/>
      <c r="F9" s="182"/>
      <c r="G9" s="182"/>
      <c r="H9" s="182"/>
      <c r="I9" s="182"/>
      <c r="J9" s="182"/>
      <c r="K9" s="182"/>
      <c r="L9" s="17"/>
    </row>
    <row r="10" spans="1:12" ht="11.25" customHeight="1">
      <c r="A10" s="182"/>
      <c r="B10" s="182"/>
      <c r="C10" s="182"/>
      <c r="D10" s="182"/>
      <c r="E10" s="182"/>
      <c r="F10" s="182"/>
      <c r="G10" s="182"/>
      <c r="H10" s="182"/>
      <c r="I10" s="182"/>
      <c r="J10" s="182"/>
      <c r="K10" s="182"/>
      <c r="L10" s="17"/>
    </row>
    <row r="11" spans="1:12" ht="11.25" customHeight="1">
      <c r="A11" s="182"/>
      <c r="B11" s="182"/>
      <c r="C11" s="182"/>
      <c r="D11" s="182"/>
      <c r="E11" s="182"/>
      <c r="F11" s="182"/>
      <c r="G11" s="182"/>
      <c r="H11" s="182"/>
      <c r="I11" s="182"/>
      <c r="J11" s="182"/>
      <c r="K11" s="182"/>
      <c r="L11" s="17"/>
    </row>
    <row r="12" spans="1:12" ht="11.25" customHeight="1">
      <c r="A12" s="182"/>
      <c r="B12" s="182"/>
      <c r="C12" s="182"/>
      <c r="D12" s="182"/>
      <c r="E12" s="182"/>
      <c r="F12" s="182"/>
      <c r="G12" s="182"/>
      <c r="H12" s="182"/>
      <c r="I12" s="182"/>
      <c r="J12" s="182"/>
      <c r="K12" s="182"/>
      <c r="L12" s="17"/>
    </row>
    <row r="13" spans="1:12" ht="11.25" customHeight="1">
      <c r="A13" s="182"/>
      <c r="B13" s="182"/>
      <c r="C13" s="182"/>
      <c r="D13" s="182"/>
      <c r="E13" s="182"/>
      <c r="F13" s="182"/>
      <c r="G13" s="182"/>
      <c r="H13" s="182"/>
      <c r="I13" s="182"/>
      <c r="J13" s="182"/>
      <c r="K13" s="182"/>
      <c r="L13" s="17"/>
    </row>
    <row r="14" spans="1:12" ht="11.25" customHeight="1">
      <c r="A14" s="182"/>
      <c r="B14" s="182"/>
      <c r="C14" s="182"/>
      <c r="D14" s="182"/>
      <c r="E14" s="182"/>
      <c r="F14" s="182"/>
      <c r="G14" s="182"/>
      <c r="H14" s="182"/>
      <c r="I14" s="182"/>
      <c r="J14" s="182"/>
      <c r="K14" s="182"/>
      <c r="L14" s="17"/>
    </row>
    <row r="15" spans="1:12" ht="11.25" customHeight="1">
      <c r="A15" s="182"/>
      <c r="B15" s="182"/>
      <c r="C15" s="182"/>
      <c r="D15" s="182"/>
      <c r="E15" s="182"/>
      <c r="F15" s="182"/>
      <c r="G15" s="182"/>
      <c r="H15" s="182"/>
      <c r="I15" s="182"/>
      <c r="J15" s="182"/>
      <c r="K15" s="182"/>
      <c r="L15" s="17"/>
    </row>
    <row r="16" spans="1:12" ht="11.25" customHeight="1">
      <c r="A16" s="182"/>
      <c r="B16" s="182"/>
      <c r="C16" s="182"/>
      <c r="D16" s="182"/>
      <c r="E16" s="182"/>
      <c r="F16" s="182"/>
      <c r="G16" s="182"/>
      <c r="H16" s="182"/>
      <c r="I16" s="182"/>
      <c r="J16" s="182"/>
      <c r="K16" s="182"/>
      <c r="L16" s="17"/>
    </row>
    <row r="17" spans="1:12" ht="11.25" customHeight="1">
      <c r="A17" s="182"/>
      <c r="B17" s="182"/>
      <c r="C17" s="182"/>
      <c r="D17" s="182"/>
      <c r="E17" s="182"/>
      <c r="F17" s="182"/>
      <c r="G17" s="182"/>
      <c r="H17" s="182"/>
      <c r="I17" s="182"/>
      <c r="J17" s="182"/>
      <c r="K17" s="182"/>
      <c r="L17" s="17"/>
    </row>
    <row r="18" spans="1:12" ht="11.25" customHeight="1">
      <c r="A18" s="182"/>
      <c r="B18" s="182"/>
      <c r="C18" s="182"/>
      <c r="D18" s="182"/>
      <c r="E18" s="182"/>
      <c r="F18" s="182"/>
      <c r="G18" s="182"/>
      <c r="H18" s="182"/>
      <c r="I18" s="182"/>
      <c r="J18" s="182"/>
      <c r="K18" s="182"/>
      <c r="L18" s="190"/>
    </row>
    <row r="19" spans="1:12" ht="11.25" customHeight="1">
      <c r="A19" s="182"/>
      <c r="B19" s="182"/>
      <c r="C19" s="182"/>
      <c r="D19" s="182"/>
      <c r="E19" s="182"/>
      <c r="F19" s="182"/>
      <c r="G19" s="182"/>
      <c r="H19" s="182"/>
      <c r="I19" s="182"/>
      <c r="J19" s="182"/>
      <c r="K19" s="182"/>
      <c r="L19" s="190"/>
    </row>
    <row r="20" spans="1:12" ht="11.25" customHeight="1">
      <c r="A20" s="182"/>
      <c r="B20" s="182"/>
      <c r="C20" s="182"/>
      <c r="D20" s="182"/>
      <c r="E20" s="182"/>
      <c r="F20" s="182"/>
      <c r="G20" s="182"/>
      <c r="H20" s="182"/>
      <c r="I20" s="182"/>
      <c r="J20" s="182"/>
      <c r="K20" s="182"/>
      <c r="L20" s="190"/>
    </row>
    <row r="21" spans="1:12" ht="11.25" customHeight="1">
      <c r="A21" s="182"/>
      <c r="B21" s="182"/>
      <c r="C21" s="182"/>
      <c r="D21" s="182"/>
      <c r="E21" s="182"/>
      <c r="F21" s="182"/>
      <c r="G21" s="182"/>
      <c r="H21" s="182"/>
      <c r="I21" s="182"/>
      <c r="J21" s="182"/>
      <c r="K21" s="182"/>
      <c r="L21" s="190"/>
    </row>
    <row r="22" spans="1:12" ht="11.25" customHeight="1">
      <c r="A22" s="182"/>
      <c r="B22" s="182"/>
      <c r="C22" s="182"/>
      <c r="D22" s="182"/>
      <c r="E22" s="182"/>
      <c r="F22" s="182"/>
      <c r="G22" s="182"/>
      <c r="H22" s="182"/>
      <c r="I22" s="182"/>
      <c r="J22" s="182"/>
      <c r="K22" s="182"/>
      <c r="L22" s="190"/>
    </row>
    <row r="23" spans="1:12" ht="11.25" customHeight="1">
      <c r="A23" s="182"/>
      <c r="B23" s="182"/>
      <c r="C23" s="182"/>
      <c r="D23" s="182"/>
      <c r="E23" s="182"/>
      <c r="F23" s="182"/>
      <c r="G23" s="182"/>
      <c r="H23" s="182"/>
      <c r="I23" s="182"/>
      <c r="J23" s="182"/>
      <c r="K23" s="182"/>
      <c r="L23" s="190"/>
    </row>
    <row r="24" spans="1:12" ht="11.25" customHeight="1">
      <c r="A24" s="182"/>
      <c r="B24" s="182"/>
      <c r="C24" s="182"/>
      <c r="D24" s="182"/>
      <c r="E24" s="182"/>
      <c r="F24" s="182"/>
      <c r="G24" s="182"/>
      <c r="H24" s="182"/>
      <c r="I24" s="182"/>
      <c r="J24" s="182"/>
      <c r="K24" s="182"/>
      <c r="L24" s="190"/>
    </row>
    <row r="25" spans="1:12" ht="11.25" customHeight="1">
      <c r="A25" s="182"/>
      <c r="B25" s="182"/>
      <c r="C25" s="182"/>
      <c r="D25" s="182"/>
      <c r="E25" s="182"/>
      <c r="F25" s="182"/>
      <c r="G25" s="182"/>
      <c r="H25" s="182"/>
      <c r="I25" s="182"/>
      <c r="J25" s="182"/>
      <c r="K25" s="182"/>
      <c r="L25" s="190"/>
    </row>
    <row r="26" spans="1:12" ht="11.25" customHeight="1">
      <c r="A26" s="182"/>
      <c r="B26" s="182"/>
      <c r="C26" s="182"/>
      <c r="D26" s="182"/>
      <c r="E26" s="182"/>
      <c r="F26" s="182"/>
      <c r="G26" s="182"/>
      <c r="H26" s="182"/>
      <c r="I26" s="182"/>
      <c r="J26" s="182"/>
      <c r="K26" s="182"/>
      <c r="L26" s="190"/>
    </row>
    <row r="27" spans="1:12" ht="11.25" customHeight="1">
      <c r="A27" s="182"/>
      <c r="B27" s="182"/>
      <c r="C27" s="182"/>
      <c r="D27" s="182"/>
      <c r="E27" s="182"/>
      <c r="F27" s="182"/>
      <c r="G27" s="182"/>
      <c r="H27" s="182"/>
      <c r="I27" s="182"/>
      <c r="J27" s="182"/>
      <c r="K27" s="182"/>
      <c r="L27" s="190"/>
    </row>
    <row r="28" spans="1:12" ht="11.25" customHeight="1">
      <c r="A28" s="182"/>
      <c r="B28" s="182"/>
      <c r="C28" s="182"/>
      <c r="D28" s="182"/>
      <c r="E28" s="182"/>
      <c r="F28" s="182"/>
      <c r="G28" s="182"/>
      <c r="H28" s="182"/>
      <c r="I28" s="182"/>
      <c r="J28" s="182"/>
      <c r="K28" s="182"/>
      <c r="L28" s="190"/>
    </row>
    <row r="29" spans="1:12" ht="11.25" customHeight="1">
      <c r="A29" s="182"/>
      <c r="B29" s="182"/>
      <c r="C29" s="182"/>
      <c r="D29" s="182"/>
      <c r="E29" s="182"/>
      <c r="F29" s="182"/>
      <c r="G29" s="182"/>
      <c r="H29" s="182"/>
      <c r="I29" s="182"/>
      <c r="J29" s="182"/>
      <c r="K29" s="182"/>
      <c r="L29" s="190"/>
    </row>
    <row r="30" spans="1:12" ht="11.25" customHeight="1">
      <c r="A30" s="182"/>
      <c r="B30" s="182"/>
      <c r="C30" s="182"/>
      <c r="D30" s="182"/>
      <c r="E30" s="182"/>
      <c r="F30" s="182"/>
      <c r="G30" s="182"/>
      <c r="H30" s="182"/>
      <c r="I30" s="182"/>
      <c r="J30" s="182"/>
      <c r="K30" s="182"/>
      <c r="L30" s="190"/>
    </row>
    <row r="31" spans="1:12" ht="11.25" customHeight="1">
      <c r="A31" s="182"/>
      <c r="B31" s="182"/>
      <c r="C31" s="182"/>
      <c r="D31" s="182"/>
      <c r="E31" s="182"/>
      <c r="F31" s="182"/>
      <c r="G31" s="182"/>
      <c r="H31" s="182"/>
      <c r="I31" s="182"/>
      <c r="J31" s="182"/>
      <c r="K31" s="182"/>
      <c r="L31" s="190"/>
    </row>
    <row r="32" spans="1:12" ht="11.25" customHeight="1">
      <c r="A32" s="182"/>
      <c r="B32" s="182"/>
      <c r="C32" s="182"/>
      <c r="D32" s="182"/>
      <c r="E32" s="182"/>
      <c r="F32" s="182"/>
      <c r="G32" s="182"/>
      <c r="H32" s="182"/>
      <c r="I32" s="182"/>
      <c r="J32" s="182"/>
      <c r="K32" s="182"/>
      <c r="L32" s="73"/>
    </row>
    <row r="33" spans="1:12" ht="11.25" customHeight="1">
      <c r="A33" s="182"/>
      <c r="B33" s="182"/>
      <c r="C33" s="182"/>
      <c r="D33" s="182"/>
      <c r="E33" s="182"/>
      <c r="F33" s="182"/>
      <c r="G33" s="182"/>
      <c r="H33" s="182"/>
      <c r="I33" s="182"/>
      <c r="J33" s="182"/>
      <c r="K33" s="182"/>
      <c r="L33" s="73"/>
    </row>
    <row r="34" spans="1:12" ht="11.25" customHeight="1">
      <c r="A34" s="182"/>
      <c r="B34" s="182"/>
      <c r="C34" s="182"/>
      <c r="D34" s="182"/>
      <c r="E34" s="182"/>
      <c r="F34" s="182"/>
      <c r="G34" s="182"/>
      <c r="H34" s="182"/>
      <c r="I34" s="182"/>
      <c r="J34" s="182"/>
      <c r="K34" s="182"/>
      <c r="L34" s="73"/>
    </row>
    <row r="35" spans="1:12" ht="11.25" customHeight="1">
      <c r="A35" s="182"/>
      <c r="B35" s="182"/>
      <c r="C35" s="182"/>
      <c r="D35" s="182"/>
      <c r="E35" s="182"/>
      <c r="F35" s="182"/>
      <c r="G35" s="182"/>
      <c r="H35" s="182"/>
      <c r="I35" s="182"/>
      <c r="J35" s="182"/>
      <c r="K35" s="182"/>
      <c r="L35" s="73"/>
    </row>
    <row r="36" spans="1:12" ht="11.25" customHeight="1">
      <c r="A36" s="182"/>
      <c r="B36" s="182"/>
      <c r="C36" s="182"/>
      <c r="D36" s="182"/>
      <c r="E36" s="182"/>
      <c r="F36" s="182"/>
      <c r="G36" s="182"/>
      <c r="H36" s="182"/>
      <c r="I36" s="182"/>
      <c r="J36" s="182"/>
      <c r="K36" s="182"/>
      <c r="L36" s="73"/>
    </row>
    <row r="37" spans="1:12" ht="11.25" customHeight="1">
      <c r="A37" s="182"/>
      <c r="B37" s="182"/>
      <c r="C37" s="182"/>
      <c r="D37" s="182"/>
      <c r="E37" s="182"/>
      <c r="F37" s="182"/>
      <c r="G37" s="182"/>
      <c r="H37" s="182"/>
      <c r="I37" s="182"/>
      <c r="J37" s="182"/>
      <c r="K37" s="182"/>
      <c r="L37" s="73"/>
    </row>
    <row r="38" spans="1:12" ht="11.25" customHeight="1">
      <c r="A38" s="182"/>
      <c r="B38" s="182"/>
      <c r="C38" s="182"/>
      <c r="D38" s="182"/>
      <c r="E38" s="182"/>
      <c r="F38" s="182"/>
      <c r="G38" s="182"/>
      <c r="H38" s="182"/>
      <c r="I38" s="182"/>
      <c r="J38" s="182"/>
      <c r="K38" s="182"/>
      <c r="L38" s="73"/>
    </row>
    <row r="39" spans="1:12" ht="11.25" customHeight="1">
      <c r="A39" s="182"/>
      <c r="B39" s="182"/>
      <c r="C39" s="182"/>
      <c r="D39" s="182"/>
      <c r="E39" s="182"/>
      <c r="F39" s="182"/>
      <c r="G39" s="182"/>
      <c r="H39" s="182"/>
      <c r="I39" s="182"/>
      <c r="J39" s="182"/>
      <c r="K39" s="182"/>
      <c r="L39" s="73"/>
    </row>
    <row r="40" spans="1:12" ht="11.25" customHeight="1">
      <c r="A40" s="182"/>
      <c r="B40" s="182"/>
      <c r="C40" s="182"/>
      <c r="D40" s="182"/>
      <c r="E40" s="182"/>
      <c r="F40" s="182"/>
      <c r="G40" s="182"/>
      <c r="H40" s="182"/>
      <c r="I40" s="182"/>
      <c r="J40" s="182"/>
      <c r="K40" s="182"/>
      <c r="L40" s="73"/>
    </row>
    <row r="41" spans="1:12" ht="11.25" customHeight="1">
      <c r="A41" s="182"/>
      <c r="B41" s="182"/>
      <c r="C41" s="182"/>
      <c r="D41" s="182"/>
      <c r="E41" s="182"/>
      <c r="F41" s="182"/>
      <c r="G41" s="182"/>
      <c r="H41" s="182"/>
      <c r="I41" s="182"/>
      <c r="J41" s="182"/>
      <c r="K41" s="182"/>
      <c r="L41" s="73"/>
    </row>
    <row r="42" spans="1:12" ht="11.25" customHeight="1">
      <c r="A42" s="182"/>
      <c r="B42" s="182"/>
      <c r="C42" s="182"/>
      <c r="D42" s="182"/>
      <c r="E42" s="182"/>
      <c r="F42" s="182"/>
      <c r="G42" s="182"/>
      <c r="H42" s="182"/>
      <c r="I42" s="182"/>
      <c r="J42" s="182"/>
      <c r="K42" s="182"/>
      <c r="L42" s="73"/>
    </row>
    <row r="43" spans="1:12" ht="11.25" customHeight="1">
      <c r="A43" s="182"/>
      <c r="B43" s="182"/>
      <c r="C43" s="182"/>
      <c r="D43" s="182"/>
      <c r="E43" s="182"/>
      <c r="F43" s="182"/>
      <c r="G43" s="182"/>
      <c r="H43" s="182"/>
      <c r="I43" s="182"/>
      <c r="J43" s="182"/>
      <c r="K43" s="182"/>
      <c r="L43" s="73"/>
    </row>
    <row r="44" spans="1:12" ht="11.25" customHeight="1">
      <c r="A44" s="74"/>
      <c r="B44" s="74"/>
      <c r="C44" s="74"/>
      <c r="D44" s="74"/>
      <c r="E44" s="74"/>
      <c r="F44" s="74"/>
      <c r="G44" s="74"/>
      <c r="H44" s="74"/>
      <c r="I44" s="74"/>
      <c r="J44" s="74"/>
      <c r="K44" s="182"/>
      <c r="L44" s="73"/>
    </row>
    <row r="45" spans="1:12" ht="11.25" customHeight="1">
      <c r="A45" s="74"/>
      <c r="B45" s="74"/>
      <c r="C45" s="74"/>
      <c r="D45" s="74"/>
      <c r="E45" s="74"/>
      <c r="F45" s="74"/>
      <c r="G45" s="74"/>
      <c r="H45" s="74"/>
      <c r="I45" s="74"/>
      <c r="J45" s="74"/>
      <c r="K45" s="182"/>
      <c r="L45" s="73"/>
    </row>
    <row r="46" spans="1:12" ht="11.25" customHeight="1">
      <c r="A46" s="74"/>
      <c r="B46" s="74"/>
      <c r="C46" s="74"/>
      <c r="D46" s="74"/>
      <c r="E46" s="74"/>
      <c r="F46" s="74"/>
      <c r="G46" s="74"/>
      <c r="H46" s="74"/>
      <c r="I46" s="74"/>
      <c r="J46" s="74"/>
      <c r="K46" s="182"/>
      <c r="L46" s="73"/>
    </row>
    <row r="47" spans="1:12" ht="11.25" customHeight="1">
      <c r="A47" s="74"/>
      <c r="B47" s="74"/>
      <c r="C47" s="74"/>
      <c r="D47" s="74"/>
      <c r="E47" s="74"/>
      <c r="F47" s="74"/>
      <c r="G47" s="74"/>
      <c r="H47" s="74"/>
      <c r="I47" s="74"/>
      <c r="J47" s="74"/>
      <c r="K47" s="182"/>
      <c r="L47" s="73"/>
    </row>
    <row r="48" spans="1:12" ht="11.25" customHeight="1">
      <c r="A48" s="74"/>
      <c r="B48" s="74"/>
      <c r="C48" s="74"/>
      <c r="D48" s="74"/>
      <c r="E48" s="74"/>
      <c r="F48" s="74"/>
      <c r="G48" s="74"/>
      <c r="H48" s="74"/>
      <c r="I48" s="74"/>
      <c r="J48" s="74"/>
      <c r="K48" s="182"/>
      <c r="L48" s="73"/>
    </row>
    <row r="49" spans="1:12" ht="11.25" customHeight="1">
      <c r="A49" s="74"/>
      <c r="B49" s="74"/>
      <c r="C49" s="74"/>
      <c r="D49" s="74"/>
      <c r="E49" s="74"/>
      <c r="F49" s="74"/>
      <c r="G49" s="74"/>
      <c r="H49" s="74"/>
      <c r="I49" s="74"/>
      <c r="J49" s="74"/>
      <c r="K49" s="182"/>
      <c r="L49" s="73"/>
    </row>
    <row r="50" spans="1:12" ht="13.2">
      <c r="A50" s="74"/>
      <c r="B50" s="74"/>
      <c r="C50" s="74"/>
      <c r="D50" s="74"/>
      <c r="E50" s="74"/>
      <c r="F50" s="74"/>
      <c r="G50" s="74"/>
      <c r="H50" s="74"/>
      <c r="I50" s="74"/>
      <c r="J50" s="74"/>
      <c r="K50" s="182"/>
      <c r="L50" s="73"/>
    </row>
    <row r="51" spans="1:12" ht="13.2">
      <c r="A51" s="74"/>
      <c r="B51" s="74"/>
      <c r="C51" s="74"/>
      <c r="D51" s="74"/>
      <c r="E51" s="74"/>
      <c r="F51" s="74"/>
      <c r="G51" s="74"/>
      <c r="H51" s="74"/>
      <c r="I51" s="74"/>
      <c r="J51" s="74"/>
      <c r="K51" s="182"/>
      <c r="L51" s="73"/>
    </row>
    <row r="52" spans="1:12" ht="13.2">
      <c r="A52" s="74"/>
      <c r="B52" s="74"/>
      <c r="C52" s="74"/>
      <c r="D52" s="74"/>
      <c r="E52" s="74"/>
      <c r="F52" s="74"/>
      <c r="G52" s="74"/>
      <c r="H52" s="74"/>
      <c r="I52" s="74"/>
      <c r="J52" s="74"/>
      <c r="K52" s="182"/>
      <c r="L52" s="73"/>
    </row>
    <row r="53" spans="1:12" ht="13.2">
      <c r="A53" s="74"/>
      <c r="B53" s="74"/>
      <c r="C53" s="74"/>
      <c r="D53" s="74"/>
      <c r="E53" s="74"/>
      <c r="F53" s="74"/>
      <c r="G53" s="74"/>
      <c r="H53" s="74"/>
      <c r="I53" s="74"/>
      <c r="J53" s="74"/>
      <c r="K53" s="182"/>
      <c r="L53" s="73"/>
    </row>
    <row r="54" spans="1:12" ht="13.2">
      <c r="A54" s="74"/>
      <c r="B54" s="74"/>
      <c r="C54" s="74"/>
      <c r="D54" s="74"/>
      <c r="E54" s="74"/>
      <c r="F54" s="74"/>
      <c r="G54" s="74"/>
      <c r="H54" s="74"/>
      <c r="I54" s="74"/>
      <c r="J54" s="74"/>
      <c r="K54" s="182"/>
      <c r="L54" s="73"/>
    </row>
    <row r="55" spans="1:12" ht="13.2">
      <c r="A55" s="74"/>
      <c r="B55" s="74"/>
      <c r="C55" s="74"/>
      <c r="D55" s="74"/>
      <c r="E55" s="74"/>
      <c r="F55" s="74"/>
      <c r="G55" s="74"/>
      <c r="H55" s="74"/>
      <c r="I55" s="74"/>
      <c r="J55" s="74"/>
      <c r="K55" s="182"/>
      <c r="L55" s="73"/>
    </row>
    <row r="56" spans="1:12" ht="13.2">
      <c r="A56" s="74"/>
      <c r="B56" s="74"/>
      <c r="C56" s="74"/>
      <c r="D56" s="74"/>
      <c r="E56" s="74"/>
      <c r="F56" s="74"/>
      <c r="G56" s="74"/>
      <c r="H56" s="74"/>
      <c r="I56" s="74"/>
      <c r="J56" s="74"/>
      <c r="K56" s="182"/>
      <c r="L56" s="73"/>
    </row>
    <row r="57" spans="1:12" ht="13.2">
      <c r="A57" s="74"/>
      <c r="B57" s="74"/>
      <c r="C57" s="74"/>
      <c r="D57" s="74"/>
      <c r="E57" s="74"/>
      <c r="F57" s="74"/>
      <c r="G57" s="74"/>
      <c r="H57" s="74"/>
      <c r="I57" s="74"/>
      <c r="J57" s="74"/>
      <c r="K57" s="182"/>
      <c r="L57" s="73"/>
    </row>
    <row r="58" spans="1:12" ht="13.2">
      <c r="A58" s="74"/>
      <c r="B58" s="74"/>
      <c r="C58" s="74"/>
      <c r="D58" s="74"/>
      <c r="E58" s="74"/>
      <c r="F58" s="74"/>
      <c r="G58" s="74"/>
      <c r="H58" s="74"/>
      <c r="I58" s="74"/>
      <c r="J58" s="74"/>
      <c r="K58" s="182"/>
      <c r="L58" s="73"/>
    </row>
    <row r="59" spans="1:12" ht="13.2">
      <c r="A59" s="74"/>
      <c r="B59" s="74"/>
      <c r="C59" s="74"/>
      <c r="D59" s="74"/>
      <c r="E59" s="74"/>
      <c r="F59" s="74"/>
      <c r="G59" s="74"/>
      <c r="H59" s="74"/>
      <c r="I59" s="74"/>
      <c r="J59" s="74"/>
      <c r="K59" s="182"/>
      <c r="L59" s="73"/>
    </row>
    <row r="60" spans="1:12" ht="13.2">
      <c r="A60" s="74"/>
      <c r="B60" s="74"/>
      <c r="C60" s="74"/>
      <c r="D60" s="74"/>
      <c r="E60" s="74"/>
      <c r="F60" s="74"/>
      <c r="G60" s="74"/>
      <c r="H60" s="74"/>
      <c r="I60" s="74"/>
      <c r="J60" s="74"/>
      <c r="K60" s="182"/>
      <c r="L60" s="73"/>
    </row>
    <row r="61" spans="1:12" ht="13.2">
      <c r="A61" s="74"/>
      <c r="B61" s="74"/>
      <c r="C61" s="74"/>
      <c r="D61" s="74"/>
      <c r="E61" s="74"/>
      <c r="F61" s="74"/>
      <c r="G61" s="74"/>
      <c r="H61" s="74"/>
      <c r="I61" s="74"/>
      <c r="J61" s="74"/>
      <c r="K61" s="182"/>
      <c r="L61" s="73"/>
    </row>
    <row r="62" spans="1:12" ht="13.2">
      <c r="A62" s="74"/>
      <c r="B62" s="74"/>
      <c r="C62" s="74"/>
      <c r="D62" s="74"/>
      <c r="E62" s="74"/>
      <c r="F62" s="74"/>
      <c r="G62" s="74"/>
      <c r="H62" s="74"/>
      <c r="I62" s="74"/>
      <c r="J62" s="74"/>
      <c r="K62" s="182"/>
      <c r="L62" s="73"/>
    </row>
    <row r="63" spans="1:12" ht="13.2">
      <c r="A63" s="74"/>
      <c r="B63" s="74"/>
      <c r="C63" s="74"/>
      <c r="D63" s="74"/>
      <c r="E63" s="74"/>
      <c r="F63" s="74"/>
      <c r="G63" s="74"/>
      <c r="H63" s="74"/>
      <c r="I63" s="74"/>
      <c r="J63" s="74"/>
      <c r="K63" s="182"/>
      <c r="L63" s="73"/>
    </row>
    <row r="64" spans="1:12" ht="13.2">
      <c r="A64" s="74"/>
      <c r="B64" s="74"/>
      <c r="C64" s="74"/>
      <c r="D64" s="74"/>
      <c r="E64" s="74"/>
      <c r="F64" s="74"/>
      <c r="G64" s="74"/>
      <c r="H64" s="74"/>
      <c r="I64" s="74"/>
      <c r="J64" s="74"/>
      <c r="K64" s="182"/>
      <c r="L64" s="73"/>
    </row>
    <row r="65" spans="1:12" ht="13.2">
      <c r="A65" s="74"/>
      <c r="B65" s="74"/>
      <c r="C65" s="74"/>
      <c r="D65" s="74"/>
      <c r="E65" s="74"/>
      <c r="F65" s="74"/>
      <c r="G65" s="74"/>
      <c r="H65" s="74"/>
      <c r="I65" s="74"/>
      <c r="J65" s="74"/>
      <c r="K65" s="182"/>
      <c r="L65" s="73"/>
    </row>
    <row r="66" spans="1:12" ht="13.2">
      <c r="A66" s="74"/>
      <c r="B66" s="74"/>
      <c r="C66" s="74"/>
      <c r="D66" s="74"/>
      <c r="E66" s="74"/>
      <c r="F66" s="74"/>
      <c r="G66" s="74"/>
      <c r="H66" s="74"/>
      <c r="I66" s="74"/>
      <c r="J66" s="74"/>
      <c r="K66" s="182"/>
      <c r="L66" s="73"/>
    </row>
    <row r="67" spans="1:12" ht="13.2">
      <c r="A67" s="74"/>
      <c r="B67" s="74"/>
      <c r="C67" s="74"/>
      <c r="D67" s="74"/>
      <c r="E67" s="74"/>
      <c r="F67" s="74"/>
      <c r="G67" s="74"/>
      <c r="H67" s="74"/>
      <c r="I67" s="74"/>
      <c r="J67" s="74"/>
      <c r="K67" s="182"/>
      <c r="L67" s="73"/>
    </row>
    <row r="68" spans="1:12" ht="13.2">
      <c r="A68" s="74"/>
      <c r="B68" s="74"/>
      <c r="C68" s="74"/>
      <c r="D68" s="74"/>
      <c r="E68" s="74"/>
      <c r="F68" s="74"/>
      <c r="G68" s="74"/>
      <c r="H68" s="74"/>
      <c r="I68" s="74"/>
      <c r="J68" s="74"/>
      <c r="K68" s="182"/>
      <c r="L68" s="73"/>
    </row>
    <row r="69" spans="1:12" ht="13.2">
      <c r="A69" s="191"/>
      <c r="B69" s="191"/>
      <c r="C69" s="191"/>
      <c r="D69" s="191"/>
      <c r="E69" s="191"/>
      <c r="F69" s="191"/>
      <c r="G69" s="191"/>
      <c r="H69" s="191"/>
      <c r="I69" s="191"/>
      <c r="J69" s="191"/>
      <c r="K69" s="182"/>
      <c r="L69" s="73"/>
    </row>
    <row r="70" spans="1:12" ht="13.2">
      <c r="A70" s="74"/>
      <c r="B70" s="73"/>
      <c r="C70" s="73"/>
      <c r="D70" s="73"/>
      <c r="E70" s="73"/>
      <c r="F70" s="73"/>
      <c r="G70" s="73"/>
      <c r="H70" s="73"/>
      <c r="I70" s="73"/>
      <c r="J70" s="73"/>
      <c r="K70" s="182"/>
      <c r="L70" s="73"/>
    </row>
  </sheetData>
  <mergeCells count="1">
    <mergeCell ref="A2:L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7"/>
  <sheetViews>
    <sheetView showGridLines="0" view="pageBreakPreview" zoomScaleNormal="100" zoomScaleSheetLayoutView="100" workbookViewId="0">
      <selection activeCell="B8" sqref="B8"/>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67" t="s">
        <v>387</v>
      </c>
      <c r="B2" s="867"/>
      <c r="C2" s="867"/>
      <c r="D2" s="867"/>
      <c r="E2" s="867"/>
      <c r="F2" s="867"/>
      <c r="G2" s="867"/>
      <c r="H2" s="867"/>
      <c r="I2" s="201"/>
      <c r="J2" s="201"/>
      <c r="K2" s="201"/>
    </row>
    <row r="3" spans="1:12" ht="3" customHeight="1">
      <c r="A3" s="77"/>
      <c r="B3" s="77"/>
      <c r="C3" s="77"/>
      <c r="D3" s="77"/>
      <c r="E3" s="77"/>
      <c r="F3" s="77"/>
      <c r="G3" s="77"/>
      <c r="H3" s="77"/>
      <c r="I3" s="202"/>
      <c r="J3" s="202"/>
      <c r="K3" s="202"/>
      <c r="L3" s="36"/>
    </row>
    <row r="4" spans="1:12" ht="15" customHeight="1">
      <c r="A4" s="858" t="s">
        <v>435</v>
      </c>
      <c r="B4" s="858"/>
      <c r="C4" s="858"/>
      <c r="D4" s="858"/>
      <c r="E4" s="858"/>
      <c r="F4" s="858"/>
      <c r="G4" s="858"/>
      <c r="H4" s="858"/>
      <c r="I4" s="193"/>
      <c r="J4" s="193"/>
      <c r="K4" s="193"/>
      <c r="L4" s="36"/>
    </row>
    <row r="5" spans="1:12" ht="11.25" customHeight="1">
      <c r="A5" s="77"/>
      <c r="B5" s="162"/>
      <c r="C5" s="78"/>
      <c r="D5" s="79"/>
      <c r="E5" s="79"/>
      <c r="F5" s="80"/>
      <c r="G5" s="76"/>
      <c r="H5" s="76"/>
      <c r="I5" s="194"/>
      <c r="J5" s="194"/>
      <c r="K5" s="194"/>
      <c r="L5" s="203"/>
    </row>
    <row r="6" spans="1:12" ht="30.75" customHeight="1">
      <c r="A6" s="404" t="s">
        <v>184</v>
      </c>
      <c r="B6" s="402" t="s">
        <v>185</v>
      </c>
      <c r="C6" s="402" t="s">
        <v>186</v>
      </c>
      <c r="D6" s="401" t="str">
        <f>UPPER('1. Resumen'!Q4)&amp;"
 "&amp;'1. Resumen'!Q5</f>
        <v>MAYO
 2022</v>
      </c>
      <c r="E6" s="401" t="str">
        <f>UPPER('1. Resumen'!Q4)&amp;"
 "&amp;'1. Resumen'!Q5-1</f>
        <v>MAYO
 2021</v>
      </c>
      <c r="F6" s="401" t="str">
        <f>UPPER('1. Resumen'!Q4)&amp;"
 "&amp;'1. Resumen'!Q5-2</f>
        <v>MAYO
 2020</v>
      </c>
      <c r="G6" s="402" t="s">
        <v>565</v>
      </c>
      <c r="H6" s="403" t="s">
        <v>471</v>
      </c>
      <c r="I6" s="194"/>
      <c r="J6" s="194"/>
      <c r="K6" s="194"/>
      <c r="L6" s="164"/>
    </row>
    <row r="7" spans="1:12" ht="19.5" customHeight="1">
      <c r="A7" s="868" t="s">
        <v>187</v>
      </c>
      <c r="B7" s="587" t="s">
        <v>550</v>
      </c>
      <c r="C7" s="588" t="s">
        <v>551</v>
      </c>
      <c r="D7" s="589"/>
      <c r="E7" s="589"/>
      <c r="F7" s="589">
        <v>38.266666666666666</v>
      </c>
      <c r="G7" s="590"/>
      <c r="H7" s="590">
        <f t="shared" ref="H7" si="0">+E7/F7</f>
        <v>0</v>
      </c>
      <c r="I7" s="194"/>
      <c r="J7" s="194"/>
      <c r="K7" s="194"/>
      <c r="L7" s="58"/>
    </row>
    <row r="8" spans="1:12" ht="19.5" customHeight="1">
      <c r="A8" s="868"/>
      <c r="B8" s="587" t="s">
        <v>579</v>
      </c>
      <c r="C8" s="588" t="s">
        <v>580</v>
      </c>
      <c r="D8" s="589">
        <v>2.6666666666666652</v>
      </c>
      <c r="E8" s="589"/>
      <c r="F8" s="589"/>
      <c r="G8" s="590"/>
      <c r="H8" s="590"/>
      <c r="I8" s="194"/>
      <c r="J8" s="194"/>
      <c r="K8" s="194"/>
      <c r="L8" s="58"/>
    </row>
    <row r="9" spans="1:12" ht="19.5" customHeight="1">
      <c r="A9" s="868"/>
      <c r="B9" s="587" t="s">
        <v>553</v>
      </c>
      <c r="C9" s="588" t="s">
        <v>554</v>
      </c>
      <c r="D9" s="589"/>
      <c r="E9" s="589"/>
      <c r="F9" s="589">
        <v>186.35000000000002</v>
      </c>
      <c r="G9" s="590"/>
      <c r="H9" s="590">
        <f t="shared" ref="H9:H11" si="1">+E9/F9</f>
        <v>0</v>
      </c>
      <c r="I9" s="194"/>
      <c r="J9" s="194"/>
      <c r="K9" s="194"/>
      <c r="L9" s="58"/>
    </row>
    <row r="10" spans="1:12" ht="19.5" customHeight="1">
      <c r="A10" s="868"/>
      <c r="B10" s="587" t="s">
        <v>585</v>
      </c>
      <c r="C10" s="588" t="s">
        <v>584</v>
      </c>
      <c r="D10" s="589"/>
      <c r="E10" s="589"/>
      <c r="F10" s="589">
        <v>98.566666666666663</v>
      </c>
      <c r="G10" s="590"/>
      <c r="H10" s="590">
        <f t="shared" si="1"/>
        <v>0</v>
      </c>
      <c r="I10" s="194"/>
      <c r="J10" s="194"/>
      <c r="K10" s="194"/>
      <c r="L10" s="58"/>
    </row>
    <row r="11" spans="1:12" ht="19.5" customHeight="1">
      <c r="A11" s="868"/>
      <c r="B11" s="587" t="s">
        <v>563</v>
      </c>
      <c r="C11" s="588" t="s">
        <v>564</v>
      </c>
      <c r="D11" s="589"/>
      <c r="E11" s="589"/>
      <c r="F11" s="589">
        <v>2.5833333333333348</v>
      </c>
      <c r="G11" s="590"/>
      <c r="H11" s="590">
        <f t="shared" si="1"/>
        <v>0</v>
      </c>
      <c r="I11" s="194"/>
      <c r="J11" s="194"/>
      <c r="K11" s="194"/>
      <c r="L11" s="58"/>
    </row>
    <row r="12" spans="1:12" ht="19.5" customHeight="1">
      <c r="A12" s="868"/>
      <c r="B12" s="587" t="s">
        <v>603</v>
      </c>
      <c r="C12" s="588" t="s">
        <v>604</v>
      </c>
      <c r="D12" s="589"/>
      <c r="E12" s="589">
        <v>21.1</v>
      </c>
      <c r="F12" s="589"/>
      <c r="G12" s="590">
        <f t="shared" ref="G12:G15" si="2">+D12/E12</f>
        <v>0</v>
      </c>
      <c r="H12" s="590"/>
      <c r="I12" s="194"/>
      <c r="J12" s="194"/>
      <c r="K12" s="194"/>
      <c r="L12" s="58"/>
    </row>
    <row r="13" spans="1:12" ht="19.5" customHeight="1">
      <c r="A13" s="868"/>
      <c r="B13" s="587" t="s">
        <v>548</v>
      </c>
      <c r="C13" s="588" t="s">
        <v>549</v>
      </c>
      <c r="D13" s="589">
        <v>11.566666666666666</v>
      </c>
      <c r="E13" s="589">
        <v>226.63333333333338</v>
      </c>
      <c r="F13" s="589"/>
      <c r="G13" s="590">
        <f t="shared" si="2"/>
        <v>5.1036917193704942E-2</v>
      </c>
      <c r="H13" s="590"/>
      <c r="I13" s="194"/>
      <c r="J13" s="194"/>
      <c r="K13" s="194"/>
      <c r="L13" s="58"/>
    </row>
    <row r="14" spans="1:12" ht="19.95" customHeight="1">
      <c r="A14" s="868"/>
      <c r="B14" s="587" t="s">
        <v>605</v>
      </c>
      <c r="C14" s="588" t="s">
        <v>606</v>
      </c>
      <c r="D14" s="589">
        <v>12.933333333333334</v>
      </c>
      <c r="E14" s="589">
        <v>12.81666666666667</v>
      </c>
      <c r="F14" s="589"/>
      <c r="G14" s="590">
        <f t="shared" si="2"/>
        <v>1.0091027308192455</v>
      </c>
      <c r="H14" s="590"/>
      <c r="I14" s="194"/>
      <c r="J14" s="194"/>
      <c r="K14" s="194"/>
      <c r="L14" s="58"/>
    </row>
    <row r="15" spans="1:12" ht="19.5" customHeight="1">
      <c r="A15" s="587" t="s">
        <v>609</v>
      </c>
      <c r="B15" s="587" t="s">
        <v>607</v>
      </c>
      <c r="C15" s="588" t="s">
        <v>608</v>
      </c>
      <c r="D15" s="589"/>
      <c r="E15" s="589">
        <v>0.91666666666666874</v>
      </c>
      <c r="F15" s="589"/>
      <c r="G15" s="590">
        <f t="shared" si="2"/>
        <v>0</v>
      </c>
      <c r="H15" s="590"/>
      <c r="I15" s="194"/>
      <c r="J15" s="194"/>
      <c r="K15" s="194"/>
      <c r="L15" s="58"/>
    </row>
    <row r="16" spans="1:12" ht="18.75" customHeight="1">
      <c r="A16" s="395" t="s">
        <v>188</v>
      </c>
      <c r="B16" s="396"/>
      <c r="C16" s="397"/>
      <c r="D16" s="398">
        <f>SUM(D7:D15)</f>
        <v>27.166666666666664</v>
      </c>
      <c r="E16" s="398">
        <f>SUM(E7:E15)</f>
        <v>261.46666666666675</v>
      </c>
      <c r="F16" s="398">
        <f>SUM(F7:F15)</f>
        <v>325.76666666666665</v>
      </c>
      <c r="G16" s="554"/>
      <c r="H16" s="554"/>
      <c r="I16" s="194"/>
      <c r="J16" s="194"/>
      <c r="K16" s="195"/>
      <c r="L16" s="204"/>
    </row>
    <row r="17" spans="1:12" ht="11.25" customHeight="1">
      <c r="A17" s="262" t="str">
        <f>"Cuadro N° 14: Horas de operación de los principales equipos de congestión en "&amp;'1. Resumen'!Q4</f>
        <v>Cuadro N° 14: Horas de operación de los principales equipos de congestión en mayo</v>
      </c>
      <c r="B17" s="206"/>
      <c r="C17" s="207"/>
      <c r="D17" s="208"/>
      <c r="E17" s="208"/>
      <c r="F17" s="209"/>
      <c r="G17" s="76"/>
      <c r="H17" s="82"/>
      <c r="I17" s="194"/>
      <c r="J17" s="194"/>
      <c r="K17" s="195"/>
      <c r="L17" s="204"/>
    </row>
    <row r="18" spans="1:12" ht="11.25" customHeight="1">
      <c r="A18" s="137"/>
      <c r="B18" s="206"/>
      <c r="C18" s="207"/>
      <c r="D18" s="208"/>
      <c r="E18" s="208"/>
      <c r="F18" s="209"/>
      <c r="G18" s="76"/>
      <c r="H18" s="76"/>
      <c r="I18" s="194"/>
      <c r="J18" s="194"/>
      <c r="K18" s="195"/>
      <c r="L18" s="204"/>
    </row>
    <row r="19" spans="1:12" ht="11.25" customHeight="1">
      <c r="A19" s="137"/>
      <c r="B19" s="206"/>
      <c r="C19" s="207"/>
      <c r="D19" s="208"/>
      <c r="E19" s="208"/>
      <c r="F19" s="209"/>
      <c r="G19" s="76"/>
      <c r="H19" s="76"/>
      <c r="I19" s="194"/>
      <c r="J19" s="194"/>
      <c r="K19" s="195"/>
      <c r="L19" s="204"/>
    </row>
    <row r="20" spans="1:12" ht="11.25" customHeight="1">
      <c r="A20" s="77"/>
      <c r="B20" s="162"/>
      <c r="C20" s="78"/>
      <c r="D20" s="79"/>
      <c r="E20" s="79"/>
      <c r="F20" s="80"/>
      <c r="G20" s="76"/>
      <c r="H20" s="76"/>
      <c r="I20" s="194"/>
      <c r="J20" s="194"/>
      <c r="K20" s="195"/>
      <c r="L20" s="204"/>
    </row>
    <row r="21" spans="1:12" ht="11.25" customHeight="1">
      <c r="A21" s="77"/>
      <c r="B21" s="162"/>
      <c r="C21" s="78"/>
      <c r="D21" s="79"/>
      <c r="E21" s="79"/>
      <c r="F21" s="80"/>
      <c r="G21" s="76"/>
      <c r="H21" s="76"/>
      <c r="I21" s="194"/>
      <c r="J21" s="194"/>
      <c r="K21" s="195"/>
      <c r="L21" s="204"/>
    </row>
    <row r="22" spans="1:12" ht="11.25" customHeight="1">
      <c r="A22" s="77"/>
      <c r="B22" s="162"/>
      <c r="C22" s="78"/>
      <c r="D22" s="79"/>
      <c r="E22" s="79"/>
      <c r="F22" s="80"/>
      <c r="G22" s="76"/>
      <c r="H22" s="76"/>
      <c r="I22" s="194"/>
      <c r="J22" s="194"/>
      <c r="K22" s="195"/>
      <c r="L22" s="205"/>
    </row>
    <row r="23" spans="1:12" ht="11.25" customHeight="1">
      <c r="A23" s="77"/>
      <c r="B23" s="162"/>
      <c r="C23" s="78"/>
      <c r="D23" s="79"/>
      <c r="E23" s="79"/>
      <c r="F23" s="80"/>
      <c r="G23" s="76"/>
      <c r="H23" s="76"/>
      <c r="I23" s="194"/>
      <c r="J23" s="194"/>
      <c r="K23" s="195"/>
      <c r="L23" s="204"/>
    </row>
    <row r="24" spans="1:12" ht="11.25" customHeight="1">
      <c r="A24" s="77"/>
      <c r="B24" s="162"/>
      <c r="C24" s="78"/>
      <c r="D24" s="79"/>
      <c r="E24" s="79"/>
      <c r="F24" s="80"/>
      <c r="G24" s="76"/>
      <c r="H24" s="76"/>
      <c r="I24" s="194"/>
      <c r="J24" s="194"/>
      <c r="K24" s="195"/>
      <c r="L24" s="204"/>
    </row>
    <row r="25" spans="1:12" ht="11.25" customHeight="1">
      <c r="A25" s="77"/>
      <c r="B25" s="162"/>
      <c r="C25" s="78"/>
      <c r="D25" s="79"/>
      <c r="E25" s="79"/>
      <c r="F25" s="80"/>
      <c r="G25" s="76"/>
      <c r="H25" s="76"/>
      <c r="I25" s="194"/>
      <c r="J25" s="194"/>
      <c r="K25" s="194"/>
      <c r="L25" s="58"/>
    </row>
    <row r="26" spans="1:12" ht="11.25" customHeight="1">
      <c r="A26" s="77"/>
      <c r="B26" s="162"/>
      <c r="C26" s="78"/>
      <c r="D26" s="79"/>
      <c r="E26" s="79"/>
      <c r="F26" s="80"/>
      <c r="G26" s="76"/>
      <c r="H26" s="76"/>
      <c r="I26" s="194"/>
      <c r="J26" s="194"/>
      <c r="K26" s="195"/>
      <c r="L26" s="204"/>
    </row>
    <row r="27" spans="1:12" ht="11.25" customHeight="1">
      <c r="A27" s="77"/>
      <c r="B27" s="162"/>
      <c r="C27" s="78"/>
      <c r="D27" s="79"/>
      <c r="E27" s="79"/>
      <c r="F27" s="80"/>
      <c r="G27" s="76"/>
      <c r="H27" s="76"/>
      <c r="I27" s="194"/>
      <c r="J27" s="194"/>
      <c r="K27" s="196"/>
      <c r="L27" s="204"/>
    </row>
    <row r="28" spans="1:12" ht="11.25" customHeight="1">
      <c r="A28" s="77"/>
      <c r="B28" s="162"/>
      <c r="C28" s="78"/>
      <c r="D28" s="79"/>
      <c r="E28" s="79"/>
      <c r="F28" s="80"/>
      <c r="G28" s="76"/>
      <c r="H28" s="76"/>
      <c r="I28" s="194"/>
      <c r="J28" s="194"/>
      <c r="K28" s="196"/>
      <c r="L28" s="204"/>
    </row>
    <row r="29" spans="1:12" ht="11.25" customHeight="1">
      <c r="A29" s="77"/>
      <c r="B29" s="162"/>
      <c r="C29" s="78"/>
      <c r="D29" s="79"/>
      <c r="E29" s="79"/>
      <c r="F29" s="80"/>
      <c r="G29" s="76"/>
      <c r="H29" s="76"/>
      <c r="I29" s="194"/>
      <c r="J29" s="194"/>
      <c r="K29" s="196"/>
      <c r="L29" s="204"/>
    </row>
    <row r="30" spans="1:12" ht="11.25" customHeight="1">
      <c r="A30" s="77"/>
      <c r="B30" s="162"/>
      <c r="C30" s="78"/>
      <c r="D30" s="79"/>
      <c r="E30" s="79"/>
      <c r="F30" s="80"/>
      <c r="G30" s="76"/>
      <c r="H30" s="76"/>
      <c r="I30" s="194"/>
      <c r="J30" s="194"/>
      <c r="K30" s="196"/>
      <c r="L30" s="204"/>
    </row>
    <row r="31" spans="1:12" ht="11.25" customHeight="1">
      <c r="A31" s="77"/>
      <c r="B31" s="162"/>
      <c r="C31" s="78"/>
      <c r="D31" s="79"/>
      <c r="E31" s="79"/>
      <c r="F31" s="80"/>
      <c r="G31" s="76"/>
      <c r="H31" s="76"/>
      <c r="I31" s="194"/>
      <c r="J31" s="194"/>
      <c r="K31" s="196"/>
      <c r="L31" s="204"/>
    </row>
    <row r="32" spans="1:12" ht="11.25" customHeight="1">
      <c r="A32" s="77"/>
      <c r="B32" s="162"/>
      <c r="C32" s="78"/>
      <c r="D32" s="79"/>
      <c r="E32" s="79"/>
      <c r="F32" s="80"/>
      <c r="G32" s="76"/>
      <c r="H32" s="76"/>
      <c r="I32" s="194"/>
      <c r="J32" s="194"/>
      <c r="K32" s="196"/>
      <c r="L32" s="204"/>
    </row>
    <row r="33" spans="1:12" ht="11.25" customHeight="1">
      <c r="A33" s="77"/>
      <c r="B33" s="77"/>
      <c r="C33" s="77"/>
      <c r="D33" s="77"/>
      <c r="E33" s="77"/>
      <c r="F33" s="77"/>
      <c r="G33" s="77"/>
      <c r="H33" s="77"/>
      <c r="I33" s="194"/>
      <c r="J33" s="194"/>
      <c r="K33" s="196"/>
      <c r="L33" s="204"/>
    </row>
    <row r="34" spans="1:12" ht="11.25" customHeight="1">
      <c r="A34" s="77"/>
      <c r="B34" s="77"/>
      <c r="C34" s="77"/>
      <c r="D34" s="77"/>
      <c r="E34" s="77"/>
      <c r="F34" s="77"/>
      <c r="G34" s="77"/>
      <c r="H34" s="77"/>
      <c r="I34" s="194"/>
      <c r="J34" s="194"/>
      <c r="K34" s="196"/>
      <c r="L34" s="204"/>
    </row>
    <row r="35" spans="1:12" ht="11.25" customHeight="1">
      <c r="A35" s="77"/>
      <c r="B35" s="77"/>
      <c r="C35" s="77"/>
      <c r="D35" s="77"/>
      <c r="E35" s="77"/>
      <c r="F35" s="77"/>
      <c r="G35" s="77"/>
      <c r="H35" s="77"/>
      <c r="I35" s="194"/>
      <c r="J35" s="194"/>
      <c r="K35" s="196"/>
      <c r="L35" s="204"/>
    </row>
    <row r="36" spans="1:12" ht="11.25" customHeight="1">
      <c r="A36" s="77"/>
      <c r="B36" s="77"/>
      <c r="C36" s="77"/>
      <c r="D36" s="77"/>
      <c r="E36" s="77"/>
      <c r="F36" s="77"/>
      <c r="G36" s="77"/>
      <c r="H36" s="77"/>
      <c r="I36" s="194"/>
      <c r="J36" s="194"/>
      <c r="K36" s="196"/>
      <c r="L36" s="204"/>
    </row>
    <row r="37" spans="1:12" ht="11.25" customHeight="1">
      <c r="A37" s="77"/>
      <c r="B37" s="77"/>
      <c r="C37" s="77"/>
      <c r="D37" s="77"/>
      <c r="E37" s="77"/>
      <c r="F37" s="77"/>
      <c r="G37" s="77"/>
      <c r="H37" s="77"/>
      <c r="I37" s="194"/>
      <c r="J37" s="194"/>
      <c r="K37" s="196"/>
      <c r="L37" s="204"/>
    </row>
    <row r="38" spans="1:12" ht="11.25" customHeight="1">
      <c r="A38" s="77"/>
      <c r="B38" s="77"/>
      <c r="C38" s="77"/>
      <c r="D38" s="77"/>
      <c r="E38" s="77"/>
      <c r="F38" s="77"/>
      <c r="G38" s="77"/>
      <c r="H38" s="77"/>
      <c r="I38" s="194"/>
      <c r="J38" s="194"/>
      <c r="K38" s="196"/>
      <c r="L38" s="204"/>
    </row>
    <row r="39" spans="1:12" ht="11.25" customHeight="1">
      <c r="A39" s="77"/>
      <c r="B39" s="77"/>
      <c r="C39" s="77"/>
      <c r="D39" s="77"/>
      <c r="E39" s="77"/>
      <c r="F39" s="77"/>
      <c r="G39" s="77"/>
      <c r="H39" s="77"/>
      <c r="I39" s="194"/>
      <c r="J39" s="194"/>
      <c r="K39" s="196"/>
      <c r="L39" s="204"/>
    </row>
    <row r="40" spans="1:12" ht="11.25" customHeight="1">
      <c r="A40" s="77"/>
      <c r="B40" s="77"/>
      <c r="C40" s="77"/>
      <c r="D40" s="77"/>
      <c r="E40" s="77"/>
      <c r="F40" s="77"/>
      <c r="G40" s="77"/>
      <c r="H40" s="77"/>
      <c r="I40" s="194"/>
      <c r="J40" s="194"/>
      <c r="K40" s="196"/>
      <c r="L40" s="204"/>
    </row>
    <row r="41" spans="1:12" ht="11.25" customHeight="1">
      <c r="A41" s="77"/>
      <c r="B41" s="77"/>
      <c r="C41" s="77"/>
      <c r="D41" s="77"/>
      <c r="E41" s="77"/>
      <c r="F41" s="77"/>
      <c r="G41" s="77"/>
      <c r="H41" s="77"/>
      <c r="I41" s="194"/>
      <c r="J41" s="194"/>
      <c r="K41" s="196"/>
      <c r="L41" s="204"/>
    </row>
    <row r="42" spans="1:12" ht="11.25" customHeight="1">
      <c r="A42" s="77"/>
      <c r="B42" s="77"/>
      <c r="C42" s="77"/>
      <c r="D42" s="77"/>
      <c r="E42" s="77"/>
      <c r="F42" s="77"/>
      <c r="G42" s="77"/>
      <c r="H42" s="77"/>
      <c r="I42" s="194"/>
      <c r="J42" s="194"/>
      <c r="K42" s="196"/>
      <c r="L42" s="204"/>
    </row>
    <row r="43" spans="1:12" ht="11.25" customHeight="1">
      <c r="A43" s="77"/>
      <c r="B43" s="77"/>
      <c r="C43" s="77"/>
      <c r="D43" s="77"/>
      <c r="E43" s="77"/>
      <c r="F43" s="77"/>
      <c r="G43" s="77"/>
      <c r="H43" s="77"/>
      <c r="I43" s="194"/>
      <c r="J43" s="194"/>
      <c r="K43" s="196"/>
      <c r="L43" s="204"/>
    </row>
    <row r="44" spans="1:12" ht="11.25" customHeight="1">
      <c r="A44" s="77"/>
      <c r="B44" s="77"/>
      <c r="C44" s="77"/>
      <c r="D44" s="77"/>
      <c r="E44" s="77"/>
      <c r="F44" s="77"/>
      <c r="G44" s="77"/>
      <c r="H44" s="77"/>
      <c r="I44" s="194"/>
      <c r="J44" s="194"/>
      <c r="K44" s="196"/>
      <c r="L44" s="204"/>
    </row>
    <row r="45" spans="1:12" ht="11.25" customHeight="1">
      <c r="A45" s="77"/>
      <c r="B45" s="77"/>
      <c r="C45" s="77"/>
      <c r="D45" s="77"/>
      <c r="E45" s="77"/>
      <c r="F45" s="77"/>
      <c r="G45" s="77"/>
      <c r="H45" s="77"/>
      <c r="I45" s="194"/>
      <c r="J45" s="194"/>
      <c r="K45" s="197"/>
      <c r="L45" s="59"/>
    </row>
    <row r="46" spans="1:12" ht="11.25" customHeight="1">
      <c r="A46" s="77"/>
      <c r="B46" s="77"/>
      <c r="C46" s="77"/>
      <c r="D46" s="77"/>
      <c r="E46" s="77"/>
      <c r="F46" s="77"/>
      <c r="G46" s="77"/>
      <c r="H46" s="77"/>
      <c r="I46" s="194"/>
      <c r="J46" s="194"/>
      <c r="K46" s="197"/>
      <c r="L46" s="59"/>
    </row>
    <row r="47" spans="1:12" ht="11.25" customHeight="1">
      <c r="A47" s="77"/>
      <c r="B47" s="77"/>
      <c r="C47" s="77"/>
      <c r="D47" s="77"/>
      <c r="E47" s="77"/>
      <c r="F47" s="77"/>
      <c r="G47" s="77"/>
      <c r="H47" s="77"/>
      <c r="I47" s="194"/>
      <c r="J47" s="194"/>
      <c r="K47" s="197"/>
      <c r="L47" s="59"/>
    </row>
    <row r="48" spans="1:12" ht="11.25" customHeight="1">
      <c r="A48" s="77"/>
      <c r="B48" s="77"/>
      <c r="C48" s="77"/>
      <c r="D48" s="77"/>
      <c r="E48" s="77"/>
      <c r="F48" s="77"/>
      <c r="G48" s="77"/>
      <c r="H48" s="77"/>
      <c r="I48" s="194"/>
      <c r="J48" s="194"/>
      <c r="K48" s="197"/>
      <c r="L48" s="59"/>
    </row>
    <row r="49" spans="1:12" ht="11.25" customHeight="1">
      <c r="A49" s="77"/>
      <c r="B49" s="77"/>
      <c r="C49" s="77"/>
      <c r="D49" s="77"/>
      <c r="E49" s="77"/>
      <c r="F49" s="77"/>
      <c r="G49" s="77"/>
      <c r="H49" s="77"/>
      <c r="I49" s="194"/>
      <c r="J49" s="194"/>
      <c r="K49" s="197"/>
      <c r="L49" s="59"/>
    </row>
    <row r="50" spans="1:12" ht="8.25" customHeight="1">
      <c r="A50" s="77"/>
      <c r="B50" s="77"/>
      <c r="C50" s="77"/>
      <c r="D50" s="77"/>
      <c r="E50" s="77"/>
      <c r="F50" s="77"/>
      <c r="G50" s="77"/>
      <c r="H50" s="77"/>
      <c r="I50" s="194"/>
      <c r="J50" s="194"/>
      <c r="K50" s="197"/>
      <c r="L50" s="59"/>
    </row>
    <row r="51" spans="1:12" ht="24.75" customHeight="1">
      <c r="A51" s="77"/>
      <c r="B51" s="77"/>
      <c r="C51" s="77"/>
      <c r="D51" s="77"/>
      <c r="E51" s="77"/>
      <c r="F51" s="77"/>
      <c r="G51" s="77"/>
      <c r="H51" s="77"/>
      <c r="I51" s="194"/>
      <c r="J51" s="194"/>
      <c r="K51" s="197"/>
      <c r="L51" s="59"/>
    </row>
    <row r="52" spans="1:12" ht="11.25" customHeight="1">
      <c r="A52" s="77"/>
      <c r="B52" s="77"/>
      <c r="C52" s="77"/>
      <c r="D52" s="77"/>
      <c r="E52" s="77"/>
      <c r="F52" s="77"/>
      <c r="G52" s="77"/>
      <c r="H52" s="77"/>
      <c r="I52" s="194"/>
      <c r="J52" s="194"/>
      <c r="K52" s="197"/>
      <c r="L52" s="59"/>
    </row>
    <row r="53" spans="1:12" ht="11.25" customHeight="1">
      <c r="A53" s="77"/>
      <c r="B53" s="77"/>
      <c r="C53" s="77"/>
      <c r="D53" s="77"/>
      <c r="E53" s="77"/>
      <c r="F53" s="77"/>
      <c r="G53" s="77"/>
      <c r="H53" s="77"/>
      <c r="I53" s="194"/>
      <c r="J53" s="194"/>
      <c r="K53" s="197"/>
      <c r="L53" s="59"/>
    </row>
    <row r="54" spans="1:12" ht="11.25" customHeight="1">
      <c r="A54" s="77"/>
      <c r="B54" s="77"/>
      <c r="C54" s="77"/>
      <c r="D54" s="77"/>
      <c r="E54" s="77"/>
      <c r="F54" s="77"/>
      <c r="G54" s="77"/>
      <c r="H54" s="77"/>
      <c r="I54" s="194"/>
      <c r="J54" s="194"/>
      <c r="K54" s="197"/>
      <c r="L54" s="59"/>
    </row>
    <row r="55" spans="1:12" ht="13.2">
      <c r="B55" s="77"/>
      <c r="C55" s="77"/>
      <c r="D55" s="77"/>
      <c r="E55" s="77"/>
      <c r="F55" s="77"/>
      <c r="G55" s="77"/>
      <c r="H55" s="77"/>
      <c r="I55" s="111"/>
      <c r="J55" s="111"/>
      <c r="K55" s="196"/>
    </row>
    <row r="56" spans="1:12" ht="13.2">
      <c r="A56" s="77"/>
      <c r="B56" s="77"/>
      <c r="C56" s="77"/>
      <c r="D56" s="77"/>
      <c r="E56" s="77"/>
      <c r="F56" s="77"/>
      <c r="G56" s="77"/>
      <c r="H56" s="77"/>
      <c r="I56" s="195"/>
      <c r="J56" s="195"/>
      <c r="K56" s="196"/>
    </row>
    <row r="57" spans="1:12">
      <c r="A57" s="262" t="str">
        <f>"Gráfico N° 23: Comparación de las horas de operación de los principales equipos de congestión en "&amp;'1. Resumen'!Q4&amp;"."</f>
        <v>Gráfico N° 23: Comparación de las horas de operación de los principales equipos de congestión en mayo.</v>
      </c>
      <c r="B57" s="31"/>
      <c r="C57" s="31"/>
      <c r="D57" s="31"/>
      <c r="E57" s="31"/>
      <c r="F57" s="31"/>
      <c r="G57" s="31"/>
      <c r="H57" s="195"/>
      <c r="I57" s="195"/>
      <c r="J57" s="195"/>
      <c r="K57" s="195"/>
    </row>
  </sheetData>
  <mergeCells count="3">
    <mergeCell ref="A4:H4"/>
    <mergeCell ref="A2:H2"/>
    <mergeCell ref="A7:A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50"/>
  <sheetViews>
    <sheetView showGridLines="0" view="pageBreakPreview" zoomScale="130" zoomScaleNormal="160" zoomScaleSheetLayoutView="130" zoomScalePageLayoutView="130" workbookViewId="0">
      <selection activeCell="A4" sqref="A4:J4"/>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76" t="s">
        <v>415</v>
      </c>
      <c r="B2" s="876"/>
      <c r="C2" s="876"/>
      <c r="D2" s="876"/>
      <c r="E2" s="876"/>
      <c r="F2" s="876"/>
      <c r="G2" s="876"/>
      <c r="H2" s="876"/>
      <c r="I2" s="876"/>
      <c r="J2" s="876"/>
      <c r="K2" s="161"/>
    </row>
    <row r="3" spans="1:12" ht="6.75" customHeight="1">
      <c r="A3" s="17"/>
      <c r="B3" s="157"/>
      <c r="C3" s="210"/>
      <c r="D3" s="18"/>
      <c r="E3" s="18"/>
      <c r="F3" s="190"/>
      <c r="G3" s="66"/>
      <c r="H3" s="66"/>
      <c r="I3" s="71"/>
      <c r="J3" s="161"/>
      <c r="K3" s="161"/>
      <c r="L3" s="36"/>
    </row>
    <row r="4" spans="1:12" ht="15" customHeight="1">
      <c r="A4" s="877" t="s">
        <v>434</v>
      </c>
      <c r="B4" s="877"/>
      <c r="C4" s="877"/>
      <c r="D4" s="877"/>
      <c r="E4" s="877"/>
      <c r="F4" s="877"/>
      <c r="G4" s="877"/>
      <c r="H4" s="877"/>
      <c r="I4" s="877"/>
      <c r="J4" s="877"/>
      <c r="K4" s="161"/>
      <c r="L4" s="36"/>
    </row>
    <row r="5" spans="1:12" ht="38.25" customHeight="1">
      <c r="A5" s="874" t="s">
        <v>189</v>
      </c>
      <c r="B5" s="405" t="s">
        <v>190</v>
      </c>
      <c r="C5" s="406" t="s">
        <v>191</v>
      </c>
      <c r="D5" s="406" t="s">
        <v>192</v>
      </c>
      <c r="E5" s="406" t="s">
        <v>193</v>
      </c>
      <c r="F5" s="406" t="s">
        <v>194</v>
      </c>
      <c r="G5" s="406" t="s">
        <v>195</v>
      </c>
      <c r="H5" s="406" t="s">
        <v>196</v>
      </c>
      <c r="I5" s="407" t="s">
        <v>197</v>
      </c>
      <c r="J5" s="408" t="s">
        <v>198</v>
      </c>
      <c r="K5" s="131"/>
    </row>
    <row r="6" spans="1:12" ht="11.25" customHeight="1">
      <c r="A6" s="875"/>
      <c r="B6" s="539" t="s">
        <v>199</v>
      </c>
      <c r="C6" s="407" t="s">
        <v>200</v>
      </c>
      <c r="D6" s="407" t="s">
        <v>201</v>
      </c>
      <c r="E6" s="407" t="s">
        <v>202</v>
      </c>
      <c r="F6" s="407" t="s">
        <v>203</v>
      </c>
      <c r="G6" s="407" t="s">
        <v>204</v>
      </c>
      <c r="H6" s="407" t="s">
        <v>205</v>
      </c>
      <c r="I6" s="540"/>
      <c r="J6" s="541" t="s">
        <v>206</v>
      </c>
      <c r="K6" s="19"/>
    </row>
    <row r="7" spans="1:12" ht="12.75" customHeight="1">
      <c r="A7" s="545" t="s">
        <v>539</v>
      </c>
      <c r="B7" s="546">
        <v>3</v>
      </c>
      <c r="C7" s="546">
        <v>3</v>
      </c>
      <c r="D7" s="546">
        <v>2</v>
      </c>
      <c r="E7" s="546"/>
      <c r="F7" s="546">
        <v>9</v>
      </c>
      <c r="G7" s="546"/>
      <c r="H7" s="546"/>
      <c r="I7" s="547">
        <v>17</v>
      </c>
      <c r="J7" s="548">
        <v>230.04</v>
      </c>
      <c r="K7" s="22"/>
    </row>
    <row r="8" spans="1:12" ht="12.75" customHeight="1">
      <c r="A8" s="596" t="s">
        <v>582</v>
      </c>
      <c r="B8" s="597"/>
      <c r="C8" s="597"/>
      <c r="D8" s="597">
        <v>1</v>
      </c>
      <c r="E8" s="597"/>
      <c r="F8" s="597">
        <v>1</v>
      </c>
      <c r="G8" s="597"/>
      <c r="H8" s="597"/>
      <c r="I8" s="547">
        <v>2</v>
      </c>
      <c r="J8" s="598">
        <v>13.83</v>
      </c>
      <c r="K8" s="22"/>
    </row>
    <row r="9" spans="1:12" ht="14.25" customHeight="1">
      <c r="A9" s="544" t="s">
        <v>197</v>
      </c>
      <c r="B9" s="542">
        <f t="shared" ref="B9:H9" si="0">+SUM(B7:B8)</f>
        <v>3</v>
      </c>
      <c r="C9" s="542">
        <f t="shared" si="0"/>
        <v>3</v>
      </c>
      <c r="D9" s="542">
        <f t="shared" si="0"/>
        <v>3</v>
      </c>
      <c r="E9" s="542">
        <f t="shared" si="0"/>
        <v>0</v>
      </c>
      <c r="F9" s="542">
        <f t="shared" si="0"/>
        <v>10</v>
      </c>
      <c r="G9" s="542">
        <f t="shared" si="0"/>
        <v>0</v>
      </c>
      <c r="H9" s="542">
        <f t="shared" si="0"/>
        <v>0</v>
      </c>
      <c r="I9" s="542">
        <f>SUM(I7:I8)</f>
        <v>19</v>
      </c>
      <c r="J9" s="542">
        <f>SUM(J7:J8)</f>
        <v>243.87</v>
      </c>
      <c r="K9" s="22"/>
    </row>
    <row r="10" spans="1:12" ht="11.25" customHeight="1">
      <c r="A10" s="87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mayo 2022</v>
      </c>
      <c r="B10" s="878"/>
      <c r="C10" s="878"/>
      <c r="D10" s="878"/>
      <c r="E10" s="878"/>
      <c r="F10" s="878"/>
      <c r="G10" s="878"/>
      <c r="H10" s="878"/>
      <c r="I10" s="878"/>
      <c r="J10" s="878"/>
      <c r="K10" s="22"/>
    </row>
    <row r="11" spans="1:12" ht="11.25" customHeight="1">
      <c r="K11" s="22"/>
    </row>
    <row r="12" spans="1:12" ht="11.25" customHeight="1">
      <c r="A12" s="17"/>
      <c r="B12" s="212"/>
      <c r="C12" s="211"/>
      <c r="D12" s="211"/>
      <c r="E12" s="211"/>
      <c r="F12" s="211"/>
      <c r="G12" s="176"/>
      <c r="H12" s="176"/>
      <c r="I12" s="138"/>
      <c r="J12" s="25"/>
      <c r="K12" s="25"/>
      <c r="L12" s="22"/>
    </row>
    <row r="13" spans="1:12" ht="11.25" customHeight="1">
      <c r="A13" s="871" t="str">
        <f>"FALLAS  POR TIPO DE CAUSA  -  "&amp;UPPER('1. Resumen'!Q4)&amp;" "&amp;'1. Resumen'!Q5</f>
        <v>FALLAS  POR TIPO DE CAUSA  -  MAYO 2022</v>
      </c>
      <c r="B13" s="871"/>
      <c r="C13" s="871"/>
      <c r="D13" s="871"/>
      <c r="E13" s="871" t="str">
        <f>"FALLAS  POR TIPO DE EQUIPO  -  "&amp;UPPER('1. Resumen'!Q4)&amp;" "&amp;'1. Resumen'!Q5</f>
        <v>FALLAS  POR TIPO DE EQUIPO  -  MAYO 2022</v>
      </c>
      <c r="F13" s="871"/>
      <c r="G13" s="871"/>
      <c r="H13" s="871"/>
      <c r="I13" s="871"/>
      <c r="J13" s="871"/>
      <c r="K13" s="25"/>
      <c r="L13" s="22"/>
    </row>
    <row r="14" spans="1:12" ht="11.25" customHeight="1">
      <c r="A14" s="17"/>
      <c r="E14" s="211"/>
      <c r="F14" s="211"/>
      <c r="G14" s="176"/>
      <c r="H14" s="176"/>
      <c r="I14" s="138"/>
      <c r="J14" s="111"/>
      <c r="K14" s="111"/>
      <c r="L14" s="22"/>
    </row>
    <row r="15" spans="1:12" ht="11.25" customHeight="1">
      <c r="A15" s="17"/>
      <c r="B15" s="212"/>
      <c r="C15" s="211"/>
      <c r="D15" s="211"/>
      <c r="E15" s="211"/>
      <c r="F15" s="211"/>
      <c r="G15" s="176"/>
      <c r="H15" s="176"/>
      <c r="I15" s="138"/>
      <c r="J15" s="111"/>
      <c r="K15" s="111"/>
      <c r="L15" s="30"/>
    </row>
    <row r="16" spans="1:12" ht="11.25" customHeight="1">
      <c r="A16" s="17"/>
      <c r="B16" s="212"/>
      <c r="C16" s="211"/>
      <c r="D16" s="211"/>
      <c r="E16" s="211"/>
      <c r="F16" s="211"/>
      <c r="G16" s="176"/>
      <c r="H16" s="176"/>
      <c r="I16" s="138"/>
      <c r="J16" s="111"/>
      <c r="K16" s="111"/>
      <c r="L16" s="22"/>
    </row>
    <row r="17" spans="1:12" ht="11.25" customHeight="1">
      <c r="A17" s="17"/>
      <c r="B17" s="212"/>
      <c r="C17" s="211"/>
      <c r="D17" s="211"/>
      <c r="E17" s="211"/>
      <c r="F17" s="211"/>
      <c r="G17" s="176"/>
      <c r="H17" s="176"/>
      <c r="I17" s="138"/>
      <c r="J17" s="111"/>
      <c r="K17" s="111"/>
      <c r="L17" s="22"/>
    </row>
    <row r="18" spans="1:12" ht="11.25" customHeight="1">
      <c r="A18" s="17"/>
      <c r="B18" s="212"/>
      <c r="C18" s="211"/>
      <c r="D18" s="211"/>
      <c r="E18" s="211"/>
      <c r="F18" s="211"/>
      <c r="G18" s="176"/>
      <c r="H18" s="176"/>
      <c r="I18" s="138"/>
      <c r="J18" s="111"/>
      <c r="K18" s="111"/>
      <c r="L18" s="22"/>
    </row>
    <row r="19" spans="1:12" ht="11.25" customHeight="1">
      <c r="A19" s="17"/>
      <c r="B19" s="212"/>
      <c r="C19" s="211"/>
      <c r="D19" s="211"/>
      <c r="E19" s="211"/>
      <c r="F19" s="211"/>
      <c r="G19" s="176"/>
      <c r="H19" s="176"/>
      <c r="I19" s="138"/>
      <c r="J19" s="111"/>
      <c r="K19" s="111"/>
      <c r="L19" s="30"/>
    </row>
    <row r="20" spans="1:12" ht="11.25" customHeight="1">
      <c r="A20" s="17"/>
      <c r="B20" s="212"/>
      <c r="C20" s="211"/>
      <c r="D20" s="211"/>
      <c r="E20" s="211"/>
      <c r="F20" s="211"/>
      <c r="G20" s="176"/>
      <c r="H20" s="176"/>
      <c r="I20" s="138"/>
      <c r="J20" s="111"/>
      <c r="K20" s="111"/>
      <c r="L20" s="22"/>
    </row>
    <row r="21" spans="1:12" ht="11.25" customHeight="1">
      <c r="A21" s="17"/>
      <c r="B21" s="212"/>
      <c r="C21" s="211"/>
      <c r="D21" s="211"/>
      <c r="E21" s="211"/>
      <c r="F21" s="211"/>
      <c r="G21" s="176"/>
      <c r="H21" s="176"/>
      <c r="I21" s="138"/>
      <c r="J21" s="111"/>
      <c r="K21" s="111"/>
      <c r="L21" s="22"/>
    </row>
    <row r="22" spans="1:12" ht="11.25" customHeight="1">
      <c r="A22" s="17"/>
      <c r="B22" s="212"/>
      <c r="C22" s="211"/>
      <c r="D22" s="211"/>
      <c r="E22" s="211"/>
      <c r="F22" s="211"/>
      <c r="G22" s="176"/>
      <c r="H22" s="176"/>
      <c r="I22" s="138"/>
      <c r="J22" s="111"/>
      <c r="K22" s="111"/>
      <c r="L22" s="22"/>
    </row>
    <row r="23" spans="1:12" ht="11.25" customHeight="1">
      <c r="A23" s="17"/>
      <c r="B23" s="212"/>
      <c r="C23" s="211"/>
      <c r="D23" s="211"/>
      <c r="E23" s="211"/>
      <c r="F23" s="211"/>
      <c r="G23" s="176"/>
      <c r="H23" s="176"/>
      <c r="I23" s="138"/>
      <c r="J23" s="111"/>
      <c r="K23" s="111"/>
      <c r="L23" s="22"/>
    </row>
    <row r="24" spans="1:12" ht="11.25" customHeight="1">
      <c r="A24" s="17"/>
      <c r="B24" s="212"/>
      <c r="C24" s="211"/>
      <c r="D24" s="211"/>
      <c r="E24" s="211"/>
      <c r="F24" s="211"/>
      <c r="G24" s="176"/>
      <c r="H24" s="176"/>
      <c r="I24" s="138"/>
      <c r="J24" s="111"/>
      <c r="K24" s="111"/>
      <c r="L24" s="22"/>
    </row>
    <row r="25" spans="1:12" ht="11.25" customHeight="1">
      <c r="A25" s="17"/>
      <c r="B25" s="212"/>
      <c r="C25" s="211"/>
      <c r="D25" s="211"/>
      <c r="E25" s="211"/>
      <c r="F25" s="211"/>
      <c r="G25" s="176"/>
      <c r="H25" s="176"/>
      <c r="I25" s="138"/>
      <c r="J25" s="111"/>
      <c r="K25" s="111"/>
      <c r="L25" s="22"/>
    </row>
    <row r="26" spans="1:12" ht="11.25" customHeight="1">
      <c r="A26" s="17"/>
      <c r="B26" s="212"/>
      <c r="C26" s="211"/>
      <c r="D26" s="211"/>
      <c r="E26" s="211"/>
      <c r="F26" s="211"/>
      <c r="G26" s="176"/>
      <c r="H26" s="176"/>
      <c r="I26" s="138"/>
      <c r="J26" s="111"/>
      <c r="K26" s="111"/>
      <c r="L26" s="22"/>
    </row>
    <row r="27" spans="1:12" ht="11.25" customHeight="1">
      <c r="A27" s="17"/>
      <c r="B27" s="212"/>
      <c r="C27" s="211"/>
      <c r="D27" s="211"/>
      <c r="E27" s="211"/>
      <c r="F27" s="211"/>
      <c r="G27" s="176"/>
      <c r="H27" s="176"/>
      <c r="I27" s="138"/>
      <c r="J27" s="111"/>
      <c r="K27" s="111"/>
      <c r="L27" s="22"/>
    </row>
    <row r="28" spans="1:12" ht="11.25" customHeight="1">
      <c r="A28" s="17"/>
      <c r="B28" s="212"/>
      <c r="C28" s="211"/>
      <c r="D28" s="211"/>
      <c r="E28" s="211"/>
      <c r="F28" s="211"/>
      <c r="G28" s="176"/>
      <c r="H28" s="176"/>
      <c r="I28" s="138"/>
      <c r="J28" s="111"/>
      <c r="K28" s="111"/>
      <c r="L28" s="22"/>
    </row>
    <row r="29" spans="1:12" ht="11.25" customHeight="1">
      <c r="A29" s="17"/>
      <c r="B29" s="212"/>
      <c r="C29" s="211"/>
      <c r="D29" s="211"/>
      <c r="E29" s="211"/>
      <c r="F29" s="211"/>
      <c r="G29" s="176"/>
      <c r="H29" s="176"/>
      <c r="I29" s="138"/>
      <c r="J29" s="111"/>
      <c r="K29" s="111"/>
      <c r="L29" s="22"/>
    </row>
    <row r="30" spans="1:12" ht="11.25" customHeight="1">
      <c r="A30" s="17"/>
      <c r="B30" s="212"/>
      <c r="C30" s="211"/>
      <c r="D30" s="211"/>
      <c r="E30" s="211"/>
      <c r="F30" s="211"/>
      <c r="G30" s="176"/>
      <c r="H30" s="176"/>
      <c r="I30" s="138"/>
      <c r="J30" s="111"/>
      <c r="K30" s="111"/>
      <c r="L30" s="22"/>
    </row>
    <row r="31" spans="1:12" ht="23.25" customHeight="1">
      <c r="A31" s="870" t="s">
        <v>403</v>
      </c>
      <c r="B31" s="870"/>
      <c r="C31" s="870"/>
      <c r="D31" s="265"/>
      <c r="E31" s="873" t="s">
        <v>404</v>
      </c>
      <c r="F31" s="873"/>
      <c r="G31" s="873"/>
      <c r="H31" s="873"/>
      <c r="I31" s="873"/>
      <c r="J31" s="873"/>
      <c r="K31" s="25"/>
      <c r="L31" s="22"/>
    </row>
    <row r="32" spans="1:12" ht="11.25" customHeight="1">
      <c r="A32" s="17"/>
      <c r="B32" s="132"/>
      <c r="C32" s="132"/>
      <c r="D32" s="132"/>
      <c r="E32" s="132"/>
      <c r="F32" s="132"/>
      <c r="G32" s="25"/>
      <c r="H32" s="25"/>
      <c r="I32" s="25"/>
      <c r="J32" s="25"/>
      <c r="K32" s="25"/>
      <c r="L32" s="22"/>
    </row>
    <row r="33" spans="1:12" ht="6.75" customHeight="1">
      <c r="A33" s="17"/>
      <c r="B33" s="132"/>
      <c r="C33" s="132"/>
      <c r="D33" s="132"/>
      <c r="E33" s="132"/>
      <c r="F33" s="132"/>
      <c r="G33" s="25"/>
      <c r="H33" s="25"/>
      <c r="I33" s="25"/>
      <c r="J33" s="25"/>
      <c r="K33" s="25"/>
      <c r="L33" s="213"/>
    </row>
    <row r="34" spans="1:12" ht="11.25" customHeight="1">
      <c r="A34" s="872" t="str">
        <f>"ENERGÍA INTERRUMPIDA APROXIMADA POR TIPO DE EQUIPO (MWh)  -  "&amp;UPPER('1. Resumen'!Q4)&amp;" "&amp;'1. Resumen'!Q5</f>
        <v>ENERGÍA INTERRUMPIDA APROXIMADA POR TIPO DE EQUIPO (MWh)  -  MAYO 2022</v>
      </c>
      <c r="B34" s="872"/>
      <c r="C34" s="872"/>
      <c r="D34" s="872"/>
      <c r="E34" s="872"/>
      <c r="F34" s="872"/>
      <c r="G34" s="872"/>
      <c r="H34" s="872"/>
      <c r="I34" s="872"/>
      <c r="J34" s="872"/>
      <c r="K34" s="25"/>
      <c r="L34" s="213"/>
    </row>
    <row r="35" spans="1:12" ht="11.25" customHeight="1">
      <c r="A35" s="17"/>
      <c r="B35" s="132"/>
      <c r="C35" s="132"/>
      <c r="D35" s="132"/>
      <c r="E35" s="132"/>
      <c r="F35" s="132"/>
      <c r="G35" s="25"/>
      <c r="H35" s="25"/>
      <c r="I35" s="25"/>
      <c r="J35" s="25"/>
      <c r="K35" s="25"/>
      <c r="L35" s="213"/>
    </row>
    <row r="36" spans="1:12" ht="11.25" customHeight="1">
      <c r="A36" s="17"/>
      <c r="B36" s="132"/>
      <c r="C36" s="25"/>
      <c r="D36" s="25"/>
      <c r="E36" s="25"/>
      <c r="F36" s="25"/>
      <c r="G36" s="25"/>
      <c r="H36" s="25"/>
      <c r="I36" s="25"/>
      <c r="J36" s="25"/>
      <c r="K36" s="25"/>
      <c r="L36" s="213"/>
    </row>
    <row r="37" spans="1:12" ht="11.25" customHeight="1">
      <c r="A37" s="17"/>
      <c r="B37" s="132"/>
      <c r="C37" s="25"/>
      <c r="D37" s="25"/>
      <c r="E37" s="25"/>
      <c r="F37" s="25"/>
      <c r="G37" s="25"/>
      <c r="H37" s="25"/>
    </row>
    <row r="38" spans="1:12" ht="13.2">
      <c r="A38" s="17"/>
      <c r="B38" s="132"/>
      <c r="J38" s="25"/>
      <c r="K38" s="25"/>
      <c r="L38" s="213"/>
    </row>
    <row r="39" spans="1:12" ht="13.2">
      <c r="A39" s="17"/>
      <c r="B39" s="132"/>
      <c r="J39" s="25"/>
      <c r="K39" s="25"/>
      <c r="L39" s="213"/>
    </row>
    <row r="40" spans="1:12" ht="13.2">
      <c r="A40" s="17"/>
      <c r="B40" s="132"/>
      <c r="J40" s="25"/>
      <c r="K40" s="25"/>
      <c r="L40" s="213"/>
    </row>
    <row r="41" spans="1:12" ht="13.2">
      <c r="A41" s="17"/>
      <c r="B41" s="132"/>
      <c r="J41" s="25"/>
      <c r="K41" s="25"/>
      <c r="L41" s="213"/>
    </row>
    <row r="42" spans="1:12" ht="13.2">
      <c r="A42" s="17"/>
      <c r="B42" s="132"/>
      <c r="J42" s="25"/>
      <c r="K42" s="25"/>
      <c r="L42" s="213"/>
    </row>
    <row r="43" spans="1:12" ht="13.2">
      <c r="A43" s="17"/>
      <c r="B43" s="132"/>
      <c r="C43" s="132"/>
      <c r="D43" s="132"/>
      <c r="E43" s="132"/>
      <c r="F43" s="132"/>
      <c r="G43" s="25"/>
      <c r="H43" s="25"/>
      <c r="I43" s="25"/>
      <c r="J43" s="25"/>
      <c r="K43" s="25"/>
      <c r="L43" s="213"/>
    </row>
    <row r="44" spans="1:12" ht="13.2">
      <c r="A44" s="17"/>
      <c r="B44" s="132"/>
      <c r="C44" s="132"/>
      <c r="D44" s="132"/>
      <c r="E44" s="132"/>
      <c r="F44" s="132"/>
      <c r="G44" s="25"/>
      <c r="H44" s="25"/>
      <c r="I44" s="25"/>
      <c r="J44" s="25"/>
      <c r="K44" s="25"/>
      <c r="L44" s="213"/>
    </row>
    <row r="45" spans="1:12" ht="13.2">
      <c r="A45" s="17"/>
      <c r="B45" s="132"/>
      <c r="C45" s="132"/>
      <c r="D45" s="132"/>
      <c r="E45" s="132"/>
      <c r="F45" s="132"/>
      <c r="G45" s="25"/>
      <c r="H45" s="25"/>
      <c r="I45" s="25"/>
      <c r="J45" s="25"/>
      <c r="K45" s="25"/>
      <c r="L45" s="213"/>
    </row>
    <row r="46" spans="1:12" ht="13.2">
      <c r="A46" s="17"/>
      <c r="B46" s="132"/>
      <c r="C46" s="132"/>
      <c r="D46" s="132"/>
      <c r="E46" s="132"/>
      <c r="F46" s="132"/>
      <c r="G46" s="25"/>
      <c r="H46" s="25"/>
      <c r="I46" s="25"/>
      <c r="J46" s="25"/>
      <c r="K46" s="25"/>
      <c r="L46" s="213"/>
    </row>
    <row r="47" spans="1:12" ht="13.2">
      <c r="A47" s="161"/>
      <c r="B47" s="25"/>
      <c r="C47" s="25"/>
      <c r="D47" s="25"/>
      <c r="E47" s="25"/>
      <c r="F47" s="25"/>
      <c r="G47" s="25"/>
      <c r="H47" s="25"/>
      <c r="I47" s="25"/>
      <c r="J47" s="25"/>
      <c r="K47" s="25"/>
      <c r="L47" s="213"/>
    </row>
    <row r="48" spans="1:12" ht="13.2">
      <c r="A48" s="161"/>
      <c r="B48" s="25"/>
      <c r="C48" s="25"/>
      <c r="D48" s="25"/>
      <c r="E48" s="25"/>
      <c r="F48" s="25"/>
      <c r="G48" s="25"/>
      <c r="H48" s="25"/>
      <c r="I48" s="25"/>
      <c r="J48" s="25"/>
      <c r="K48" s="25"/>
      <c r="L48" s="213"/>
    </row>
    <row r="49" spans="1:12" ht="13.2">
      <c r="A49" s="161"/>
      <c r="B49" s="25"/>
      <c r="C49" s="25"/>
      <c r="D49" s="25"/>
      <c r="E49" s="25"/>
      <c r="F49" s="25"/>
      <c r="G49" s="25"/>
      <c r="H49" s="25"/>
      <c r="I49" s="25"/>
      <c r="J49" s="25"/>
      <c r="K49" s="25"/>
      <c r="L49" s="213"/>
    </row>
    <row r="50" spans="1:12" ht="13.2">
      <c r="A50" s="161"/>
      <c r="B50" s="25"/>
      <c r="C50" s="25"/>
      <c r="D50" s="25"/>
      <c r="E50" s="25"/>
      <c r="F50" s="25"/>
      <c r="G50" s="25"/>
      <c r="H50" s="25"/>
      <c r="I50" s="25"/>
      <c r="J50" s="25"/>
      <c r="K50" s="25"/>
      <c r="L50" s="213"/>
    </row>
    <row r="51" spans="1:12" ht="13.2">
      <c r="A51" s="161"/>
      <c r="B51" s="25"/>
      <c r="C51" s="25"/>
      <c r="D51" s="25"/>
      <c r="E51" s="25"/>
      <c r="F51" s="25"/>
      <c r="G51" s="25"/>
      <c r="H51" s="25"/>
      <c r="I51" s="25"/>
      <c r="J51" s="25"/>
      <c r="K51" s="25"/>
      <c r="L51" s="213"/>
    </row>
    <row r="52" spans="1:12" ht="9" customHeight="1">
      <c r="A52" s="161"/>
      <c r="B52" s="25"/>
      <c r="C52" s="25"/>
      <c r="D52" s="25"/>
      <c r="E52" s="25"/>
      <c r="F52" s="25"/>
      <c r="G52" s="25"/>
      <c r="H52" s="25"/>
      <c r="I52" s="25"/>
      <c r="J52" s="25"/>
      <c r="K52" s="25"/>
      <c r="L52" s="213"/>
    </row>
    <row r="53" spans="1:12" ht="22.2" customHeight="1">
      <c r="A53" s="265" t="str">
        <f>"Gráfico N°26: Comparación de la energía interrumpida aproximada por tipo de equipo en "&amp;'1. Resumen'!Q4&amp;" "&amp;'1. Resumen'!Q5</f>
        <v>Gráfico N°26: Comparación de la energía interrumpida aproximada por tipo de equipo en mayo 2022</v>
      </c>
      <c r="B53" s="25"/>
      <c r="C53" s="25"/>
      <c r="D53" s="25"/>
      <c r="E53" s="25"/>
      <c r="F53" s="25"/>
      <c r="G53" s="25"/>
      <c r="H53" s="25"/>
      <c r="I53" s="25"/>
      <c r="J53" s="25"/>
      <c r="K53" s="25"/>
      <c r="L53" s="213"/>
    </row>
    <row r="54" spans="1:12" ht="15" customHeight="1">
      <c r="B54" s="25"/>
      <c r="C54" s="25"/>
      <c r="D54" s="25"/>
      <c r="E54" s="25"/>
      <c r="F54" s="25"/>
      <c r="G54" s="25"/>
      <c r="H54" s="25"/>
      <c r="I54" s="25"/>
      <c r="J54" s="25"/>
      <c r="K54" s="25"/>
      <c r="L54" s="213"/>
    </row>
    <row r="55" spans="1:12" ht="24" customHeight="1">
      <c r="A55" s="879" t="s">
        <v>207</v>
      </c>
      <c r="B55" s="879"/>
      <c r="C55" s="879"/>
      <c r="D55" s="879"/>
      <c r="E55" s="879"/>
      <c r="F55" s="879"/>
      <c r="G55" s="879"/>
      <c r="H55" s="879"/>
      <c r="I55" s="879"/>
      <c r="J55" s="879"/>
      <c r="K55" s="25"/>
      <c r="L55" s="213"/>
    </row>
    <row r="56" spans="1:12" ht="11.25" customHeight="1">
      <c r="A56" s="869" t="s">
        <v>208</v>
      </c>
      <c r="B56" s="869"/>
      <c r="C56" s="869"/>
      <c r="D56" s="869"/>
      <c r="E56" s="869"/>
      <c r="F56" s="869"/>
      <c r="G56" s="869"/>
      <c r="H56" s="869"/>
      <c r="I56" s="869"/>
      <c r="J56" s="869"/>
      <c r="K56" s="25"/>
      <c r="L56" s="213"/>
    </row>
    <row r="57" spans="1:12" ht="13.2">
      <c r="A57" s="161"/>
      <c r="B57" s="25"/>
      <c r="C57" s="25"/>
      <c r="D57" s="25"/>
      <c r="E57" s="25"/>
      <c r="F57" s="25"/>
      <c r="G57" s="25"/>
      <c r="H57" s="25"/>
      <c r="I57" s="25"/>
      <c r="J57" s="25"/>
      <c r="K57" s="25"/>
      <c r="L57" s="213"/>
    </row>
    <row r="58" spans="1:12" ht="13.2">
      <c r="A58" s="161"/>
      <c r="B58" s="25"/>
      <c r="C58" s="25"/>
      <c r="D58" s="25"/>
      <c r="E58" s="25"/>
      <c r="F58" s="25"/>
      <c r="G58" s="25"/>
      <c r="H58" s="25"/>
      <c r="I58" s="25"/>
      <c r="J58" s="25"/>
      <c r="K58" s="25"/>
      <c r="L58" s="213"/>
    </row>
    <row r="59" spans="1:12" ht="13.2">
      <c r="A59" s="161"/>
      <c r="B59" s="25"/>
      <c r="C59" s="25"/>
      <c r="D59" s="25"/>
      <c r="E59" s="25"/>
      <c r="F59" s="25"/>
      <c r="G59" s="25"/>
      <c r="H59" s="25"/>
      <c r="I59" s="25"/>
      <c r="J59" s="25"/>
      <c r="K59" s="25"/>
      <c r="L59" s="213"/>
    </row>
    <row r="60" spans="1:12" ht="13.2">
      <c r="A60" s="161"/>
      <c r="B60" s="25"/>
      <c r="C60" s="25"/>
      <c r="D60" s="25"/>
      <c r="E60" s="25"/>
      <c r="F60" s="25"/>
      <c r="G60" s="25"/>
      <c r="H60" s="25"/>
      <c r="I60" s="25"/>
      <c r="J60" s="25"/>
      <c r="K60" s="25"/>
      <c r="L60" s="213"/>
    </row>
    <row r="61" spans="1:12" ht="13.2">
      <c r="A61" s="161"/>
      <c r="B61" s="25"/>
      <c r="C61" s="25"/>
      <c r="D61" s="25"/>
      <c r="E61" s="25"/>
      <c r="F61" s="25"/>
      <c r="G61" s="25"/>
      <c r="H61" s="25"/>
      <c r="I61" s="25"/>
      <c r="J61" s="25"/>
      <c r="K61" s="25"/>
      <c r="L61" s="213"/>
    </row>
    <row r="62" spans="1:12" ht="13.2">
      <c r="A62" s="161"/>
      <c r="B62" s="25"/>
      <c r="C62" s="25"/>
      <c r="D62" s="25"/>
      <c r="E62" s="25"/>
      <c r="F62" s="25"/>
      <c r="G62" s="25"/>
      <c r="H62" s="25"/>
      <c r="I62" s="25"/>
      <c r="J62" s="25"/>
      <c r="K62" s="25"/>
      <c r="L62" s="213"/>
    </row>
    <row r="63" spans="1:12" ht="13.2">
      <c r="A63" s="161"/>
      <c r="B63" s="25"/>
      <c r="C63" s="25"/>
      <c r="D63" s="25"/>
      <c r="E63" s="25"/>
      <c r="F63" s="25"/>
      <c r="G63" s="25"/>
      <c r="H63" s="25"/>
      <c r="I63" s="25"/>
      <c r="J63" s="25"/>
      <c r="K63" s="25"/>
      <c r="L63" s="213"/>
    </row>
    <row r="64" spans="1:12" ht="13.2">
      <c r="A64" s="161"/>
      <c r="B64" s="25"/>
      <c r="C64" s="25"/>
      <c r="D64" s="25"/>
      <c r="E64" s="25"/>
      <c r="F64" s="25"/>
      <c r="G64" s="25"/>
      <c r="H64" s="25"/>
      <c r="I64" s="25"/>
      <c r="J64" s="25"/>
      <c r="K64" s="25"/>
      <c r="L64" s="213"/>
    </row>
    <row r="65" spans="1:12" ht="13.2">
      <c r="A65" s="161"/>
      <c r="B65" s="25"/>
      <c r="C65" s="25"/>
      <c r="D65" s="25"/>
      <c r="E65" s="25"/>
      <c r="F65" s="25"/>
      <c r="G65" s="25"/>
      <c r="H65" s="25"/>
      <c r="I65" s="25"/>
      <c r="J65" s="25"/>
      <c r="K65" s="25"/>
      <c r="L65" s="213"/>
    </row>
    <row r="66" spans="1:12" ht="13.2">
      <c r="A66" s="161"/>
      <c r="B66" s="25"/>
      <c r="C66" s="25"/>
      <c r="D66" s="25"/>
      <c r="E66" s="25"/>
      <c r="F66" s="25"/>
      <c r="G66" s="25"/>
      <c r="H66" s="25"/>
      <c r="I66" s="25"/>
      <c r="J66" s="25"/>
      <c r="K66" s="25"/>
      <c r="L66" s="213"/>
    </row>
    <row r="67" spans="1:12" ht="13.2">
      <c r="A67" s="161"/>
      <c r="B67" s="25"/>
      <c r="J67" s="25"/>
      <c r="K67" s="25"/>
      <c r="L67" s="213"/>
    </row>
    <row r="68" spans="1:12" ht="13.2">
      <c r="A68" s="161"/>
      <c r="B68" s="25"/>
      <c r="J68" s="25"/>
      <c r="K68" s="25"/>
      <c r="L68" s="213"/>
    </row>
    <row r="69" spans="1:12" ht="13.2">
      <c r="A69" s="161"/>
      <c r="B69" s="25"/>
      <c r="J69" s="25"/>
      <c r="K69" s="25"/>
      <c r="L69" s="213"/>
    </row>
    <row r="70" spans="1:12" ht="13.2">
      <c r="A70" s="161"/>
      <c r="B70" s="25"/>
      <c r="J70" s="25"/>
      <c r="K70" s="25"/>
      <c r="L70" s="213"/>
    </row>
    <row r="71" spans="1:12">
      <c r="B71" s="213"/>
      <c r="C71" s="213"/>
      <c r="D71" s="213"/>
      <c r="E71" s="213"/>
      <c r="F71" s="213"/>
      <c r="G71" s="213"/>
      <c r="H71" s="213"/>
      <c r="I71" s="213"/>
      <c r="J71" s="213"/>
      <c r="K71" s="213"/>
      <c r="L71" s="213"/>
    </row>
    <row r="72" spans="1:12">
      <c r="B72" s="213"/>
      <c r="C72" s="213"/>
      <c r="D72" s="213"/>
      <c r="E72" s="213"/>
      <c r="F72" s="213"/>
      <c r="G72" s="213"/>
      <c r="H72" s="213"/>
      <c r="I72" s="213"/>
      <c r="J72" s="213"/>
      <c r="K72" s="213"/>
      <c r="L72" s="213"/>
    </row>
    <row r="73" spans="1:12">
      <c r="B73" s="213"/>
      <c r="C73" s="213"/>
      <c r="D73" s="213"/>
      <c r="E73" s="213"/>
      <c r="F73" s="213"/>
      <c r="G73" s="213"/>
      <c r="H73" s="213"/>
      <c r="I73" s="213"/>
      <c r="J73" s="213"/>
      <c r="K73" s="213"/>
      <c r="L73" s="213"/>
    </row>
    <row r="74" spans="1:12">
      <c r="B74" s="213"/>
      <c r="C74" s="213"/>
      <c r="D74" s="213"/>
      <c r="E74" s="213"/>
      <c r="F74" s="213"/>
      <c r="G74" s="213"/>
      <c r="H74" s="213"/>
      <c r="I74" s="213"/>
      <c r="J74" s="213"/>
      <c r="K74" s="213"/>
      <c r="L74" s="213"/>
    </row>
    <row r="75" spans="1:12">
      <c r="B75" s="213"/>
      <c r="C75" s="213"/>
      <c r="D75" s="213"/>
      <c r="E75" s="213"/>
      <c r="F75" s="213"/>
      <c r="G75" s="213"/>
      <c r="H75" s="213"/>
      <c r="I75" s="213"/>
      <c r="J75" s="213"/>
      <c r="K75" s="213"/>
      <c r="L75" s="213"/>
    </row>
    <row r="76" spans="1:12">
      <c r="B76" s="213"/>
      <c r="C76" s="213"/>
      <c r="D76" s="213"/>
      <c r="E76" s="213"/>
      <c r="F76" s="213"/>
      <c r="G76" s="213"/>
      <c r="H76" s="213"/>
      <c r="I76" s="213"/>
      <c r="J76" s="213"/>
      <c r="K76" s="213"/>
      <c r="L76" s="213"/>
    </row>
    <row r="77" spans="1:12">
      <c r="B77" s="213"/>
      <c r="C77" s="213"/>
      <c r="D77" s="213"/>
      <c r="E77" s="213"/>
      <c r="F77" s="213"/>
      <c r="G77" s="213"/>
      <c r="H77" s="213"/>
      <c r="I77" s="213"/>
      <c r="J77" s="213"/>
      <c r="K77" s="213"/>
      <c r="L77" s="213"/>
    </row>
    <row r="78" spans="1:12">
      <c r="B78" s="213"/>
      <c r="C78" s="213"/>
      <c r="D78" s="213"/>
      <c r="E78" s="213"/>
      <c r="F78" s="213"/>
      <c r="G78" s="213"/>
      <c r="H78" s="213"/>
      <c r="I78" s="213"/>
      <c r="J78" s="213"/>
      <c r="K78" s="213"/>
      <c r="L78" s="213"/>
    </row>
    <row r="79" spans="1:12">
      <c r="B79" s="213"/>
      <c r="C79" s="213"/>
      <c r="D79" s="213"/>
      <c r="E79" s="213"/>
      <c r="F79" s="213"/>
      <c r="G79" s="213"/>
      <c r="H79" s="213"/>
      <c r="I79" s="213"/>
      <c r="J79" s="213"/>
      <c r="K79" s="213"/>
      <c r="L79" s="213"/>
    </row>
    <row r="80" spans="1:12">
      <c r="B80" s="213"/>
      <c r="C80" s="213"/>
      <c r="D80" s="213"/>
      <c r="E80" s="213"/>
      <c r="F80" s="213"/>
      <c r="G80" s="213"/>
      <c r="H80" s="213"/>
      <c r="I80" s="213"/>
      <c r="J80" s="213"/>
      <c r="K80" s="213"/>
      <c r="L80" s="213"/>
    </row>
    <row r="81" spans="2:12">
      <c r="B81" s="213"/>
      <c r="C81" s="213"/>
      <c r="D81" s="213"/>
      <c r="E81" s="213"/>
      <c r="F81" s="213"/>
      <c r="G81" s="213"/>
      <c r="H81" s="213"/>
      <c r="I81" s="213"/>
      <c r="J81" s="213"/>
      <c r="K81" s="213"/>
      <c r="L81" s="213"/>
    </row>
    <row r="82" spans="2:12">
      <c r="B82" s="213"/>
      <c r="C82" s="213"/>
      <c r="D82" s="213"/>
      <c r="E82" s="213"/>
      <c r="F82" s="213"/>
      <c r="G82" s="213"/>
      <c r="H82" s="213"/>
      <c r="I82" s="213"/>
      <c r="J82" s="213"/>
      <c r="K82" s="213"/>
      <c r="L82" s="213"/>
    </row>
    <row r="83" spans="2:12">
      <c r="B83" s="213"/>
      <c r="C83" s="213"/>
      <c r="D83" s="213"/>
      <c r="E83" s="213"/>
      <c r="F83" s="213"/>
      <c r="G83" s="213"/>
      <c r="H83" s="213"/>
      <c r="I83" s="213"/>
      <c r="J83" s="213"/>
      <c r="K83" s="213"/>
      <c r="L83" s="213"/>
    </row>
    <row r="84" spans="2:12">
      <c r="B84" s="213"/>
      <c r="C84" s="213"/>
      <c r="D84" s="213"/>
      <c r="E84" s="213"/>
      <c r="F84" s="213"/>
      <c r="G84" s="213"/>
      <c r="H84" s="213"/>
      <c r="I84" s="213"/>
      <c r="J84" s="213"/>
      <c r="K84" s="213"/>
      <c r="L84" s="213"/>
    </row>
    <row r="85" spans="2:12">
      <c r="B85" s="213"/>
      <c r="C85" s="213"/>
      <c r="D85" s="213"/>
      <c r="E85" s="213"/>
      <c r="F85" s="213"/>
      <c r="G85" s="213"/>
      <c r="H85" s="213"/>
      <c r="I85" s="213"/>
      <c r="J85" s="213"/>
      <c r="K85" s="213"/>
      <c r="L85" s="213"/>
    </row>
    <row r="86" spans="2:12">
      <c r="B86" s="213"/>
      <c r="C86" s="213"/>
      <c r="D86" s="213"/>
      <c r="E86" s="213"/>
      <c r="F86" s="213"/>
      <c r="G86" s="213"/>
      <c r="H86" s="213"/>
      <c r="I86" s="213"/>
      <c r="J86" s="213"/>
      <c r="K86" s="213"/>
      <c r="L86" s="213"/>
    </row>
    <row r="87" spans="2:12">
      <c r="B87" s="213"/>
      <c r="C87" s="213"/>
      <c r="D87" s="213"/>
      <c r="E87" s="213"/>
      <c r="F87" s="213"/>
      <c r="G87" s="213"/>
      <c r="H87" s="213"/>
      <c r="I87" s="213"/>
      <c r="J87" s="213"/>
      <c r="K87" s="213"/>
      <c r="L87" s="213"/>
    </row>
    <row r="88" spans="2:12">
      <c r="B88" s="213"/>
      <c r="C88" s="213"/>
      <c r="D88" s="213"/>
      <c r="E88" s="213"/>
      <c r="F88" s="213"/>
      <c r="G88" s="213"/>
      <c r="H88" s="213"/>
      <c r="I88" s="213"/>
      <c r="J88" s="213"/>
      <c r="K88" s="213"/>
      <c r="L88" s="213"/>
    </row>
    <row r="89" spans="2:12">
      <c r="B89" s="213"/>
      <c r="C89" s="213"/>
      <c r="D89" s="213"/>
      <c r="E89" s="213"/>
      <c r="F89" s="213"/>
      <c r="G89" s="213"/>
      <c r="H89" s="213"/>
      <c r="I89" s="213"/>
      <c r="J89" s="213"/>
      <c r="K89" s="213"/>
      <c r="L89" s="213"/>
    </row>
    <row r="90" spans="2:12">
      <c r="B90" s="213"/>
      <c r="C90" s="213"/>
      <c r="D90" s="213"/>
      <c r="E90" s="213"/>
      <c r="F90" s="213"/>
      <c r="G90" s="213"/>
      <c r="H90" s="213"/>
      <c r="I90" s="213"/>
      <c r="J90" s="213"/>
      <c r="K90" s="213"/>
      <c r="L90" s="213"/>
    </row>
    <row r="91" spans="2:12">
      <c r="B91" s="213"/>
      <c r="C91" s="213"/>
      <c r="D91" s="213"/>
      <c r="E91" s="213"/>
      <c r="F91" s="213"/>
      <c r="G91" s="213"/>
      <c r="H91" s="213"/>
      <c r="I91" s="213"/>
      <c r="J91" s="213"/>
      <c r="K91" s="213"/>
      <c r="L91" s="213"/>
    </row>
    <row r="92" spans="2:12">
      <c r="B92" s="213"/>
      <c r="C92" s="213"/>
      <c r="D92" s="213"/>
      <c r="E92" s="213"/>
      <c r="F92" s="213"/>
      <c r="G92" s="213"/>
      <c r="H92" s="213"/>
      <c r="I92" s="213"/>
      <c r="J92" s="213"/>
      <c r="K92" s="213"/>
      <c r="L92" s="213"/>
    </row>
    <row r="93" spans="2:12">
      <c r="B93" s="213"/>
      <c r="C93" s="213"/>
      <c r="D93" s="213"/>
      <c r="E93" s="213"/>
      <c r="F93" s="213"/>
      <c r="G93" s="213"/>
      <c r="H93" s="213"/>
      <c r="I93" s="213"/>
      <c r="J93" s="213"/>
      <c r="K93" s="213"/>
      <c r="L93" s="213"/>
    </row>
    <row r="94" spans="2:12">
      <c r="B94" s="213"/>
      <c r="C94" s="213"/>
      <c r="D94" s="213"/>
      <c r="E94" s="213"/>
      <c r="F94" s="213"/>
      <c r="G94" s="213"/>
      <c r="H94" s="213"/>
      <c r="I94" s="213"/>
      <c r="J94" s="213"/>
      <c r="K94" s="213"/>
      <c r="L94" s="213"/>
    </row>
    <row r="95" spans="2:12">
      <c r="B95" s="213"/>
      <c r="C95" s="213"/>
      <c r="D95" s="213"/>
      <c r="E95" s="213"/>
      <c r="F95" s="213"/>
      <c r="G95" s="213"/>
      <c r="H95" s="213"/>
      <c r="I95" s="213"/>
      <c r="J95" s="213"/>
      <c r="K95" s="213"/>
      <c r="L95" s="213"/>
    </row>
    <row r="96" spans="2:12">
      <c r="B96" s="213"/>
      <c r="C96" s="213"/>
      <c r="D96" s="213"/>
      <c r="E96" s="213"/>
      <c r="F96" s="213"/>
      <c r="G96" s="213"/>
      <c r="H96" s="213"/>
      <c r="I96" s="213"/>
      <c r="J96" s="213"/>
      <c r="K96" s="213"/>
      <c r="L96" s="213"/>
    </row>
    <row r="97" spans="2:12">
      <c r="B97" s="213"/>
      <c r="C97" s="213"/>
      <c r="D97" s="213"/>
      <c r="E97" s="213"/>
      <c r="F97" s="213"/>
      <c r="G97" s="213"/>
      <c r="H97" s="213"/>
      <c r="I97" s="213"/>
      <c r="J97" s="213"/>
      <c r="K97" s="213"/>
      <c r="L97" s="213"/>
    </row>
    <row r="98" spans="2:12">
      <c r="B98" s="213"/>
      <c r="C98" s="213"/>
      <c r="D98" s="213"/>
      <c r="E98" s="213"/>
      <c r="F98" s="213"/>
      <c r="G98" s="213"/>
      <c r="H98" s="213"/>
      <c r="I98" s="213"/>
      <c r="J98" s="213"/>
      <c r="K98" s="213"/>
      <c r="L98" s="213"/>
    </row>
    <row r="99" spans="2:12">
      <c r="B99" s="213"/>
      <c r="C99" s="213"/>
      <c r="D99" s="213"/>
      <c r="E99" s="213"/>
      <c r="F99" s="213"/>
      <c r="G99" s="213"/>
      <c r="H99" s="213"/>
      <c r="I99" s="213"/>
      <c r="J99" s="213"/>
      <c r="K99" s="213"/>
      <c r="L99" s="213"/>
    </row>
    <row r="100" spans="2:12">
      <c r="B100" s="213"/>
      <c r="C100" s="213"/>
      <c r="D100" s="213"/>
      <c r="E100" s="213"/>
      <c r="F100" s="213"/>
      <c r="G100" s="213"/>
      <c r="H100" s="213"/>
      <c r="I100" s="213"/>
      <c r="J100" s="213"/>
      <c r="K100" s="213"/>
      <c r="L100" s="213"/>
    </row>
    <row r="101" spans="2:12">
      <c r="B101" s="213"/>
      <c r="C101" s="213"/>
      <c r="D101" s="213"/>
      <c r="E101" s="213"/>
      <c r="F101" s="213"/>
      <c r="G101" s="213"/>
      <c r="H101" s="213"/>
      <c r="I101" s="213"/>
      <c r="J101" s="213"/>
      <c r="K101" s="213"/>
      <c r="L101" s="213"/>
    </row>
    <row r="102" spans="2:12">
      <c r="B102" s="213"/>
      <c r="C102" s="213"/>
      <c r="D102" s="213"/>
      <c r="E102" s="213"/>
      <c r="F102" s="213"/>
      <c r="G102" s="213"/>
      <c r="H102" s="213"/>
      <c r="I102" s="213"/>
      <c r="J102" s="213"/>
      <c r="K102" s="213"/>
      <c r="L102" s="213"/>
    </row>
    <row r="103" spans="2:12">
      <c r="B103" s="213"/>
      <c r="C103" s="213"/>
      <c r="D103" s="213"/>
      <c r="E103" s="213"/>
      <c r="F103" s="213"/>
      <c r="G103" s="213"/>
      <c r="H103" s="213"/>
      <c r="I103" s="213"/>
      <c r="J103" s="213"/>
      <c r="K103" s="213"/>
      <c r="L103" s="213"/>
    </row>
    <row r="104" spans="2:12">
      <c r="B104" s="213"/>
      <c r="C104" s="213"/>
      <c r="D104" s="213"/>
      <c r="E104" s="213"/>
      <c r="F104" s="213"/>
      <c r="G104" s="213"/>
      <c r="H104" s="213"/>
      <c r="I104" s="213"/>
      <c r="J104" s="213"/>
      <c r="K104" s="213"/>
      <c r="L104" s="213"/>
    </row>
    <row r="105" spans="2:12">
      <c r="B105" s="213"/>
      <c r="C105" s="213"/>
      <c r="D105" s="213"/>
      <c r="E105" s="213"/>
      <c r="F105" s="213"/>
      <c r="G105" s="213"/>
      <c r="H105" s="213"/>
      <c r="I105" s="213"/>
      <c r="J105" s="213"/>
      <c r="K105" s="213"/>
      <c r="L105" s="213"/>
    </row>
    <row r="106" spans="2:12">
      <c r="B106" s="213"/>
      <c r="C106" s="213"/>
      <c r="D106" s="213"/>
      <c r="E106" s="213"/>
      <c r="F106" s="213"/>
      <c r="G106" s="213"/>
      <c r="H106" s="213"/>
      <c r="I106" s="213"/>
      <c r="J106" s="213"/>
      <c r="K106" s="213"/>
      <c r="L106" s="213"/>
    </row>
    <row r="107" spans="2:12">
      <c r="B107" s="213"/>
      <c r="C107" s="213"/>
      <c r="D107" s="213"/>
      <c r="E107" s="213"/>
      <c r="F107" s="213"/>
      <c r="G107" s="213"/>
      <c r="H107" s="213"/>
      <c r="I107" s="213"/>
      <c r="J107" s="213"/>
      <c r="K107" s="213"/>
      <c r="L107" s="213"/>
    </row>
    <row r="108" spans="2:12">
      <c r="B108" s="213"/>
      <c r="C108" s="213"/>
      <c r="D108" s="213"/>
      <c r="E108" s="213"/>
      <c r="F108" s="213"/>
      <c r="G108" s="213"/>
      <c r="H108" s="213"/>
      <c r="I108" s="213"/>
      <c r="J108" s="213"/>
      <c r="K108" s="213"/>
      <c r="L108" s="213"/>
    </row>
    <row r="109" spans="2:12">
      <c r="B109" s="213"/>
      <c r="C109" s="213"/>
      <c r="D109" s="213"/>
      <c r="E109" s="213"/>
      <c r="F109" s="213"/>
      <c r="G109" s="213"/>
      <c r="H109" s="213"/>
      <c r="I109" s="213"/>
      <c r="J109" s="213"/>
      <c r="K109" s="213"/>
      <c r="L109" s="213"/>
    </row>
    <row r="110" spans="2:12">
      <c r="B110" s="213"/>
      <c r="C110" s="213"/>
      <c r="D110" s="213"/>
      <c r="E110" s="213"/>
      <c r="F110" s="213"/>
      <c r="G110" s="213"/>
      <c r="H110" s="213"/>
      <c r="I110" s="213"/>
      <c r="J110" s="213"/>
      <c r="K110" s="213"/>
      <c r="L110" s="213"/>
    </row>
    <row r="111" spans="2:12">
      <c r="B111" s="213"/>
      <c r="C111" s="213"/>
      <c r="D111" s="213"/>
      <c r="E111" s="213"/>
      <c r="F111" s="213"/>
      <c r="G111" s="213"/>
      <c r="H111" s="213"/>
      <c r="I111" s="213"/>
      <c r="J111" s="213"/>
      <c r="K111" s="213"/>
      <c r="L111" s="213"/>
    </row>
    <row r="112" spans="2:12">
      <c r="B112" s="213"/>
      <c r="C112" s="213"/>
      <c r="D112" s="213"/>
      <c r="E112" s="213"/>
      <c r="F112" s="213"/>
      <c r="G112" s="213"/>
      <c r="H112" s="213"/>
      <c r="I112" s="213"/>
      <c r="J112" s="213"/>
      <c r="K112" s="213"/>
      <c r="L112" s="213"/>
    </row>
    <row r="113" spans="2:12">
      <c r="B113" s="213"/>
      <c r="C113" s="213"/>
      <c r="D113" s="213"/>
      <c r="E113" s="213"/>
      <c r="F113" s="213"/>
      <c r="G113" s="213"/>
      <c r="H113" s="213"/>
      <c r="I113" s="213"/>
      <c r="J113" s="213"/>
      <c r="K113" s="213"/>
      <c r="L113" s="213"/>
    </row>
    <row r="114" spans="2:12">
      <c r="B114" s="213"/>
      <c r="C114" s="213"/>
      <c r="D114" s="213"/>
      <c r="E114" s="213"/>
      <c r="F114" s="213"/>
      <c r="G114" s="213"/>
      <c r="H114" s="213"/>
      <c r="I114" s="213"/>
      <c r="J114" s="213"/>
      <c r="K114" s="213"/>
      <c r="L114" s="213"/>
    </row>
    <row r="115" spans="2:12">
      <c r="B115" s="213"/>
      <c r="C115" s="213"/>
      <c r="D115" s="213"/>
      <c r="E115" s="213"/>
      <c r="F115" s="213"/>
      <c r="G115" s="213"/>
      <c r="H115" s="213"/>
      <c r="I115" s="213"/>
      <c r="J115" s="213"/>
      <c r="K115" s="213"/>
      <c r="L115" s="213"/>
    </row>
    <row r="116" spans="2:12">
      <c r="B116" s="213"/>
      <c r="C116" s="213"/>
      <c r="D116" s="213"/>
      <c r="E116" s="213"/>
      <c r="F116" s="213"/>
      <c r="G116" s="213"/>
      <c r="H116" s="213"/>
      <c r="I116" s="213"/>
      <c r="J116" s="213"/>
      <c r="K116" s="213"/>
      <c r="L116" s="213"/>
    </row>
    <row r="117" spans="2:12">
      <c r="B117" s="213"/>
      <c r="C117" s="213"/>
      <c r="D117" s="213"/>
      <c r="E117" s="213"/>
      <c r="F117" s="213"/>
      <c r="G117" s="213"/>
      <c r="H117" s="213"/>
      <c r="I117" s="213"/>
      <c r="J117" s="213"/>
      <c r="K117" s="213"/>
      <c r="L117" s="213"/>
    </row>
    <row r="118" spans="2:12">
      <c r="B118" s="213"/>
      <c r="C118" s="213"/>
      <c r="D118" s="213"/>
      <c r="E118" s="213"/>
      <c r="F118" s="213"/>
      <c r="G118" s="213"/>
      <c r="H118" s="213"/>
      <c r="I118" s="213"/>
      <c r="J118" s="213"/>
      <c r="K118" s="213"/>
      <c r="L118" s="213"/>
    </row>
    <row r="119" spans="2:12">
      <c r="B119" s="213"/>
      <c r="C119" s="213"/>
      <c r="D119" s="213"/>
      <c r="E119" s="213"/>
      <c r="F119" s="213"/>
      <c r="G119" s="213"/>
      <c r="H119" s="213"/>
      <c r="I119" s="213"/>
      <c r="J119" s="213"/>
      <c r="K119" s="213"/>
      <c r="L119" s="213"/>
    </row>
    <row r="120" spans="2:12">
      <c r="B120" s="213"/>
      <c r="C120" s="213"/>
      <c r="D120" s="213"/>
      <c r="E120" s="213"/>
      <c r="F120" s="213"/>
      <c r="G120" s="213"/>
      <c r="H120" s="213"/>
      <c r="I120" s="213"/>
      <c r="J120" s="213"/>
      <c r="K120" s="213"/>
      <c r="L120" s="213"/>
    </row>
    <row r="121" spans="2:12">
      <c r="B121" s="213"/>
      <c r="C121" s="213"/>
      <c r="D121" s="213"/>
      <c r="E121" s="213"/>
      <c r="F121" s="213"/>
      <c r="G121" s="213"/>
      <c r="H121" s="213"/>
      <c r="I121" s="213"/>
      <c r="J121" s="213"/>
      <c r="K121" s="213"/>
      <c r="L121" s="213"/>
    </row>
    <row r="122" spans="2:12">
      <c r="B122" s="213"/>
      <c r="C122" s="213"/>
      <c r="D122" s="213"/>
      <c r="E122" s="213"/>
      <c r="F122" s="213"/>
      <c r="G122" s="213"/>
      <c r="H122" s="213"/>
      <c r="I122" s="213"/>
      <c r="J122" s="213"/>
      <c r="K122" s="213"/>
      <c r="L122" s="213"/>
    </row>
    <row r="123" spans="2:12">
      <c r="B123" s="213"/>
      <c r="C123" s="213"/>
      <c r="D123" s="213"/>
      <c r="E123" s="213"/>
      <c r="F123" s="213"/>
      <c r="G123" s="213"/>
      <c r="H123" s="213"/>
      <c r="I123" s="213"/>
      <c r="J123" s="213"/>
      <c r="K123" s="213"/>
      <c r="L123" s="213"/>
    </row>
    <row r="124" spans="2:12">
      <c r="B124" s="213"/>
      <c r="C124" s="213"/>
      <c r="D124" s="213"/>
      <c r="E124" s="213"/>
      <c r="F124" s="213"/>
      <c r="G124" s="213"/>
      <c r="H124" s="213"/>
      <c r="I124" s="213"/>
      <c r="J124" s="213"/>
      <c r="K124" s="213"/>
      <c r="L124" s="213"/>
    </row>
    <row r="125" spans="2:12">
      <c r="B125" s="213"/>
      <c r="C125" s="213"/>
      <c r="D125" s="213"/>
      <c r="E125" s="213"/>
      <c r="F125" s="213"/>
      <c r="G125" s="213"/>
      <c r="H125" s="213"/>
      <c r="I125" s="213"/>
      <c r="J125" s="213"/>
      <c r="K125" s="213"/>
      <c r="L125" s="213"/>
    </row>
    <row r="126" spans="2:12">
      <c r="B126" s="213"/>
      <c r="C126" s="213"/>
      <c r="D126" s="213"/>
      <c r="E126" s="213"/>
      <c r="F126" s="213"/>
      <c r="G126" s="213"/>
      <c r="H126" s="213"/>
      <c r="I126" s="213"/>
      <c r="J126" s="213"/>
      <c r="K126" s="213"/>
      <c r="L126" s="213"/>
    </row>
    <row r="127" spans="2:12">
      <c r="B127" s="213"/>
      <c r="C127" s="213"/>
      <c r="D127" s="213"/>
      <c r="E127" s="213"/>
      <c r="F127" s="213"/>
      <c r="G127" s="213"/>
      <c r="H127" s="213"/>
      <c r="I127" s="213"/>
      <c r="J127" s="213"/>
      <c r="K127" s="213"/>
      <c r="L127" s="213"/>
    </row>
    <row r="128" spans="2:12">
      <c r="B128" s="213"/>
      <c r="C128" s="213"/>
      <c r="D128" s="213"/>
      <c r="E128" s="213"/>
      <c r="F128" s="213"/>
      <c r="G128" s="213"/>
      <c r="H128" s="213"/>
      <c r="I128" s="213"/>
      <c r="J128" s="213"/>
      <c r="K128" s="213"/>
      <c r="L128" s="213"/>
    </row>
    <row r="129" spans="2:12">
      <c r="B129" s="213"/>
      <c r="C129" s="213"/>
      <c r="D129" s="213"/>
      <c r="E129" s="213"/>
      <c r="F129" s="213"/>
      <c r="G129" s="213"/>
      <c r="H129" s="213"/>
      <c r="I129" s="213"/>
      <c r="J129" s="213"/>
      <c r="K129" s="213"/>
      <c r="L129" s="213"/>
    </row>
    <row r="130" spans="2:12">
      <c r="B130" s="213"/>
      <c r="C130" s="213"/>
      <c r="D130" s="213"/>
      <c r="E130" s="213"/>
      <c r="F130" s="213"/>
      <c r="G130" s="213"/>
      <c r="H130" s="213"/>
      <c r="I130" s="213"/>
      <c r="J130" s="213"/>
      <c r="K130" s="213"/>
      <c r="L130" s="213"/>
    </row>
    <row r="131" spans="2:12">
      <c r="B131" s="213"/>
      <c r="C131" s="213"/>
      <c r="D131" s="213"/>
      <c r="E131" s="213"/>
      <c r="F131" s="213"/>
      <c r="G131" s="213"/>
      <c r="H131" s="213"/>
      <c r="I131" s="213"/>
      <c r="J131" s="213"/>
      <c r="K131" s="213"/>
      <c r="L131" s="213"/>
    </row>
    <row r="132" spans="2:12">
      <c r="B132" s="213"/>
      <c r="C132" s="213"/>
      <c r="D132" s="213"/>
      <c r="E132" s="213"/>
      <c r="F132" s="213"/>
      <c r="G132" s="213"/>
      <c r="H132" s="213"/>
      <c r="I132" s="213"/>
      <c r="J132" s="213"/>
      <c r="K132" s="213"/>
      <c r="L132" s="213"/>
    </row>
    <row r="133" spans="2:12">
      <c r="B133" s="213"/>
      <c r="C133" s="213"/>
      <c r="D133" s="213"/>
      <c r="E133" s="213"/>
      <c r="F133" s="213"/>
      <c r="G133" s="213"/>
      <c r="H133" s="213"/>
      <c r="I133" s="213"/>
      <c r="J133" s="213"/>
      <c r="K133" s="213"/>
      <c r="L133" s="213"/>
    </row>
    <row r="134" spans="2:12">
      <c r="B134" s="213"/>
      <c r="C134" s="213"/>
      <c r="D134" s="213"/>
      <c r="E134" s="213"/>
      <c r="F134" s="213"/>
      <c r="G134" s="213"/>
      <c r="H134" s="213"/>
      <c r="I134" s="213"/>
      <c r="J134" s="213"/>
      <c r="K134" s="213"/>
      <c r="L134" s="213"/>
    </row>
    <row r="135" spans="2:12">
      <c r="B135" s="213"/>
      <c r="C135" s="213"/>
      <c r="D135" s="213"/>
      <c r="E135" s="213"/>
      <c r="F135" s="213"/>
      <c r="G135" s="213"/>
      <c r="H135" s="213"/>
      <c r="I135" s="213"/>
      <c r="J135" s="213"/>
      <c r="K135" s="213"/>
      <c r="L135" s="213"/>
    </row>
    <row r="136" spans="2:12">
      <c r="B136" s="213"/>
      <c r="C136" s="213"/>
      <c r="D136" s="213"/>
      <c r="E136" s="213"/>
      <c r="F136" s="213"/>
      <c r="G136" s="213"/>
      <c r="H136" s="213"/>
      <c r="I136" s="213"/>
      <c r="J136" s="213"/>
      <c r="K136" s="213"/>
      <c r="L136" s="213"/>
    </row>
    <row r="137" spans="2:12">
      <c r="B137" s="213"/>
      <c r="C137" s="213"/>
      <c r="D137" s="213"/>
      <c r="E137" s="213"/>
      <c r="F137" s="213"/>
      <c r="G137" s="213"/>
      <c r="H137" s="213"/>
      <c r="I137" s="213"/>
      <c r="J137" s="213"/>
      <c r="K137" s="213"/>
      <c r="L137" s="213"/>
    </row>
    <row r="138" spans="2:12">
      <c r="B138" s="213"/>
      <c r="C138" s="213"/>
      <c r="D138" s="213"/>
      <c r="E138" s="213"/>
      <c r="F138" s="213"/>
      <c r="G138" s="213"/>
      <c r="H138" s="213"/>
      <c r="I138" s="213"/>
      <c r="J138" s="213"/>
      <c r="K138" s="213"/>
      <c r="L138" s="213"/>
    </row>
    <row r="139" spans="2:12">
      <c r="B139" s="213"/>
      <c r="C139" s="213"/>
      <c r="D139" s="213"/>
      <c r="E139" s="213"/>
      <c r="F139" s="213"/>
      <c r="G139" s="213"/>
      <c r="H139" s="213"/>
      <c r="I139" s="213"/>
      <c r="J139" s="213"/>
      <c r="K139" s="213"/>
      <c r="L139" s="213"/>
    </row>
    <row r="140" spans="2:12">
      <c r="B140" s="213"/>
      <c r="C140" s="213"/>
      <c r="D140" s="213"/>
      <c r="E140" s="213"/>
      <c r="F140" s="213"/>
      <c r="G140" s="213"/>
      <c r="H140" s="213"/>
      <c r="I140" s="213"/>
      <c r="J140" s="213"/>
      <c r="K140" s="213"/>
      <c r="L140" s="213"/>
    </row>
    <row r="141" spans="2:12">
      <c r="B141" s="213"/>
      <c r="C141" s="213"/>
      <c r="D141" s="213"/>
      <c r="E141" s="213"/>
      <c r="F141" s="213"/>
      <c r="G141" s="213"/>
      <c r="H141" s="213"/>
      <c r="I141" s="213"/>
      <c r="J141" s="213"/>
      <c r="K141" s="213"/>
      <c r="L141" s="213"/>
    </row>
    <row r="142" spans="2:12">
      <c r="B142" s="213"/>
      <c r="C142" s="213"/>
      <c r="D142" s="213"/>
      <c r="E142" s="213"/>
      <c r="F142" s="213"/>
      <c r="G142" s="213"/>
      <c r="H142" s="213"/>
      <c r="I142" s="213"/>
      <c r="J142" s="213"/>
      <c r="K142" s="213"/>
      <c r="L142" s="213"/>
    </row>
    <row r="143" spans="2:12">
      <c r="B143" s="213"/>
      <c r="C143" s="213"/>
      <c r="D143" s="213"/>
      <c r="E143" s="213"/>
      <c r="F143" s="213"/>
      <c r="G143" s="213"/>
      <c r="H143" s="213"/>
      <c r="I143" s="213"/>
      <c r="J143" s="213"/>
      <c r="K143" s="213"/>
      <c r="L143" s="213"/>
    </row>
    <row r="144" spans="2:12">
      <c r="B144" s="213"/>
      <c r="C144" s="213"/>
      <c r="D144" s="213"/>
      <c r="E144" s="213"/>
      <c r="F144" s="213"/>
      <c r="G144" s="213"/>
      <c r="H144" s="213"/>
      <c r="I144" s="213"/>
      <c r="J144" s="213"/>
      <c r="K144" s="213"/>
      <c r="L144" s="213"/>
    </row>
    <row r="145" spans="2:12">
      <c r="B145" s="213"/>
      <c r="C145" s="213"/>
      <c r="D145" s="213"/>
      <c r="E145" s="213"/>
      <c r="F145" s="213"/>
      <c r="G145" s="213"/>
      <c r="H145" s="213"/>
      <c r="I145" s="213"/>
      <c r="J145" s="213"/>
      <c r="K145" s="213"/>
      <c r="L145" s="213"/>
    </row>
    <row r="146" spans="2:12">
      <c r="B146" s="213"/>
      <c r="C146" s="213"/>
      <c r="D146" s="213"/>
      <c r="E146" s="213"/>
      <c r="F146" s="213"/>
      <c r="G146" s="213"/>
      <c r="H146" s="213"/>
      <c r="I146" s="213"/>
      <c r="J146" s="213"/>
      <c r="K146" s="213"/>
      <c r="L146" s="213"/>
    </row>
    <row r="147" spans="2:12">
      <c r="B147" s="213"/>
      <c r="C147" s="213"/>
      <c r="D147" s="213"/>
      <c r="E147" s="213"/>
      <c r="F147" s="213"/>
      <c r="G147" s="213"/>
      <c r="H147" s="213"/>
      <c r="I147" s="213"/>
      <c r="J147" s="213"/>
      <c r="K147" s="213"/>
      <c r="L147" s="213"/>
    </row>
    <row r="148" spans="2:12">
      <c r="B148" s="213"/>
      <c r="C148" s="213"/>
      <c r="D148" s="213"/>
      <c r="E148" s="213"/>
      <c r="F148" s="213"/>
      <c r="G148" s="213"/>
      <c r="H148" s="213"/>
      <c r="I148" s="213"/>
      <c r="J148" s="213"/>
      <c r="K148" s="213"/>
      <c r="L148" s="213"/>
    </row>
    <row r="149" spans="2:12">
      <c r="B149" s="213"/>
      <c r="C149" s="213"/>
      <c r="D149" s="213"/>
      <c r="E149" s="213"/>
      <c r="F149" s="213"/>
      <c r="G149" s="213"/>
      <c r="H149" s="213"/>
      <c r="I149" s="213"/>
      <c r="J149" s="213"/>
      <c r="K149" s="213"/>
      <c r="L149" s="213"/>
    </row>
    <row r="150" spans="2:12">
      <c r="B150" s="213"/>
      <c r="C150" s="213"/>
      <c r="D150" s="213"/>
      <c r="E150" s="213"/>
      <c r="F150" s="213"/>
      <c r="G150" s="213"/>
      <c r="H150" s="213"/>
      <c r="I150" s="213"/>
      <c r="J150" s="213"/>
      <c r="K150" s="213"/>
      <c r="L150" s="213"/>
    </row>
    <row r="151" spans="2:12">
      <c r="B151" s="213"/>
      <c r="C151" s="213"/>
      <c r="D151" s="213"/>
      <c r="E151" s="213"/>
      <c r="F151" s="213"/>
      <c r="G151" s="213"/>
      <c r="H151" s="213"/>
      <c r="I151" s="213"/>
      <c r="J151" s="213"/>
      <c r="K151" s="213"/>
      <c r="L151" s="213"/>
    </row>
    <row r="152" spans="2:12">
      <c r="B152" s="213"/>
      <c r="C152" s="213"/>
      <c r="D152" s="213"/>
      <c r="E152" s="213"/>
      <c r="F152" s="213"/>
      <c r="G152" s="213"/>
      <c r="H152" s="213"/>
      <c r="I152" s="213"/>
      <c r="J152" s="213"/>
      <c r="K152" s="213"/>
      <c r="L152" s="213"/>
    </row>
    <row r="153" spans="2:12">
      <c r="B153" s="213"/>
      <c r="C153" s="213"/>
      <c r="D153" s="213"/>
      <c r="E153" s="213"/>
      <c r="F153" s="213"/>
      <c r="G153" s="213"/>
      <c r="H153" s="213"/>
      <c r="I153" s="213"/>
      <c r="J153" s="213"/>
      <c r="K153" s="213"/>
      <c r="L153" s="213"/>
    </row>
    <row r="154" spans="2:12">
      <c r="B154" s="213"/>
      <c r="C154" s="213"/>
      <c r="D154" s="213"/>
      <c r="E154" s="213"/>
      <c r="F154" s="213"/>
      <c r="G154" s="213"/>
      <c r="H154" s="213"/>
      <c r="I154" s="213"/>
      <c r="J154" s="213"/>
      <c r="K154" s="213"/>
      <c r="L154" s="213"/>
    </row>
    <row r="155" spans="2:12">
      <c r="B155" s="213"/>
      <c r="C155" s="213"/>
      <c r="D155" s="213"/>
      <c r="E155" s="213"/>
      <c r="F155" s="213"/>
      <c r="G155" s="213"/>
      <c r="H155" s="213"/>
      <c r="I155" s="213"/>
      <c r="J155" s="213"/>
      <c r="K155" s="213"/>
      <c r="L155" s="213"/>
    </row>
    <row r="156" spans="2:12">
      <c r="B156" s="213"/>
      <c r="C156" s="213"/>
      <c r="D156" s="213"/>
      <c r="E156" s="213"/>
      <c r="F156" s="213"/>
      <c r="G156" s="213"/>
      <c r="H156" s="213"/>
      <c r="I156" s="213"/>
      <c r="J156" s="213"/>
      <c r="K156" s="213"/>
      <c r="L156" s="213"/>
    </row>
    <row r="157" spans="2:12">
      <c r="B157" s="213"/>
      <c r="C157" s="213"/>
      <c r="D157" s="213"/>
      <c r="E157" s="213"/>
      <c r="F157" s="213"/>
      <c r="G157" s="213"/>
      <c r="H157" s="213"/>
      <c r="I157" s="213"/>
      <c r="J157" s="213"/>
      <c r="K157" s="213"/>
      <c r="L157" s="213"/>
    </row>
    <row r="158" spans="2:12">
      <c r="B158" s="213"/>
      <c r="C158" s="213"/>
      <c r="D158" s="213"/>
      <c r="E158" s="213"/>
      <c r="F158" s="213"/>
      <c r="G158" s="213"/>
      <c r="H158" s="213"/>
      <c r="I158" s="213"/>
      <c r="J158" s="213"/>
      <c r="K158" s="213"/>
      <c r="L158" s="213"/>
    </row>
    <row r="159" spans="2:12">
      <c r="B159" s="213"/>
      <c r="C159" s="213"/>
      <c r="D159" s="213"/>
      <c r="E159" s="213"/>
      <c r="F159" s="213"/>
      <c r="G159" s="213"/>
      <c r="H159" s="213"/>
      <c r="I159" s="213"/>
      <c r="J159" s="213"/>
      <c r="K159" s="213"/>
      <c r="L159" s="213"/>
    </row>
    <row r="160" spans="2:12">
      <c r="B160" s="213"/>
      <c r="C160" s="213"/>
      <c r="D160" s="213"/>
      <c r="E160" s="213"/>
      <c r="F160" s="213"/>
      <c r="G160" s="213"/>
      <c r="H160" s="213"/>
      <c r="I160" s="213"/>
      <c r="J160" s="213"/>
      <c r="K160" s="213"/>
      <c r="L160" s="213"/>
    </row>
    <row r="161" spans="2:12">
      <c r="B161" s="213"/>
      <c r="C161" s="213"/>
      <c r="D161" s="213"/>
      <c r="E161" s="213"/>
      <c r="F161" s="213"/>
      <c r="G161" s="213"/>
      <c r="H161" s="213"/>
      <c r="I161" s="213"/>
      <c r="J161" s="213"/>
      <c r="K161" s="213"/>
      <c r="L161" s="213"/>
    </row>
    <row r="162" spans="2:12">
      <c r="B162" s="213"/>
      <c r="C162" s="213"/>
      <c r="D162" s="213"/>
      <c r="E162" s="213"/>
      <c r="F162" s="213"/>
      <c r="G162" s="213"/>
      <c r="H162" s="213"/>
      <c r="I162" s="213"/>
      <c r="J162" s="213"/>
      <c r="K162" s="213"/>
      <c r="L162" s="213"/>
    </row>
    <row r="163" spans="2:12">
      <c r="B163" s="213"/>
      <c r="C163" s="213"/>
      <c r="D163" s="213"/>
      <c r="E163" s="213"/>
      <c r="F163" s="213"/>
      <c r="G163" s="213"/>
      <c r="H163" s="213"/>
      <c r="I163" s="213"/>
      <c r="J163" s="213"/>
      <c r="K163" s="213"/>
      <c r="L163" s="213"/>
    </row>
    <row r="164" spans="2:12">
      <c r="B164" s="213"/>
      <c r="C164" s="213"/>
      <c r="D164" s="213"/>
      <c r="E164" s="213"/>
      <c r="F164" s="213"/>
      <c r="G164" s="213"/>
      <c r="H164" s="213"/>
      <c r="I164" s="213"/>
      <c r="J164" s="213"/>
      <c r="K164" s="213"/>
      <c r="L164" s="213"/>
    </row>
    <row r="165" spans="2:12">
      <c r="B165" s="213"/>
      <c r="C165" s="213"/>
      <c r="D165" s="213"/>
      <c r="E165" s="213"/>
      <c r="F165" s="213"/>
      <c r="G165" s="213"/>
      <c r="H165" s="213"/>
      <c r="I165" s="213"/>
      <c r="J165" s="213"/>
      <c r="K165" s="213"/>
      <c r="L165" s="213"/>
    </row>
    <row r="166" spans="2:12">
      <c r="B166" s="213"/>
      <c r="C166" s="213"/>
      <c r="D166" s="213"/>
      <c r="E166" s="213"/>
      <c r="F166" s="213"/>
      <c r="G166" s="213"/>
      <c r="H166" s="213"/>
      <c r="I166" s="213"/>
      <c r="J166" s="213"/>
      <c r="K166" s="213"/>
      <c r="L166" s="213"/>
    </row>
    <row r="167" spans="2:12">
      <c r="B167" s="213"/>
      <c r="C167" s="213"/>
      <c r="D167" s="213"/>
      <c r="E167" s="213"/>
      <c r="F167" s="213"/>
      <c r="G167" s="213"/>
      <c r="H167" s="213"/>
      <c r="I167" s="213"/>
      <c r="J167" s="213"/>
      <c r="K167" s="213"/>
      <c r="L167" s="213"/>
    </row>
    <row r="168" spans="2:12">
      <c r="B168" s="213"/>
      <c r="C168" s="213"/>
      <c r="D168" s="213"/>
      <c r="E168" s="213"/>
      <c r="F168" s="213"/>
      <c r="G168" s="213"/>
      <c r="H168" s="213"/>
      <c r="I168" s="213"/>
      <c r="J168" s="213"/>
      <c r="K168" s="213"/>
      <c r="L168" s="213"/>
    </row>
    <row r="169" spans="2:12">
      <c r="B169" s="213"/>
      <c r="C169" s="213"/>
      <c r="D169" s="213"/>
      <c r="E169" s="213"/>
      <c r="F169" s="213"/>
      <c r="G169" s="213"/>
      <c r="H169" s="213"/>
      <c r="I169" s="213"/>
      <c r="J169" s="213"/>
      <c r="K169" s="213"/>
      <c r="L169" s="213"/>
    </row>
    <row r="170" spans="2:12">
      <c r="B170" s="213"/>
      <c r="C170" s="213"/>
      <c r="D170" s="213"/>
      <c r="E170" s="213"/>
      <c r="F170" s="213"/>
      <c r="G170" s="213"/>
      <c r="H170" s="213"/>
      <c r="I170" s="213"/>
      <c r="J170" s="213"/>
      <c r="K170" s="213"/>
      <c r="L170" s="213"/>
    </row>
    <row r="171" spans="2:12">
      <c r="B171" s="213"/>
      <c r="C171" s="213"/>
      <c r="D171" s="213"/>
      <c r="E171" s="213"/>
      <c r="F171" s="213"/>
      <c r="G171" s="213"/>
      <c r="H171" s="213"/>
      <c r="I171" s="213"/>
      <c r="J171" s="213"/>
      <c r="K171" s="213"/>
      <c r="L171" s="213"/>
    </row>
    <row r="172" spans="2:12">
      <c r="B172" s="213"/>
      <c r="C172" s="213"/>
      <c r="D172" s="213"/>
      <c r="E172" s="213"/>
      <c r="F172" s="213"/>
      <c r="G172" s="213"/>
      <c r="H172" s="213"/>
      <c r="I172" s="213"/>
      <c r="J172" s="213"/>
      <c r="K172" s="213"/>
      <c r="L172" s="213"/>
    </row>
    <row r="173" spans="2:12">
      <c r="B173" s="213"/>
      <c r="C173" s="213"/>
      <c r="D173" s="213"/>
      <c r="E173" s="213"/>
      <c r="F173" s="213"/>
      <c r="G173" s="213"/>
      <c r="H173" s="213"/>
      <c r="I173" s="213"/>
      <c r="J173" s="213"/>
      <c r="K173" s="213"/>
      <c r="L173" s="213"/>
    </row>
    <row r="174" spans="2:12">
      <c r="B174" s="213"/>
      <c r="C174" s="213"/>
      <c r="D174" s="213"/>
      <c r="E174" s="213"/>
      <c r="F174" s="213"/>
      <c r="G174" s="213"/>
      <c r="H174" s="213"/>
      <c r="I174" s="213"/>
      <c r="J174" s="213"/>
      <c r="K174" s="213"/>
      <c r="L174" s="213"/>
    </row>
    <row r="175" spans="2:12">
      <c r="B175" s="213"/>
      <c r="C175" s="213"/>
      <c r="D175" s="213"/>
      <c r="E175" s="213"/>
      <c r="F175" s="213"/>
      <c r="G175" s="213"/>
      <c r="H175" s="213"/>
      <c r="I175" s="213"/>
      <c r="J175" s="213"/>
      <c r="K175" s="213"/>
      <c r="L175" s="213"/>
    </row>
    <row r="176" spans="2:12">
      <c r="B176" s="213"/>
      <c r="C176" s="213"/>
      <c r="D176" s="213"/>
      <c r="E176" s="213"/>
      <c r="F176" s="213"/>
      <c r="G176" s="213"/>
      <c r="H176" s="213"/>
      <c r="I176" s="213"/>
      <c r="J176" s="213"/>
      <c r="K176" s="213"/>
      <c r="L176" s="213"/>
    </row>
    <row r="177" spans="2:12">
      <c r="B177" s="213"/>
      <c r="C177" s="213"/>
      <c r="D177" s="213"/>
      <c r="E177" s="213"/>
      <c r="F177" s="213"/>
      <c r="G177" s="213"/>
      <c r="H177" s="213"/>
      <c r="I177" s="213"/>
      <c r="J177" s="213"/>
      <c r="K177" s="213"/>
      <c r="L177" s="213"/>
    </row>
    <row r="178" spans="2:12">
      <c r="B178" s="213"/>
      <c r="C178" s="213"/>
      <c r="D178" s="213"/>
      <c r="E178" s="213"/>
      <c r="F178" s="213"/>
      <c r="G178" s="213"/>
      <c r="H178" s="213"/>
      <c r="I178" s="213"/>
      <c r="J178" s="213"/>
      <c r="K178" s="213"/>
      <c r="L178" s="213"/>
    </row>
    <row r="179" spans="2:12">
      <c r="B179" s="213"/>
      <c r="C179" s="213"/>
      <c r="D179" s="213"/>
      <c r="E179" s="213"/>
      <c r="F179" s="213"/>
      <c r="G179" s="213"/>
      <c r="H179" s="213"/>
      <c r="I179" s="213"/>
      <c r="J179" s="213"/>
      <c r="K179" s="213"/>
      <c r="L179" s="213"/>
    </row>
    <row r="180" spans="2:12">
      <c r="B180" s="213"/>
      <c r="C180" s="213"/>
      <c r="D180" s="213"/>
      <c r="E180" s="213"/>
      <c r="F180" s="213"/>
      <c r="G180" s="213"/>
      <c r="H180" s="213"/>
      <c r="I180" s="213"/>
      <c r="J180" s="213"/>
      <c r="K180" s="213"/>
      <c r="L180" s="213"/>
    </row>
    <row r="181" spans="2:12">
      <c r="B181" s="213"/>
      <c r="C181" s="213"/>
      <c r="D181" s="213"/>
      <c r="E181" s="213"/>
      <c r="F181" s="213"/>
      <c r="G181" s="213"/>
      <c r="H181" s="213"/>
      <c r="I181" s="213"/>
      <c r="J181" s="213"/>
      <c r="K181" s="213"/>
      <c r="L181" s="213"/>
    </row>
    <row r="182" spans="2:12">
      <c r="B182" s="213"/>
      <c r="C182" s="213"/>
      <c r="D182" s="213"/>
      <c r="E182" s="213"/>
      <c r="F182" s="213"/>
      <c r="G182" s="213"/>
      <c r="H182" s="213"/>
      <c r="I182" s="213"/>
      <c r="J182" s="213"/>
      <c r="K182" s="213"/>
      <c r="L182" s="213"/>
    </row>
    <row r="183" spans="2:12">
      <c r="B183" s="213"/>
      <c r="C183" s="213"/>
      <c r="D183" s="213"/>
      <c r="E183" s="213"/>
      <c r="F183" s="213"/>
      <c r="G183" s="213"/>
      <c r="H183" s="213"/>
      <c r="I183" s="213"/>
      <c r="J183" s="213"/>
      <c r="K183" s="213"/>
      <c r="L183" s="213"/>
    </row>
    <row r="184" spans="2:12">
      <c r="B184" s="213"/>
      <c r="C184" s="213"/>
      <c r="D184" s="213"/>
      <c r="E184" s="213"/>
      <c r="F184" s="213"/>
      <c r="G184" s="213"/>
      <c r="H184" s="213"/>
      <c r="I184" s="213"/>
      <c r="J184" s="213"/>
      <c r="K184" s="213"/>
      <c r="L184" s="213"/>
    </row>
    <row r="185" spans="2:12">
      <c r="B185" s="213"/>
      <c r="C185" s="213"/>
      <c r="D185" s="213"/>
      <c r="E185" s="213"/>
      <c r="F185" s="213"/>
      <c r="G185" s="213"/>
      <c r="H185" s="213"/>
      <c r="I185" s="213"/>
      <c r="J185" s="213"/>
      <c r="K185" s="213"/>
      <c r="L185" s="213"/>
    </row>
    <row r="186" spans="2:12">
      <c r="B186" s="213"/>
      <c r="C186" s="213"/>
      <c r="D186" s="213"/>
      <c r="E186" s="213"/>
      <c r="F186" s="213"/>
      <c r="G186" s="213"/>
      <c r="H186" s="213"/>
      <c r="I186" s="213"/>
      <c r="J186" s="213"/>
      <c r="K186" s="213"/>
      <c r="L186" s="213"/>
    </row>
    <row r="187" spans="2:12">
      <c r="B187" s="213"/>
      <c r="C187" s="213"/>
      <c r="D187" s="213"/>
      <c r="E187" s="213"/>
      <c r="F187" s="213"/>
      <c r="G187" s="213"/>
      <c r="H187" s="213"/>
      <c r="I187" s="213"/>
      <c r="J187" s="213"/>
      <c r="K187" s="213"/>
      <c r="L187" s="213"/>
    </row>
    <row r="188" spans="2:12">
      <c r="B188" s="213"/>
      <c r="C188" s="213"/>
      <c r="D188" s="213"/>
      <c r="E188" s="213"/>
      <c r="F188" s="213"/>
      <c r="G188" s="213"/>
      <c r="H188" s="213"/>
      <c r="I188" s="213"/>
      <c r="J188" s="213"/>
      <c r="K188" s="213"/>
      <c r="L188" s="213"/>
    </row>
    <row r="189" spans="2:12">
      <c r="B189" s="213"/>
      <c r="C189" s="213"/>
      <c r="D189" s="213"/>
      <c r="E189" s="213"/>
      <c r="F189" s="213"/>
      <c r="G189" s="213"/>
      <c r="H189" s="213"/>
      <c r="I189" s="213"/>
      <c r="J189" s="213"/>
      <c r="K189" s="213"/>
      <c r="L189" s="213"/>
    </row>
    <row r="190" spans="2:12">
      <c r="B190" s="213"/>
      <c r="C190" s="213"/>
      <c r="D190" s="213"/>
      <c r="E190" s="213"/>
      <c r="F190" s="213"/>
      <c r="G190" s="213"/>
      <c r="H190" s="213"/>
      <c r="I190" s="213"/>
      <c r="J190" s="213"/>
      <c r="K190" s="213"/>
      <c r="L190" s="213"/>
    </row>
    <row r="191" spans="2:12">
      <c r="B191" s="213"/>
      <c r="C191" s="213"/>
      <c r="D191" s="213"/>
      <c r="E191" s="213"/>
      <c r="F191" s="213"/>
      <c r="G191" s="213"/>
      <c r="H191" s="213"/>
      <c r="I191" s="213"/>
      <c r="J191" s="213"/>
      <c r="K191" s="213"/>
      <c r="L191" s="213"/>
    </row>
    <row r="192" spans="2:12">
      <c r="B192" s="213"/>
      <c r="C192" s="213"/>
      <c r="D192" s="213"/>
      <c r="E192" s="213"/>
      <c r="F192" s="213"/>
      <c r="G192" s="213"/>
      <c r="H192" s="213"/>
      <c r="I192" s="213"/>
      <c r="J192" s="213"/>
      <c r="K192" s="213"/>
      <c r="L192" s="213"/>
    </row>
    <row r="193" spans="2:12">
      <c r="B193" s="213"/>
      <c r="C193" s="213"/>
      <c r="D193" s="213"/>
      <c r="E193" s="213"/>
      <c r="F193" s="213"/>
      <c r="G193" s="213"/>
      <c r="H193" s="213"/>
      <c r="I193" s="213"/>
      <c r="J193" s="213"/>
      <c r="K193" s="213"/>
      <c r="L193" s="213"/>
    </row>
    <row r="194" spans="2:12">
      <c r="B194" s="213"/>
      <c r="C194" s="213"/>
      <c r="D194" s="213"/>
      <c r="E194" s="213"/>
      <c r="F194" s="213"/>
      <c r="G194" s="213"/>
      <c r="H194" s="213"/>
      <c r="I194" s="213"/>
      <c r="J194" s="213"/>
      <c r="K194" s="213"/>
      <c r="L194" s="213"/>
    </row>
    <row r="195" spans="2:12">
      <c r="B195" s="213"/>
      <c r="C195" s="213"/>
      <c r="D195" s="213"/>
      <c r="E195" s="213"/>
      <c r="F195" s="213"/>
      <c r="G195" s="213"/>
      <c r="H195" s="213"/>
      <c r="I195" s="213"/>
      <c r="J195" s="213"/>
      <c r="K195" s="213"/>
      <c r="L195" s="213"/>
    </row>
    <row r="196" spans="2:12">
      <c r="B196" s="213"/>
      <c r="C196" s="213"/>
      <c r="D196" s="213"/>
      <c r="E196" s="213"/>
      <c r="F196" s="213"/>
      <c r="G196" s="213"/>
      <c r="H196" s="213"/>
      <c r="I196" s="213"/>
      <c r="J196" s="213"/>
      <c r="K196" s="213"/>
      <c r="L196" s="213"/>
    </row>
    <row r="197" spans="2:12">
      <c r="B197" s="213"/>
      <c r="C197" s="213"/>
      <c r="D197" s="213"/>
      <c r="E197" s="213"/>
      <c r="F197" s="213"/>
      <c r="G197" s="213"/>
      <c r="H197" s="213"/>
      <c r="I197" s="213"/>
      <c r="J197" s="213"/>
      <c r="K197" s="213"/>
      <c r="L197" s="213"/>
    </row>
    <row r="198" spans="2:12">
      <c r="B198" s="213"/>
      <c r="C198" s="213"/>
      <c r="D198" s="213"/>
      <c r="E198" s="213"/>
      <c r="F198" s="213"/>
      <c r="G198" s="213"/>
      <c r="H198" s="213"/>
      <c r="I198" s="213"/>
      <c r="J198" s="213"/>
      <c r="K198" s="213"/>
      <c r="L198" s="213"/>
    </row>
    <row r="199" spans="2:12">
      <c r="B199" s="213"/>
      <c r="C199" s="213"/>
      <c r="D199" s="213"/>
      <c r="E199" s="213"/>
      <c r="F199" s="213"/>
      <c r="G199" s="213"/>
      <c r="H199" s="213"/>
      <c r="I199" s="213"/>
      <c r="J199" s="213"/>
      <c r="K199" s="213"/>
      <c r="L199" s="213"/>
    </row>
    <row r="200" spans="2:12">
      <c r="B200" s="213"/>
      <c r="C200" s="213"/>
      <c r="D200" s="213"/>
      <c r="E200" s="213"/>
      <c r="F200" s="213"/>
      <c r="G200" s="213"/>
      <c r="H200" s="213"/>
      <c r="I200" s="213"/>
      <c r="J200" s="213"/>
      <c r="K200" s="213"/>
      <c r="L200" s="213"/>
    </row>
    <row r="201" spans="2:12">
      <c r="B201" s="213"/>
      <c r="C201" s="213"/>
      <c r="D201" s="213"/>
      <c r="E201" s="213"/>
      <c r="F201" s="213"/>
      <c r="G201" s="213"/>
      <c r="H201" s="213"/>
      <c r="I201" s="213"/>
      <c r="J201" s="213"/>
      <c r="K201" s="213"/>
      <c r="L201" s="213"/>
    </row>
    <row r="202" spans="2:12">
      <c r="B202" s="213"/>
      <c r="C202" s="213"/>
      <c r="D202" s="213"/>
      <c r="E202" s="213"/>
      <c r="F202" s="213"/>
      <c r="G202" s="213"/>
      <c r="H202" s="213"/>
      <c r="I202" s="213"/>
      <c r="J202" s="213"/>
      <c r="K202" s="213"/>
      <c r="L202" s="213"/>
    </row>
    <row r="203" spans="2:12">
      <c r="B203" s="213"/>
      <c r="C203" s="213"/>
      <c r="D203" s="213"/>
      <c r="E203" s="213"/>
      <c r="F203" s="213"/>
      <c r="G203" s="213"/>
      <c r="H203" s="213"/>
      <c r="I203" s="213"/>
      <c r="J203" s="213"/>
      <c r="K203" s="213"/>
      <c r="L203" s="213"/>
    </row>
    <row r="204" spans="2:12">
      <c r="B204" s="213"/>
      <c r="C204" s="213"/>
      <c r="D204" s="213"/>
      <c r="E204" s="213"/>
      <c r="F204" s="213"/>
      <c r="G204" s="213"/>
      <c r="H204" s="213"/>
      <c r="I204" s="213"/>
      <c r="J204" s="213"/>
      <c r="K204" s="213"/>
      <c r="L204" s="213"/>
    </row>
    <row r="205" spans="2:12">
      <c r="B205" s="213"/>
      <c r="C205" s="213"/>
      <c r="D205" s="213"/>
      <c r="E205" s="213"/>
      <c r="F205" s="213"/>
      <c r="G205" s="213"/>
      <c r="H205" s="213"/>
      <c r="I205" s="213"/>
      <c r="J205" s="213"/>
      <c r="K205" s="213"/>
      <c r="L205" s="213"/>
    </row>
    <row r="206" spans="2:12">
      <c r="B206" s="213"/>
      <c r="C206" s="213"/>
      <c r="D206" s="213"/>
      <c r="E206" s="213"/>
      <c r="F206" s="213"/>
      <c r="G206" s="213"/>
      <c r="H206" s="213"/>
      <c r="I206" s="213"/>
      <c r="J206" s="213"/>
      <c r="K206" s="213"/>
      <c r="L206" s="213"/>
    </row>
    <row r="207" spans="2:12">
      <c r="B207" s="213"/>
      <c r="C207" s="213"/>
      <c r="D207" s="213"/>
      <c r="E207" s="213"/>
      <c r="F207" s="213"/>
      <c r="G207" s="213"/>
      <c r="H207" s="213"/>
      <c r="I207" s="213"/>
      <c r="J207" s="213"/>
      <c r="K207" s="213"/>
      <c r="L207" s="213"/>
    </row>
    <row r="208" spans="2:12">
      <c r="B208" s="213"/>
      <c r="C208" s="213"/>
      <c r="D208" s="213"/>
      <c r="E208" s="213"/>
      <c r="F208" s="213"/>
      <c r="G208" s="213"/>
      <c r="H208" s="213"/>
      <c r="I208" s="213"/>
      <c r="J208" s="213"/>
      <c r="K208" s="213"/>
      <c r="L208" s="213"/>
    </row>
    <row r="209" spans="2:12">
      <c r="B209" s="213"/>
      <c r="C209" s="213"/>
      <c r="D209" s="213"/>
      <c r="E209" s="213"/>
      <c r="F209" s="213"/>
      <c r="G209" s="213"/>
      <c r="H209" s="213"/>
      <c r="I209" s="213"/>
      <c r="J209" s="213"/>
      <c r="K209" s="213"/>
      <c r="L209" s="213"/>
    </row>
    <row r="210" spans="2:12">
      <c r="B210" s="213"/>
      <c r="C210" s="213"/>
      <c r="D210" s="213"/>
      <c r="E210" s="213"/>
      <c r="F210" s="213"/>
      <c r="G210" s="213"/>
      <c r="H210" s="213"/>
      <c r="I210" s="213"/>
      <c r="J210" s="213"/>
      <c r="K210" s="213"/>
      <c r="L210" s="213"/>
    </row>
    <row r="211" spans="2:12">
      <c r="B211" s="213"/>
      <c r="C211" s="213"/>
      <c r="D211" s="213"/>
      <c r="E211" s="213"/>
      <c r="F211" s="213"/>
      <c r="G211" s="213"/>
      <c r="H211" s="213"/>
      <c r="I211" s="213"/>
      <c r="J211" s="213"/>
      <c r="K211" s="213"/>
      <c r="L211" s="213"/>
    </row>
    <row r="212" spans="2:12">
      <c r="B212" s="213"/>
      <c r="C212" s="213"/>
      <c r="D212" s="213"/>
      <c r="E212" s="213"/>
      <c r="F212" s="213"/>
      <c r="G212" s="213"/>
      <c r="H212" s="213"/>
      <c r="I212" s="213"/>
      <c r="J212" s="213"/>
      <c r="K212" s="213"/>
      <c r="L212" s="213"/>
    </row>
    <row r="213" spans="2:12">
      <c r="B213" s="213"/>
      <c r="C213" s="213"/>
      <c r="D213" s="213"/>
      <c r="E213" s="213"/>
      <c r="F213" s="213"/>
      <c r="G213" s="213"/>
      <c r="H213" s="213"/>
      <c r="I213" s="213"/>
      <c r="J213" s="213"/>
      <c r="K213" s="213"/>
      <c r="L213" s="213"/>
    </row>
    <row r="214" spans="2:12">
      <c r="B214" s="213"/>
      <c r="C214" s="213"/>
      <c r="D214" s="213"/>
      <c r="E214" s="213"/>
      <c r="F214" s="213"/>
      <c r="G214" s="213"/>
      <c r="H214" s="213"/>
      <c r="I214" s="213"/>
      <c r="J214" s="213"/>
      <c r="K214" s="213"/>
      <c r="L214" s="213"/>
    </row>
    <row r="215" spans="2:12">
      <c r="B215" s="213"/>
      <c r="C215" s="213"/>
      <c r="D215" s="213"/>
      <c r="E215" s="213"/>
      <c r="F215" s="213"/>
      <c r="G215" s="213"/>
      <c r="H215" s="213"/>
      <c r="I215" s="213"/>
      <c r="J215" s="213"/>
      <c r="K215" s="213"/>
      <c r="L215" s="213"/>
    </row>
    <row r="216" spans="2:12">
      <c r="B216" s="213"/>
      <c r="C216" s="213"/>
      <c r="D216" s="213"/>
      <c r="E216" s="213"/>
      <c r="F216" s="213"/>
      <c r="G216" s="213"/>
      <c r="H216" s="213"/>
      <c r="I216" s="213"/>
      <c r="J216" s="213"/>
      <c r="K216" s="213"/>
      <c r="L216" s="213"/>
    </row>
    <row r="217" spans="2:12">
      <c r="B217" s="213"/>
      <c r="C217" s="213"/>
      <c r="D217" s="213"/>
      <c r="E217" s="213"/>
      <c r="F217" s="213"/>
      <c r="G217" s="213"/>
      <c r="H217" s="213"/>
      <c r="I217" s="213"/>
      <c r="J217" s="213"/>
      <c r="K217" s="213"/>
      <c r="L217" s="213"/>
    </row>
    <row r="218" spans="2:12">
      <c r="B218" s="213"/>
      <c r="C218" s="213"/>
      <c r="D218" s="213"/>
      <c r="E218" s="213"/>
      <c r="F218" s="213"/>
      <c r="G218" s="213"/>
      <c r="H218" s="213"/>
      <c r="I218" s="213"/>
      <c r="J218" s="213"/>
      <c r="K218" s="213"/>
      <c r="L218" s="213"/>
    </row>
    <row r="219" spans="2:12">
      <c r="B219" s="213"/>
      <c r="C219" s="213"/>
      <c r="D219" s="213"/>
      <c r="E219" s="213"/>
      <c r="F219" s="213"/>
      <c r="G219" s="213"/>
      <c r="H219" s="213"/>
      <c r="I219" s="213"/>
      <c r="J219" s="213"/>
      <c r="K219" s="213"/>
      <c r="L219" s="213"/>
    </row>
    <row r="220" spans="2:12">
      <c r="B220" s="213"/>
      <c r="C220" s="213"/>
      <c r="D220" s="213"/>
      <c r="E220" s="213"/>
      <c r="F220" s="213"/>
      <c r="G220" s="213"/>
      <c r="H220" s="213"/>
      <c r="I220" s="213"/>
      <c r="J220" s="213"/>
      <c r="K220" s="213"/>
      <c r="L220" s="213"/>
    </row>
    <row r="221" spans="2:12">
      <c r="B221" s="213"/>
      <c r="C221" s="213"/>
      <c r="D221" s="213"/>
      <c r="E221" s="213"/>
      <c r="F221" s="213"/>
      <c r="G221" s="213"/>
      <c r="H221" s="213"/>
      <c r="I221" s="213"/>
      <c r="J221" s="213"/>
      <c r="K221" s="213"/>
      <c r="L221" s="213"/>
    </row>
    <row r="222" spans="2:12">
      <c r="B222" s="213"/>
      <c r="C222" s="213"/>
      <c r="D222" s="213"/>
      <c r="E222" s="213"/>
      <c r="F222" s="213"/>
      <c r="G222" s="213"/>
      <c r="H222" s="213"/>
      <c r="I222" s="213"/>
      <c r="J222" s="213"/>
      <c r="K222" s="213"/>
      <c r="L222" s="213"/>
    </row>
    <row r="223" spans="2:12">
      <c r="B223" s="213"/>
      <c r="C223" s="213"/>
      <c r="D223" s="213"/>
      <c r="E223" s="213"/>
      <c r="F223" s="213"/>
      <c r="G223" s="213"/>
      <c r="H223" s="213"/>
      <c r="I223" s="213"/>
      <c r="J223" s="213"/>
      <c r="K223" s="213"/>
      <c r="L223" s="213"/>
    </row>
    <row r="224" spans="2:12">
      <c r="B224" s="213"/>
      <c r="C224" s="213"/>
      <c r="D224" s="213"/>
      <c r="E224" s="213"/>
      <c r="F224" s="213"/>
      <c r="G224" s="213"/>
      <c r="H224" s="213"/>
      <c r="I224" s="213"/>
      <c r="J224" s="213"/>
      <c r="K224" s="213"/>
      <c r="L224" s="213"/>
    </row>
    <row r="225" spans="2:12">
      <c r="B225" s="213"/>
      <c r="C225" s="213"/>
      <c r="D225" s="213"/>
      <c r="E225" s="213"/>
      <c r="F225" s="213"/>
      <c r="G225" s="213"/>
      <c r="H225" s="213"/>
      <c r="I225" s="213"/>
      <c r="J225" s="213"/>
      <c r="K225" s="213"/>
      <c r="L225" s="213"/>
    </row>
    <row r="226" spans="2:12">
      <c r="B226" s="213"/>
      <c r="C226" s="213"/>
      <c r="D226" s="213"/>
      <c r="E226" s="213"/>
      <c r="F226" s="213"/>
      <c r="G226" s="213"/>
      <c r="H226" s="213"/>
      <c r="I226" s="213"/>
      <c r="J226" s="213"/>
      <c r="K226" s="213"/>
      <c r="L226" s="213"/>
    </row>
    <row r="227" spans="2:12">
      <c r="B227" s="213"/>
      <c r="C227" s="213"/>
      <c r="D227" s="213"/>
      <c r="E227" s="213"/>
      <c r="F227" s="213"/>
      <c r="G227" s="213"/>
      <c r="H227" s="213"/>
      <c r="I227" s="213"/>
      <c r="J227" s="213"/>
      <c r="K227" s="213"/>
      <c r="L227" s="213"/>
    </row>
    <row r="228" spans="2:12">
      <c r="B228" s="213"/>
      <c r="C228" s="213"/>
      <c r="D228" s="213"/>
      <c r="E228" s="213"/>
      <c r="F228" s="213"/>
      <c r="G228" s="213"/>
      <c r="H228" s="213"/>
      <c r="I228" s="213"/>
      <c r="J228" s="213"/>
      <c r="K228" s="213"/>
      <c r="L228" s="213"/>
    </row>
    <row r="229" spans="2:12">
      <c r="B229" s="213"/>
      <c r="C229" s="213"/>
      <c r="D229" s="213"/>
      <c r="E229" s="213"/>
      <c r="F229" s="213"/>
      <c r="G229" s="213"/>
      <c r="H229" s="213"/>
      <c r="I229" s="213"/>
      <c r="J229" s="213"/>
      <c r="K229" s="213"/>
      <c r="L229" s="213"/>
    </row>
    <row r="230" spans="2:12">
      <c r="B230" s="213"/>
      <c r="C230" s="213"/>
      <c r="D230" s="213"/>
      <c r="E230" s="213"/>
      <c r="F230" s="213"/>
      <c r="G230" s="213"/>
      <c r="H230" s="213"/>
      <c r="I230" s="213"/>
      <c r="J230" s="213"/>
      <c r="K230" s="213"/>
      <c r="L230" s="213"/>
    </row>
    <row r="231" spans="2:12">
      <c r="B231" s="213"/>
      <c r="C231" s="213"/>
      <c r="D231" s="213"/>
      <c r="E231" s="213"/>
      <c r="F231" s="213"/>
      <c r="G231" s="213"/>
      <c r="H231" s="213"/>
      <c r="I231" s="213"/>
      <c r="J231" s="213"/>
      <c r="K231" s="213"/>
      <c r="L231" s="213"/>
    </row>
    <row r="232" spans="2:12">
      <c r="B232" s="213"/>
      <c r="C232" s="213"/>
      <c r="D232" s="213"/>
      <c r="E232" s="213"/>
      <c r="F232" s="213"/>
      <c r="G232" s="213"/>
      <c r="H232" s="213"/>
      <c r="I232" s="213"/>
      <c r="J232" s="213"/>
      <c r="K232" s="213"/>
      <c r="L232" s="213"/>
    </row>
    <row r="233" spans="2:12">
      <c r="B233" s="213"/>
      <c r="C233" s="213"/>
      <c r="D233" s="213"/>
      <c r="E233" s="213"/>
      <c r="F233" s="213"/>
      <c r="G233" s="213"/>
      <c r="H233" s="213"/>
      <c r="I233" s="213"/>
      <c r="J233" s="213"/>
      <c r="K233" s="213"/>
      <c r="L233" s="213"/>
    </row>
    <row r="234" spans="2:12">
      <c r="B234" s="213"/>
      <c r="C234" s="213"/>
      <c r="D234" s="213"/>
      <c r="E234" s="213"/>
      <c r="F234" s="213"/>
      <c r="G234" s="213"/>
      <c r="H234" s="213"/>
      <c r="I234" s="213"/>
      <c r="J234" s="213"/>
      <c r="K234" s="213"/>
      <c r="L234" s="213"/>
    </row>
    <row r="235" spans="2:12">
      <c r="B235" s="213"/>
      <c r="C235" s="213"/>
      <c r="D235" s="213"/>
      <c r="E235" s="213"/>
      <c r="F235" s="213"/>
      <c r="G235" s="213"/>
      <c r="H235" s="213"/>
      <c r="I235" s="213"/>
      <c r="J235" s="213"/>
      <c r="K235" s="213"/>
      <c r="L235" s="213"/>
    </row>
    <row r="236" spans="2:12">
      <c r="B236" s="213"/>
      <c r="C236" s="213"/>
      <c r="D236" s="213"/>
      <c r="E236" s="213"/>
      <c r="F236" s="213"/>
      <c r="G236" s="213"/>
      <c r="H236" s="213"/>
      <c r="I236" s="213"/>
      <c r="J236" s="213"/>
      <c r="K236" s="213"/>
      <c r="L236" s="213"/>
    </row>
    <row r="237" spans="2:12">
      <c r="B237" s="213"/>
      <c r="C237" s="213"/>
      <c r="D237" s="213"/>
      <c r="E237" s="213"/>
      <c r="F237" s="213"/>
      <c r="G237" s="213"/>
      <c r="H237" s="213"/>
      <c r="I237" s="213"/>
      <c r="J237" s="213"/>
      <c r="K237" s="213"/>
      <c r="L237" s="213"/>
    </row>
    <row r="238" spans="2:12">
      <c r="B238" s="213"/>
      <c r="C238" s="213"/>
      <c r="D238" s="213"/>
      <c r="E238" s="213"/>
      <c r="F238" s="213"/>
      <c r="G238" s="213"/>
      <c r="H238" s="213"/>
      <c r="I238" s="213"/>
      <c r="J238" s="213"/>
      <c r="K238" s="213"/>
      <c r="L238" s="213"/>
    </row>
    <row r="239" spans="2:12">
      <c r="B239" s="213"/>
      <c r="C239" s="213"/>
      <c r="D239" s="213"/>
      <c r="E239" s="213"/>
      <c r="F239" s="213"/>
      <c r="G239" s="213"/>
      <c r="H239" s="213"/>
      <c r="I239" s="213"/>
      <c r="J239" s="213"/>
      <c r="K239" s="213"/>
      <c r="L239" s="213"/>
    </row>
    <row r="240" spans="2:12">
      <c r="B240" s="213"/>
      <c r="C240" s="213"/>
      <c r="D240" s="213"/>
      <c r="E240" s="213"/>
      <c r="F240" s="213"/>
      <c r="G240" s="213"/>
      <c r="H240" s="213"/>
      <c r="I240" s="213"/>
      <c r="J240" s="213"/>
      <c r="K240" s="213"/>
      <c r="L240" s="213"/>
    </row>
    <row r="241" spans="2:12">
      <c r="B241" s="213"/>
      <c r="C241" s="213"/>
      <c r="D241" s="213"/>
      <c r="E241" s="213"/>
      <c r="F241" s="213"/>
      <c r="G241" s="213"/>
      <c r="H241" s="213"/>
      <c r="I241" s="213"/>
      <c r="J241" s="213"/>
      <c r="K241" s="213"/>
      <c r="L241" s="213"/>
    </row>
    <row r="242" spans="2:12">
      <c r="B242" s="213"/>
      <c r="C242" s="213"/>
      <c r="D242" s="213"/>
      <c r="E242" s="213"/>
      <c r="F242" s="213"/>
      <c r="G242" s="213"/>
      <c r="H242" s="213"/>
      <c r="I242" s="213"/>
      <c r="J242" s="213"/>
      <c r="K242" s="213"/>
      <c r="L242" s="213"/>
    </row>
    <row r="243" spans="2:12">
      <c r="B243" s="213"/>
      <c r="C243" s="213"/>
      <c r="D243" s="213"/>
      <c r="E243" s="213"/>
      <c r="F243" s="213"/>
      <c r="G243" s="213"/>
      <c r="H243" s="213"/>
      <c r="I243" s="213"/>
      <c r="J243" s="213"/>
      <c r="K243" s="213"/>
      <c r="L243" s="213"/>
    </row>
    <row r="244" spans="2:12">
      <c r="B244" s="213"/>
      <c r="C244" s="213"/>
      <c r="D244" s="213"/>
      <c r="E244" s="213"/>
      <c r="F244" s="213"/>
      <c r="G244" s="213"/>
      <c r="H244" s="213"/>
      <c r="I244" s="213"/>
      <c r="J244" s="213"/>
      <c r="K244" s="213"/>
      <c r="L244" s="213"/>
    </row>
    <row r="245" spans="2:12">
      <c r="B245" s="213"/>
      <c r="C245" s="213"/>
      <c r="D245" s="213"/>
      <c r="E245" s="213"/>
      <c r="F245" s="213"/>
      <c r="G245" s="213"/>
      <c r="H245" s="213"/>
      <c r="I245" s="213"/>
      <c r="J245" s="213"/>
      <c r="K245" s="213"/>
      <c r="L245" s="213"/>
    </row>
    <row r="246" spans="2:12">
      <c r="B246" s="213"/>
      <c r="C246" s="213"/>
      <c r="D246" s="213"/>
      <c r="E246" s="213"/>
      <c r="F246" s="213"/>
      <c r="G246" s="213"/>
      <c r="H246" s="213"/>
      <c r="I246" s="213"/>
      <c r="J246" s="213"/>
      <c r="K246" s="213"/>
      <c r="L246" s="213"/>
    </row>
    <row r="247" spans="2:12">
      <c r="B247" s="213"/>
      <c r="C247" s="213"/>
      <c r="D247" s="213"/>
      <c r="E247" s="213"/>
      <c r="F247" s="213"/>
      <c r="G247" s="213"/>
      <c r="H247" s="213"/>
      <c r="I247" s="213"/>
      <c r="J247" s="213"/>
      <c r="K247" s="213"/>
      <c r="L247" s="213"/>
    </row>
    <row r="248" spans="2:12">
      <c r="B248" s="213"/>
      <c r="C248" s="213"/>
      <c r="D248" s="213"/>
      <c r="E248" s="213"/>
      <c r="F248" s="213"/>
      <c r="G248" s="213"/>
      <c r="H248" s="213"/>
      <c r="I248" s="213"/>
      <c r="J248" s="213"/>
      <c r="K248" s="213"/>
      <c r="L248" s="213"/>
    </row>
    <row r="249" spans="2:12">
      <c r="B249" s="213"/>
      <c r="C249" s="213"/>
      <c r="D249" s="213"/>
      <c r="E249" s="213"/>
      <c r="F249" s="213"/>
      <c r="G249" s="213"/>
      <c r="H249" s="213"/>
      <c r="I249" s="213"/>
      <c r="J249" s="213"/>
      <c r="K249" s="213"/>
      <c r="L249" s="213"/>
    </row>
    <row r="250" spans="2:12">
      <c r="B250" s="213"/>
      <c r="C250" s="213"/>
      <c r="D250" s="213"/>
      <c r="E250" s="213"/>
      <c r="F250" s="213"/>
      <c r="G250" s="213"/>
      <c r="H250" s="213"/>
      <c r="I250" s="213"/>
      <c r="J250" s="213"/>
      <c r="K250" s="213"/>
      <c r="L250" s="213"/>
    </row>
  </sheetData>
  <mergeCells count="11">
    <mergeCell ref="A5:A6"/>
    <mergeCell ref="A2:J2"/>
    <mergeCell ref="A4:J4"/>
    <mergeCell ref="A10:J10"/>
    <mergeCell ref="A55:J55"/>
    <mergeCell ref="A56:J56"/>
    <mergeCell ref="A31:C31"/>
    <mergeCell ref="A13:D13"/>
    <mergeCell ref="E13:J13"/>
    <mergeCell ref="A34:J34"/>
    <mergeCell ref="E31:J3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3:L56"/>
  <sheetViews>
    <sheetView showGridLines="0" view="pageBreakPreview" zoomScaleNormal="130" zoomScaleSheetLayoutView="100" workbookViewId="0">
      <selection activeCell="R35" sqref="R35"/>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86" t="s">
        <v>0</v>
      </c>
      <c r="B3" s="786"/>
      <c r="C3" s="786"/>
      <c r="D3" s="786"/>
      <c r="E3" s="786"/>
      <c r="F3" s="786"/>
      <c r="G3" s="786"/>
      <c r="H3" s="786"/>
      <c r="I3" s="786"/>
      <c r="J3" s="786"/>
      <c r="K3" s="786"/>
      <c r="L3" s="786"/>
    </row>
    <row r="4" spans="1:12">
      <c r="A4" s="786"/>
      <c r="B4" s="786"/>
      <c r="C4" s="786"/>
      <c r="D4" s="786"/>
      <c r="E4" s="786"/>
      <c r="F4" s="786"/>
      <c r="G4" s="786"/>
      <c r="H4" s="786"/>
      <c r="I4" s="786"/>
      <c r="J4" s="786"/>
      <c r="K4" s="786"/>
      <c r="L4" s="786"/>
    </row>
    <row r="5" spans="1:12" ht="11.4">
      <c r="A5" s="3"/>
      <c r="B5" s="214"/>
      <c r="C5" s="2"/>
      <c r="D5" s="2"/>
      <c r="E5" s="37"/>
      <c r="F5" s="2"/>
      <c r="G5" s="2"/>
      <c r="H5" s="2"/>
      <c r="I5" s="2"/>
      <c r="J5" s="2"/>
      <c r="K5" s="2"/>
      <c r="L5" s="8" t="s">
        <v>1</v>
      </c>
    </row>
    <row r="6" spans="1:12" ht="11.4">
      <c r="A6" s="3"/>
      <c r="B6" s="214"/>
      <c r="C6" s="2"/>
      <c r="D6" s="2"/>
      <c r="E6" s="37"/>
      <c r="F6" s="2"/>
      <c r="G6" s="2"/>
      <c r="H6" s="2"/>
      <c r="I6" s="2"/>
      <c r="J6" s="2"/>
      <c r="K6" s="2"/>
      <c r="L6" s="5"/>
    </row>
    <row r="7" spans="1:12" ht="19.5" customHeight="1">
      <c r="A7" s="20" t="s">
        <v>397</v>
      </c>
      <c r="B7" s="215"/>
      <c r="C7" s="25"/>
      <c r="D7" s="25"/>
      <c r="E7" s="25"/>
      <c r="F7" s="25"/>
      <c r="G7" s="25"/>
      <c r="H7" s="25"/>
      <c r="I7" s="25"/>
      <c r="J7" s="25"/>
      <c r="K7" s="25"/>
      <c r="L7" s="25"/>
    </row>
    <row r="8" spans="1:12" ht="17.25" customHeight="1">
      <c r="A8" s="25"/>
      <c r="B8" s="25" t="s">
        <v>595</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566</v>
      </c>
      <c r="B10" s="215"/>
      <c r="C10" s="25"/>
      <c r="D10" s="25"/>
      <c r="E10" s="25"/>
      <c r="F10" s="25"/>
      <c r="G10" s="25"/>
      <c r="H10" s="25"/>
      <c r="I10" s="25"/>
      <c r="J10" s="25"/>
      <c r="K10" s="25"/>
      <c r="L10" s="22"/>
    </row>
    <row r="11" spans="1:12" ht="19.5" customHeight="1">
      <c r="A11" s="27"/>
      <c r="B11" s="25" t="s">
        <v>440</v>
      </c>
      <c r="C11" s="25"/>
      <c r="D11" s="25"/>
      <c r="E11" s="25"/>
      <c r="F11" s="21"/>
      <c r="G11" s="21"/>
      <c r="H11" s="21"/>
      <c r="I11" s="21"/>
      <c r="J11" s="21"/>
      <c r="K11" s="21"/>
      <c r="L11" s="22" t="s">
        <v>2</v>
      </c>
    </row>
    <row r="12" spans="1:12" ht="19.5" customHeight="1">
      <c r="A12" s="27"/>
      <c r="B12" s="25" t="s">
        <v>378</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390</v>
      </c>
      <c r="B14" s="25"/>
      <c r="C14" s="25"/>
      <c r="D14" s="25"/>
      <c r="E14" s="25"/>
      <c r="F14" s="25"/>
      <c r="G14" s="25"/>
      <c r="H14" s="25"/>
      <c r="I14" s="25"/>
      <c r="J14" s="25"/>
      <c r="K14" s="25"/>
      <c r="L14" s="22"/>
    </row>
    <row r="15" spans="1:12" ht="19.5" customHeight="1">
      <c r="A15" s="27"/>
      <c r="B15" s="25" t="s">
        <v>367</v>
      </c>
      <c r="C15" s="25"/>
      <c r="D15" s="25"/>
      <c r="E15" s="25"/>
      <c r="F15" s="21"/>
      <c r="G15" s="21"/>
      <c r="H15" s="21"/>
      <c r="I15" s="21"/>
      <c r="J15" s="21"/>
      <c r="K15" s="21"/>
      <c r="L15" s="22" t="s">
        <v>3</v>
      </c>
    </row>
    <row r="16" spans="1:12" ht="19.5" customHeight="1">
      <c r="A16" s="27"/>
      <c r="B16" s="25" t="s">
        <v>376</v>
      </c>
      <c r="C16" s="25"/>
      <c r="D16" s="25"/>
      <c r="E16" s="25"/>
      <c r="F16" s="25"/>
      <c r="G16" s="21"/>
      <c r="H16" s="21"/>
      <c r="I16" s="21"/>
      <c r="J16" s="21"/>
      <c r="K16" s="21"/>
      <c r="L16" s="22" t="s">
        <v>4</v>
      </c>
    </row>
    <row r="17" spans="1:12" ht="19.5" customHeight="1">
      <c r="A17" s="27"/>
      <c r="B17" s="25" t="s">
        <v>368</v>
      </c>
      <c r="C17" s="25"/>
      <c r="D17" s="25"/>
      <c r="E17" s="25"/>
      <c r="F17" s="25"/>
      <c r="G17" s="21"/>
      <c r="H17" s="21"/>
      <c r="I17" s="21"/>
      <c r="J17" s="21"/>
      <c r="K17" s="21"/>
      <c r="L17" s="22" t="s">
        <v>5</v>
      </c>
    </row>
    <row r="18" spans="1:12" ht="19.5" customHeight="1">
      <c r="A18" s="27"/>
      <c r="B18" s="25" t="s">
        <v>369</v>
      </c>
      <c r="C18" s="25"/>
      <c r="D18" s="25"/>
      <c r="E18" s="25"/>
      <c r="F18" s="21"/>
      <c r="G18" s="21"/>
      <c r="H18" s="21"/>
      <c r="I18" s="21"/>
      <c r="J18" s="21"/>
      <c r="K18" s="21"/>
      <c r="L18" s="22" t="s">
        <v>6</v>
      </c>
    </row>
    <row r="19" spans="1:12" ht="19.5" customHeight="1">
      <c r="A19" s="27"/>
      <c r="B19" s="25" t="s">
        <v>370</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389</v>
      </c>
      <c r="B21" s="25"/>
      <c r="C21" s="25"/>
      <c r="D21" s="25"/>
      <c r="E21" s="25"/>
      <c r="F21" s="25"/>
      <c r="G21" s="25"/>
      <c r="H21" s="25"/>
      <c r="I21" s="25"/>
      <c r="J21" s="25"/>
      <c r="K21" s="25"/>
      <c r="L21" s="30"/>
    </row>
    <row r="22" spans="1:12" ht="19.5" customHeight="1">
      <c r="A22" s="25"/>
      <c r="B22" s="25" t="s">
        <v>391</v>
      </c>
      <c r="C22" s="25"/>
      <c r="D22" s="25"/>
      <c r="E22" s="25"/>
      <c r="F22" s="25"/>
      <c r="G22" s="21"/>
      <c r="H22" s="21"/>
      <c r="I22" s="21"/>
      <c r="J22" s="21"/>
      <c r="K22" s="21"/>
      <c r="L22" s="22" t="s">
        <v>9</v>
      </c>
    </row>
    <row r="23" spans="1:12" ht="19.5" customHeight="1">
      <c r="A23" s="31"/>
      <c r="B23" s="25" t="s">
        <v>430</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393</v>
      </c>
      <c r="C26" s="25"/>
      <c r="D26" s="25"/>
      <c r="E26" s="25"/>
      <c r="F26" s="21"/>
      <c r="G26" s="21"/>
      <c r="H26" s="21"/>
      <c r="I26" s="21"/>
      <c r="J26" s="21"/>
      <c r="K26" s="33"/>
      <c r="L26" s="22" t="s">
        <v>11</v>
      </c>
    </row>
    <row r="27" spans="1:12" ht="19.5" customHeight="1">
      <c r="A27" s="25"/>
      <c r="B27" s="25" t="s">
        <v>371</v>
      </c>
      <c r="C27" s="25"/>
      <c r="D27" s="25"/>
      <c r="E27" s="25"/>
      <c r="F27" s="25"/>
      <c r="G27" s="21"/>
      <c r="H27" s="21"/>
      <c r="I27" s="21"/>
      <c r="J27" s="21"/>
      <c r="K27" s="33"/>
      <c r="L27" s="22" t="s">
        <v>11</v>
      </c>
    </row>
    <row r="28" spans="1:12" ht="19.5" customHeight="1">
      <c r="A28" s="31"/>
      <c r="B28" s="25" t="s">
        <v>392</v>
      </c>
      <c r="C28" s="25"/>
      <c r="D28" s="25"/>
      <c r="E28" s="25"/>
      <c r="F28" s="21"/>
      <c r="G28" s="21"/>
      <c r="H28" s="33"/>
      <c r="I28" s="33"/>
      <c r="J28" s="33"/>
      <c r="K28" s="33"/>
      <c r="L28" s="22" t="s">
        <v>12</v>
      </c>
    </row>
    <row r="29" spans="1:12" ht="19.5" customHeight="1">
      <c r="A29" s="31"/>
      <c r="B29" s="25" t="s">
        <v>377</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382</v>
      </c>
      <c r="B31" s="25"/>
      <c r="C31" s="25"/>
      <c r="D31" s="25"/>
      <c r="E31" s="25"/>
      <c r="F31" s="25"/>
      <c r="G31" s="25"/>
      <c r="H31" s="25"/>
      <c r="I31" s="25"/>
      <c r="J31" s="25"/>
      <c r="K31" s="25"/>
      <c r="L31" s="22"/>
    </row>
    <row r="32" spans="1:12" ht="19.5" customHeight="1">
      <c r="A32" s="31"/>
      <c r="B32" s="25" t="s">
        <v>394</v>
      </c>
      <c r="C32" s="25"/>
      <c r="D32" s="25"/>
      <c r="E32" s="25"/>
      <c r="F32" s="25"/>
      <c r="G32" s="21"/>
      <c r="H32" s="21"/>
      <c r="I32" s="21"/>
      <c r="J32" s="21"/>
      <c r="K32" s="21"/>
      <c r="L32" s="22" t="s">
        <v>13</v>
      </c>
    </row>
    <row r="33" spans="1:12" ht="19.5" customHeight="1">
      <c r="A33" s="31"/>
      <c r="B33" s="25" t="s">
        <v>372</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373</v>
      </c>
      <c r="B35" s="26"/>
      <c r="C35" s="32"/>
      <c r="D35" s="26"/>
      <c r="E35" s="26"/>
      <c r="F35" s="26"/>
      <c r="G35" s="26"/>
      <c r="H35" s="26"/>
      <c r="I35" s="26"/>
      <c r="J35" s="26"/>
      <c r="K35" s="26"/>
      <c r="L35" s="22"/>
    </row>
    <row r="36" spans="1:12" ht="19.5" customHeight="1">
      <c r="A36" s="27"/>
      <c r="B36" s="25" t="s">
        <v>395</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374</v>
      </c>
      <c r="B38" s="35"/>
      <c r="C38" s="25"/>
      <c r="D38" s="25"/>
      <c r="E38" s="25"/>
      <c r="F38" s="25"/>
      <c r="G38" s="25"/>
      <c r="H38" s="25"/>
      <c r="I38" s="25"/>
      <c r="J38" s="25"/>
      <c r="K38" s="25"/>
      <c r="L38" s="38"/>
    </row>
    <row r="39" spans="1:12" ht="19.5" customHeight="1">
      <c r="A39" s="27"/>
      <c r="B39" s="25" t="s">
        <v>375</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396</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H85"/>
  <sheetViews>
    <sheetView showGridLines="0" view="pageBreakPreview" zoomScaleNormal="100" zoomScaleSheetLayoutView="100" zoomScalePageLayoutView="110" workbookViewId="0">
      <selection activeCell="R35" sqref="R35"/>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7" t="s">
        <v>273</v>
      </c>
      <c r="B1" s="266"/>
      <c r="C1" s="266"/>
      <c r="D1" s="266"/>
      <c r="E1" s="266"/>
      <c r="F1" s="266"/>
      <c r="G1" s="266"/>
    </row>
    <row r="2" spans="1:8" ht="14.25" customHeight="1">
      <c r="A2" s="880" t="s">
        <v>248</v>
      </c>
      <c r="B2" s="883" t="s">
        <v>54</v>
      </c>
      <c r="C2" s="886" t="str">
        <f>"ENERGÍA PRODUCIDA "&amp;UPPER('1. Resumen'!Q4)&amp;" "&amp;'1. Resumen'!Q5</f>
        <v>ENERGÍA PRODUCIDA MAYO 2022</v>
      </c>
      <c r="D2" s="886"/>
      <c r="E2" s="886"/>
      <c r="F2" s="886"/>
      <c r="G2" s="502" t="s">
        <v>274</v>
      </c>
      <c r="H2" s="201"/>
    </row>
    <row r="3" spans="1:8" ht="11.25" customHeight="1">
      <c r="A3" s="881"/>
      <c r="B3" s="884"/>
      <c r="C3" s="887" t="s">
        <v>275</v>
      </c>
      <c r="D3" s="887"/>
      <c r="E3" s="887"/>
      <c r="F3" s="888" t="str">
        <f>"TOTAL 
"&amp;UPPER('1. Resumen'!Q4)</f>
        <v>TOTAL 
MAYO</v>
      </c>
      <c r="G3" s="503" t="s">
        <v>276</v>
      </c>
      <c r="H3" s="192"/>
    </row>
    <row r="4" spans="1:8" ht="12.75" customHeight="1">
      <c r="A4" s="881"/>
      <c r="B4" s="884"/>
      <c r="C4" s="498" t="s">
        <v>213</v>
      </c>
      <c r="D4" s="498" t="s">
        <v>214</v>
      </c>
      <c r="E4" s="498" t="s">
        <v>277</v>
      </c>
      <c r="F4" s="889"/>
      <c r="G4" s="503">
        <v>2022</v>
      </c>
      <c r="H4" s="194"/>
    </row>
    <row r="5" spans="1:8" ht="11.25" customHeight="1">
      <c r="A5" s="882"/>
      <c r="B5" s="885"/>
      <c r="C5" s="499" t="s">
        <v>278</v>
      </c>
      <c r="D5" s="499" t="s">
        <v>278</v>
      </c>
      <c r="E5" s="499" t="s">
        <v>278</v>
      </c>
      <c r="F5" s="499" t="s">
        <v>278</v>
      </c>
      <c r="G5" s="504" t="s">
        <v>206</v>
      </c>
      <c r="H5" s="194"/>
    </row>
    <row r="6" spans="1:8" ht="9.75" customHeight="1">
      <c r="A6" s="535" t="s">
        <v>119</v>
      </c>
      <c r="B6" s="333" t="s">
        <v>86</v>
      </c>
      <c r="C6" s="334"/>
      <c r="D6" s="334"/>
      <c r="E6" s="334">
        <v>8437.2436875000003</v>
      </c>
      <c r="F6" s="334">
        <v>8437.2436875000003</v>
      </c>
      <c r="G6" s="534">
        <v>8437.2436875000003</v>
      </c>
      <c r="H6" s="194"/>
    </row>
    <row r="7" spans="1:8" ht="9.75" customHeight="1">
      <c r="A7" s="531" t="s">
        <v>477</v>
      </c>
      <c r="B7" s="399"/>
      <c r="C7" s="400"/>
      <c r="D7" s="400"/>
      <c r="E7" s="400">
        <v>8437.2436875000003</v>
      </c>
      <c r="F7" s="400">
        <v>8437.2436875000003</v>
      </c>
      <c r="G7" s="533">
        <v>8437.2436875000003</v>
      </c>
      <c r="H7" s="194"/>
    </row>
    <row r="8" spans="1:8" ht="9.75" customHeight="1">
      <c r="A8" s="535" t="s">
        <v>118</v>
      </c>
      <c r="B8" s="333" t="s">
        <v>63</v>
      </c>
      <c r="C8" s="334"/>
      <c r="D8" s="334"/>
      <c r="E8" s="334">
        <v>12083.802577499999</v>
      </c>
      <c r="F8" s="334">
        <v>12083.802577499999</v>
      </c>
      <c r="G8" s="534">
        <v>58725.80661</v>
      </c>
      <c r="H8" s="194"/>
    </row>
    <row r="9" spans="1:8" ht="9.75" customHeight="1">
      <c r="A9" s="531" t="s">
        <v>478</v>
      </c>
      <c r="B9" s="399"/>
      <c r="C9" s="400"/>
      <c r="D9" s="400"/>
      <c r="E9" s="400">
        <v>12083.802577499999</v>
      </c>
      <c r="F9" s="400">
        <v>12083.802577499999</v>
      </c>
      <c r="G9" s="533">
        <v>58725.80661</v>
      </c>
      <c r="H9" s="194"/>
    </row>
    <row r="10" spans="1:8" ht="9.75" customHeight="1">
      <c r="A10" s="530" t="s">
        <v>106</v>
      </c>
      <c r="B10" s="297" t="s">
        <v>83</v>
      </c>
      <c r="C10" s="501"/>
      <c r="D10" s="501"/>
      <c r="E10" s="501">
        <v>0</v>
      </c>
      <c r="F10" s="501">
        <v>0</v>
      </c>
      <c r="G10" s="532">
        <v>34070.214549999997</v>
      </c>
      <c r="H10" s="194"/>
    </row>
    <row r="11" spans="1:8" ht="9.75" customHeight="1">
      <c r="A11" s="531" t="s">
        <v>479</v>
      </c>
      <c r="B11" s="399"/>
      <c r="C11" s="400"/>
      <c r="D11" s="400"/>
      <c r="E11" s="400">
        <v>0</v>
      </c>
      <c r="F11" s="400">
        <v>0</v>
      </c>
      <c r="G11" s="533">
        <v>34070.214549999997</v>
      </c>
      <c r="H11" s="194"/>
    </row>
    <row r="12" spans="1:8" ht="9" customHeight="1">
      <c r="A12" s="530" t="s">
        <v>414</v>
      </c>
      <c r="B12" s="297" t="s">
        <v>416</v>
      </c>
      <c r="C12" s="501"/>
      <c r="D12" s="501"/>
      <c r="E12" s="501">
        <v>6317.5623699999996</v>
      </c>
      <c r="F12" s="501">
        <v>6317.5623699999996</v>
      </c>
      <c r="G12" s="532">
        <v>50962.323629999999</v>
      </c>
      <c r="H12" s="194"/>
    </row>
    <row r="13" spans="1:8" ht="9" customHeight="1">
      <c r="A13" s="531" t="s">
        <v>480</v>
      </c>
      <c r="B13" s="399"/>
      <c r="C13" s="400"/>
      <c r="D13" s="400"/>
      <c r="E13" s="400">
        <v>6317.5623699999996</v>
      </c>
      <c r="F13" s="400">
        <v>6317.5623699999996</v>
      </c>
      <c r="G13" s="533">
        <v>50962.323629999999</v>
      </c>
      <c r="H13" s="194"/>
    </row>
    <row r="14" spans="1:8" ht="9" customHeight="1">
      <c r="A14" s="530" t="s">
        <v>466</v>
      </c>
      <c r="B14" s="297" t="s">
        <v>75</v>
      </c>
      <c r="C14" s="501"/>
      <c r="D14" s="501"/>
      <c r="E14" s="501">
        <v>0</v>
      </c>
      <c r="F14" s="501">
        <v>0</v>
      </c>
      <c r="G14" s="532">
        <v>1101.248615</v>
      </c>
      <c r="H14" s="194"/>
    </row>
    <row r="15" spans="1:8" ht="9" customHeight="1">
      <c r="A15" s="531" t="s">
        <v>481</v>
      </c>
      <c r="B15" s="399"/>
      <c r="C15" s="400"/>
      <c r="D15" s="400"/>
      <c r="E15" s="400">
        <v>0</v>
      </c>
      <c r="F15" s="400">
        <v>0</v>
      </c>
      <c r="G15" s="533">
        <v>1101.248615</v>
      </c>
      <c r="H15" s="194"/>
    </row>
    <row r="16" spans="1:8" ht="9" customHeight="1">
      <c r="A16" s="530" t="s">
        <v>445</v>
      </c>
      <c r="B16" s="297" t="s">
        <v>451</v>
      </c>
      <c r="C16" s="501"/>
      <c r="D16" s="501"/>
      <c r="E16" s="501">
        <v>6396.8843749999996</v>
      </c>
      <c r="F16" s="501">
        <v>6396.8843749999996</v>
      </c>
      <c r="G16" s="532">
        <v>22978.194414999998</v>
      </c>
      <c r="H16" s="194"/>
    </row>
    <row r="17" spans="1:8" ht="9" customHeight="1">
      <c r="A17" s="531" t="s">
        <v>482</v>
      </c>
      <c r="B17" s="399"/>
      <c r="C17" s="400"/>
      <c r="D17" s="400"/>
      <c r="E17" s="400">
        <v>6396.8843749999996</v>
      </c>
      <c r="F17" s="400">
        <v>6396.8843749999996</v>
      </c>
      <c r="G17" s="533">
        <v>22978.194414999998</v>
      </c>
      <c r="H17" s="194"/>
    </row>
    <row r="18" spans="1:8" ht="9" customHeight="1">
      <c r="A18" s="530" t="s">
        <v>94</v>
      </c>
      <c r="B18" s="297" t="s">
        <v>279</v>
      </c>
      <c r="C18" s="501">
        <v>96643.174674999987</v>
      </c>
      <c r="D18" s="501"/>
      <c r="E18" s="501"/>
      <c r="F18" s="501">
        <v>96643.174674999987</v>
      </c>
      <c r="G18" s="532">
        <v>651721.76660250011</v>
      </c>
      <c r="H18" s="194"/>
    </row>
    <row r="19" spans="1:8" ht="9" customHeight="1">
      <c r="A19" s="531" t="s">
        <v>483</v>
      </c>
      <c r="B19" s="399"/>
      <c r="C19" s="400">
        <v>96643.174674999987</v>
      </c>
      <c r="D19" s="400"/>
      <c r="E19" s="400"/>
      <c r="F19" s="400">
        <v>96643.174674999987</v>
      </c>
      <c r="G19" s="533">
        <v>651721.76660250011</v>
      </c>
      <c r="H19" s="194"/>
    </row>
    <row r="20" spans="1:8" ht="9" customHeight="1">
      <c r="A20" s="530" t="s">
        <v>468</v>
      </c>
      <c r="B20" s="297" t="s">
        <v>320</v>
      </c>
      <c r="C20" s="501">
        <v>14768.044275</v>
      </c>
      <c r="D20" s="501"/>
      <c r="E20" s="501"/>
      <c r="F20" s="501">
        <v>14768.044275</v>
      </c>
      <c r="G20" s="532">
        <v>67646.122377499996</v>
      </c>
      <c r="H20" s="194"/>
    </row>
    <row r="21" spans="1:8" ht="9" customHeight="1">
      <c r="A21" s="531" t="s">
        <v>484</v>
      </c>
      <c r="B21" s="399"/>
      <c r="C21" s="400">
        <v>14768.044275</v>
      </c>
      <c r="D21" s="400"/>
      <c r="E21" s="400"/>
      <c r="F21" s="400">
        <v>14768.044275</v>
      </c>
      <c r="G21" s="533">
        <v>67646.122377499996</v>
      </c>
      <c r="H21" s="194"/>
    </row>
    <row r="22" spans="1:8" ht="9" customHeight="1">
      <c r="A22" s="530" t="s">
        <v>543</v>
      </c>
      <c r="B22" s="297" t="s">
        <v>568</v>
      </c>
      <c r="C22" s="501">
        <v>690.66038500000002</v>
      </c>
      <c r="D22" s="501"/>
      <c r="E22" s="501"/>
      <c r="F22" s="501">
        <v>690.66038500000002</v>
      </c>
      <c r="G22" s="532">
        <v>3342.5691100000004</v>
      </c>
      <c r="H22" s="194"/>
    </row>
    <row r="23" spans="1:8" ht="9" customHeight="1">
      <c r="A23" s="530"/>
      <c r="B23" s="297" t="s">
        <v>569</v>
      </c>
      <c r="C23" s="501">
        <v>1232.6012175000001</v>
      </c>
      <c r="D23" s="501"/>
      <c r="E23" s="501"/>
      <c r="F23" s="501">
        <v>1232.6012175000001</v>
      </c>
      <c r="G23" s="532">
        <v>5420.7248975000002</v>
      </c>
      <c r="H23" s="194"/>
    </row>
    <row r="24" spans="1:8" ht="9" customHeight="1">
      <c r="A24" s="531" t="s">
        <v>545</v>
      </c>
      <c r="B24" s="399"/>
      <c r="C24" s="400">
        <v>1923.2616025000002</v>
      </c>
      <c r="D24" s="400"/>
      <c r="E24" s="400"/>
      <c r="F24" s="400">
        <v>1923.2616025000002</v>
      </c>
      <c r="G24" s="533">
        <v>8763.2940075000006</v>
      </c>
      <c r="H24" s="194"/>
    </row>
    <row r="25" spans="1:8" ht="9" customHeight="1">
      <c r="A25" s="530" t="s">
        <v>234</v>
      </c>
      <c r="B25" s="297" t="s">
        <v>280</v>
      </c>
      <c r="C25" s="501"/>
      <c r="D25" s="501">
        <v>0</v>
      </c>
      <c r="E25" s="501"/>
      <c r="F25" s="501">
        <v>0</v>
      </c>
      <c r="G25" s="532">
        <v>774.1956674999999</v>
      </c>
      <c r="H25" s="194"/>
    </row>
    <row r="26" spans="1:8" ht="9" customHeight="1">
      <c r="A26" s="531" t="s">
        <v>485</v>
      </c>
      <c r="B26" s="399"/>
      <c r="C26" s="400"/>
      <c r="D26" s="400">
        <v>0</v>
      </c>
      <c r="E26" s="400"/>
      <c r="F26" s="400">
        <v>0</v>
      </c>
      <c r="G26" s="533">
        <v>774.1956674999999</v>
      </c>
      <c r="H26" s="194"/>
    </row>
    <row r="27" spans="1:8" ht="9" customHeight="1">
      <c r="A27" s="530" t="s">
        <v>93</v>
      </c>
      <c r="B27" s="297" t="s">
        <v>281</v>
      </c>
      <c r="C27" s="501">
        <v>73688.397500000006</v>
      </c>
      <c r="D27" s="501"/>
      <c r="E27" s="501"/>
      <c r="F27" s="501">
        <v>73688.397500000006</v>
      </c>
      <c r="G27" s="532">
        <v>414779.15775000001</v>
      </c>
      <c r="H27" s="194"/>
    </row>
    <row r="28" spans="1:8" ht="9" customHeight="1">
      <c r="A28" s="530"/>
      <c r="B28" s="297" t="s">
        <v>282</v>
      </c>
      <c r="C28" s="501">
        <v>24820.349249999999</v>
      </c>
      <c r="D28" s="501"/>
      <c r="E28" s="501"/>
      <c r="F28" s="501">
        <v>24820.349249999999</v>
      </c>
      <c r="G28" s="532">
        <v>122862.272</v>
      </c>
      <c r="H28" s="194"/>
    </row>
    <row r="29" spans="1:8" ht="9" customHeight="1">
      <c r="A29" s="531" t="s">
        <v>486</v>
      </c>
      <c r="B29" s="399"/>
      <c r="C29" s="400">
        <v>98508.746750000006</v>
      </c>
      <c r="D29" s="400"/>
      <c r="E29" s="400"/>
      <c r="F29" s="400">
        <v>98508.746750000006</v>
      </c>
      <c r="G29" s="533">
        <v>537641.42975000001</v>
      </c>
      <c r="H29" s="194"/>
    </row>
    <row r="30" spans="1:8" ht="9" customHeight="1">
      <c r="A30" s="530" t="s">
        <v>544</v>
      </c>
      <c r="B30" s="297" t="s">
        <v>570</v>
      </c>
      <c r="C30" s="501"/>
      <c r="D30" s="501"/>
      <c r="E30" s="501">
        <v>254.3896575</v>
      </c>
      <c r="F30" s="501">
        <v>254.3896575</v>
      </c>
      <c r="G30" s="532">
        <v>1020.19603</v>
      </c>
      <c r="H30" s="194"/>
    </row>
    <row r="31" spans="1:8" ht="9" customHeight="1">
      <c r="A31" s="531" t="s">
        <v>546</v>
      </c>
      <c r="B31" s="399"/>
      <c r="C31" s="400"/>
      <c r="D31" s="400"/>
      <c r="E31" s="400">
        <v>254.3896575</v>
      </c>
      <c r="F31" s="400">
        <v>254.3896575</v>
      </c>
      <c r="G31" s="533">
        <v>1020.19603</v>
      </c>
      <c r="H31" s="194"/>
    </row>
    <row r="32" spans="1:8" ht="9" customHeight="1">
      <c r="A32" s="530" t="s">
        <v>91</v>
      </c>
      <c r="B32" s="297" t="s">
        <v>283</v>
      </c>
      <c r="C32" s="501">
        <v>1229.5715175</v>
      </c>
      <c r="D32" s="501"/>
      <c r="E32" s="501"/>
      <c r="F32" s="501">
        <v>1229.5715175</v>
      </c>
      <c r="G32" s="532">
        <v>5968.3701075000008</v>
      </c>
      <c r="H32" s="194"/>
    </row>
    <row r="33" spans="1:8" ht="9" customHeight="1">
      <c r="A33" s="530"/>
      <c r="B33" s="297" t="s">
        <v>284</v>
      </c>
      <c r="C33" s="501">
        <v>418.79875750000002</v>
      </c>
      <c r="D33" s="501"/>
      <c r="E33" s="501"/>
      <c r="F33" s="501">
        <v>418.79875750000002</v>
      </c>
      <c r="G33" s="532">
        <v>2045.5221825000001</v>
      </c>
      <c r="H33" s="194"/>
    </row>
    <row r="34" spans="1:8" ht="9" customHeight="1">
      <c r="A34" s="530"/>
      <c r="B34" s="297" t="s">
        <v>285</v>
      </c>
      <c r="C34" s="501">
        <v>3444.1800324999999</v>
      </c>
      <c r="D34" s="501"/>
      <c r="E34" s="501"/>
      <c r="F34" s="501">
        <v>3444.1800324999999</v>
      </c>
      <c r="G34" s="532">
        <v>16470.029607500001</v>
      </c>
      <c r="H34" s="194"/>
    </row>
    <row r="35" spans="1:8" ht="9" customHeight="1">
      <c r="A35" s="530"/>
      <c r="B35" s="297" t="s">
        <v>286</v>
      </c>
      <c r="C35" s="501">
        <v>8722.8500449999992</v>
      </c>
      <c r="D35" s="501"/>
      <c r="E35" s="501"/>
      <c r="F35" s="501">
        <v>8722.8500449999992</v>
      </c>
      <c r="G35" s="532">
        <v>45489.157800000001</v>
      </c>
      <c r="H35" s="194"/>
    </row>
    <row r="36" spans="1:8" ht="9" customHeight="1">
      <c r="A36" s="530"/>
      <c r="B36" s="297" t="s">
        <v>287</v>
      </c>
      <c r="C36" s="501">
        <v>53417.425962499998</v>
      </c>
      <c r="D36" s="501"/>
      <c r="E36" s="501"/>
      <c r="F36" s="501">
        <v>53417.425962499998</v>
      </c>
      <c r="G36" s="532">
        <v>285270.80468499998</v>
      </c>
      <c r="H36" s="194"/>
    </row>
    <row r="37" spans="1:8" ht="9" customHeight="1">
      <c r="A37" s="530"/>
      <c r="B37" s="297" t="s">
        <v>288</v>
      </c>
      <c r="C37" s="501">
        <v>5077.0155500000001</v>
      </c>
      <c r="D37" s="501"/>
      <c r="E37" s="501"/>
      <c r="F37" s="501">
        <v>5077.0155500000001</v>
      </c>
      <c r="G37" s="532">
        <v>26252.453457499996</v>
      </c>
      <c r="H37" s="194"/>
    </row>
    <row r="38" spans="1:8" ht="9" customHeight="1">
      <c r="A38" s="530"/>
      <c r="B38" s="297" t="s">
        <v>289</v>
      </c>
      <c r="C38" s="501"/>
      <c r="D38" s="501">
        <v>33.498474999999999</v>
      </c>
      <c r="E38" s="501"/>
      <c r="F38" s="501">
        <v>33.498474999999999</v>
      </c>
      <c r="G38" s="532">
        <v>55.691034999999999</v>
      </c>
      <c r="H38" s="194"/>
    </row>
    <row r="39" spans="1:8" ht="9.75" customHeight="1">
      <c r="A39" s="530"/>
      <c r="B39" s="297" t="s">
        <v>290</v>
      </c>
      <c r="C39" s="501"/>
      <c r="D39" s="501">
        <v>4.1210599999999999</v>
      </c>
      <c r="E39" s="501"/>
      <c r="F39" s="501">
        <v>4.1210599999999999</v>
      </c>
      <c r="G39" s="532">
        <v>101.99028000000001</v>
      </c>
      <c r="H39" s="194"/>
    </row>
    <row r="40" spans="1:8" ht="9.75" customHeight="1">
      <c r="A40" s="531" t="s">
        <v>487</v>
      </c>
      <c r="B40" s="399"/>
      <c r="C40" s="400">
        <v>72309.841864999995</v>
      </c>
      <c r="D40" s="400">
        <v>37.619534999999999</v>
      </c>
      <c r="E40" s="400"/>
      <c r="F40" s="400">
        <v>72347.4614</v>
      </c>
      <c r="G40" s="533">
        <v>381654.01915499999</v>
      </c>
      <c r="H40" s="194"/>
    </row>
    <row r="41" spans="1:8" ht="10.95" customHeight="1">
      <c r="A41" s="530" t="s">
        <v>112</v>
      </c>
      <c r="B41" s="297" t="s">
        <v>70</v>
      </c>
      <c r="C41" s="501"/>
      <c r="D41" s="501"/>
      <c r="E41" s="501">
        <v>1986.4998224999999</v>
      </c>
      <c r="F41" s="501">
        <v>1986.4998224999999</v>
      </c>
      <c r="G41" s="532">
        <v>12434.6278575</v>
      </c>
      <c r="H41" s="194"/>
    </row>
    <row r="42" spans="1:8" ht="12" customHeight="1">
      <c r="A42" s="531" t="s">
        <v>488</v>
      </c>
      <c r="B42" s="399"/>
      <c r="C42" s="400"/>
      <c r="D42" s="400"/>
      <c r="E42" s="400">
        <v>1986.4998224999999</v>
      </c>
      <c r="F42" s="400">
        <v>1986.4998224999999</v>
      </c>
      <c r="G42" s="533">
        <v>12434.6278575</v>
      </c>
      <c r="H42" s="194"/>
    </row>
    <row r="43" spans="1:8" ht="9.75" customHeight="1">
      <c r="A43" s="530" t="s">
        <v>92</v>
      </c>
      <c r="B43" s="297" t="s">
        <v>292</v>
      </c>
      <c r="C43" s="501">
        <v>119122.8275</v>
      </c>
      <c r="D43" s="501"/>
      <c r="E43" s="501"/>
      <c r="F43" s="501">
        <v>119122.8275</v>
      </c>
      <c r="G43" s="532">
        <v>575682.96496999997</v>
      </c>
      <c r="H43" s="194"/>
    </row>
    <row r="44" spans="1:8" ht="9.75" customHeight="1">
      <c r="A44" s="531" t="s">
        <v>489</v>
      </c>
      <c r="B44" s="399"/>
      <c r="C44" s="400">
        <v>119122.8275</v>
      </c>
      <c r="D44" s="400"/>
      <c r="E44" s="400"/>
      <c r="F44" s="400">
        <v>119122.8275</v>
      </c>
      <c r="G44" s="533">
        <v>575682.96496999997</v>
      </c>
      <c r="H44" s="194"/>
    </row>
    <row r="45" spans="1:8" ht="9.75" customHeight="1">
      <c r="A45" s="530" t="s">
        <v>101</v>
      </c>
      <c r="B45" s="297" t="s">
        <v>293</v>
      </c>
      <c r="C45" s="501">
        <v>5255.0327374999997</v>
      </c>
      <c r="D45" s="501"/>
      <c r="E45" s="501"/>
      <c r="F45" s="501">
        <v>5255.0327374999997</v>
      </c>
      <c r="G45" s="532">
        <v>25099.837217499997</v>
      </c>
      <c r="H45" s="194"/>
    </row>
    <row r="46" spans="1:8" ht="9.75" customHeight="1">
      <c r="A46" s="530"/>
      <c r="B46" s="297" t="s">
        <v>294</v>
      </c>
      <c r="C46" s="501">
        <v>3763.8960824999999</v>
      </c>
      <c r="D46" s="501"/>
      <c r="E46" s="501"/>
      <c r="F46" s="501">
        <v>3763.8960824999999</v>
      </c>
      <c r="G46" s="532">
        <v>17233.764837499999</v>
      </c>
      <c r="H46" s="194"/>
    </row>
    <row r="47" spans="1:8" ht="9.75" customHeight="1">
      <c r="A47" s="530"/>
      <c r="B47" s="297" t="s">
        <v>295</v>
      </c>
      <c r="C47" s="501"/>
      <c r="D47" s="501">
        <v>9542.4256725000014</v>
      </c>
      <c r="E47" s="501"/>
      <c r="F47" s="501">
        <v>9542.4256725000014</v>
      </c>
      <c r="G47" s="532">
        <v>51928.054215000004</v>
      </c>
      <c r="H47" s="194"/>
    </row>
    <row r="48" spans="1:8" ht="9.75" customHeight="1">
      <c r="A48" s="531" t="s">
        <v>490</v>
      </c>
      <c r="B48" s="399"/>
      <c r="C48" s="400">
        <v>9018.9288199999992</v>
      </c>
      <c r="D48" s="400">
        <v>9542.4256725000014</v>
      </c>
      <c r="E48" s="400"/>
      <c r="F48" s="400">
        <v>18561.354492500002</v>
      </c>
      <c r="G48" s="533">
        <v>94261.656270000007</v>
      </c>
      <c r="H48" s="194"/>
    </row>
    <row r="49" spans="1:8" ht="9.75" customHeight="1">
      <c r="A49" s="530" t="s">
        <v>113</v>
      </c>
      <c r="B49" s="297" t="s">
        <v>73</v>
      </c>
      <c r="C49" s="501"/>
      <c r="D49" s="501"/>
      <c r="E49" s="501">
        <v>2679.5507250000001</v>
      </c>
      <c r="F49" s="501">
        <v>2679.5507250000001</v>
      </c>
      <c r="G49" s="532">
        <v>12795.304075</v>
      </c>
      <c r="H49" s="194"/>
    </row>
    <row r="50" spans="1:8" ht="9.75" customHeight="1">
      <c r="A50" s="531" t="s">
        <v>491</v>
      </c>
      <c r="B50" s="399"/>
      <c r="C50" s="400"/>
      <c r="D50" s="400"/>
      <c r="E50" s="400">
        <v>2679.5507250000001</v>
      </c>
      <c r="F50" s="400">
        <v>2679.5507250000001</v>
      </c>
      <c r="G50" s="533">
        <v>12795.304075</v>
      </c>
      <c r="H50" s="194"/>
    </row>
    <row r="51" spans="1:8" ht="9.75" customHeight="1">
      <c r="A51" s="530" t="s">
        <v>89</v>
      </c>
      <c r="B51" s="297" t="s">
        <v>296</v>
      </c>
      <c r="C51" s="501">
        <v>475982.72759999998</v>
      </c>
      <c r="D51" s="501"/>
      <c r="E51" s="501"/>
      <c r="F51" s="501">
        <v>475982.72759999998</v>
      </c>
      <c r="G51" s="532">
        <v>2185370.7461999999</v>
      </c>
      <c r="H51" s="194"/>
    </row>
    <row r="52" spans="1:8" ht="9.75" customHeight="1">
      <c r="A52" s="530"/>
      <c r="B52" s="297" t="s">
        <v>297</v>
      </c>
      <c r="C52" s="501">
        <v>148450.27632</v>
      </c>
      <c r="D52" s="501"/>
      <c r="E52" s="501"/>
      <c r="F52" s="501">
        <v>148450.27632</v>
      </c>
      <c r="G52" s="532">
        <v>703673.10624000011</v>
      </c>
      <c r="H52" s="194"/>
    </row>
    <row r="53" spans="1:8" ht="9.75" customHeight="1">
      <c r="A53" s="531" t="s">
        <v>493</v>
      </c>
      <c r="B53" s="399"/>
      <c r="C53" s="400">
        <v>624433.00392000005</v>
      </c>
      <c r="D53" s="400"/>
      <c r="E53" s="400"/>
      <c r="F53" s="400">
        <v>624433.00392000005</v>
      </c>
      <c r="G53" s="533">
        <v>2889043.85244</v>
      </c>
      <c r="H53" s="194"/>
    </row>
    <row r="54" spans="1:8" ht="9.75" customHeight="1">
      <c r="A54" s="530" t="s">
        <v>235</v>
      </c>
      <c r="B54" s="297" t="s">
        <v>298</v>
      </c>
      <c r="C54" s="501">
        <v>151787.37083249999</v>
      </c>
      <c r="D54" s="501"/>
      <c r="E54" s="501"/>
      <c r="F54" s="501">
        <v>151787.37083249999</v>
      </c>
      <c r="G54" s="532">
        <v>1180415.6205199999</v>
      </c>
      <c r="H54" s="194"/>
    </row>
    <row r="55" spans="1:8" ht="9.75" customHeight="1">
      <c r="A55" s="530"/>
      <c r="B55" s="297" t="s">
        <v>299</v>
      </c>
      <c r="C55" s="501">
        <v>4106.9889050000002</v>
      </c>
      <c r="D55" s="501"/>
      <c r="E55" s="501"/>
      <c r="F55" s="501">
        <v>4106.9889050000002</v>
      </c>
      <c r="G55" s="532">
        <v>22129.178372499999</v>
      </c>
      <c r="H55" s="111"/>
    </row>
    <row r="56" spans="1:8">
      <c r="A56" s="531" t="s">
        <v>494</v>
      </c>
      <c r="B56" s="399"/>
      <c r="C56" s="400">
        <v>155894.3597375</v>
      </c>
      <c r="D56" s="400"/>
      <c r="E56" s="400"/>
      <c r="F56" s="400">
        <v>155894.3597375</v>
      </c>
      <c r="G56" s="533">
        <v>1202544.7988924999</v>
      </c>
      <c r="H56" s="111"/>
    </row>
    <row r="57" spans="1:8" ht="9.75" customHeight="1">
      <c r="A57" s="530" t="s">
        <v>236</v>
      </c>
      <c r="B57" s="297" t="s">
        <v>300</v>
      </c>
      <c r="C57" s="501">
        <v>24059.9276125</v>
      </c>
      <c r="D57" s="501"/>
      <c r="E57" s="501"/>
      <c r="F57" s="501">
        <v>24059.9276125</v>
      </c>
      <c r="G57" s="532">
        <v>136258.63219499998</v>
      </c>
      <c r="H57" s="111"/>
    </row>
    <row r="58" spans="1:8" ht="9.75" customHeight="1">
      <c r="A58" s="531" t="s">
        <v>495</v>
      </c>
      <c r="B58" s="399"/>
      <c r="C58" s="400">
        <v>24059.9276125</v>
      </c>
      <c r="D58" s="400"/>
      <c r="E58" s="400"/>
      <c r="F58" s="400">
        <v>24059.9276125</v>
      </c>
      <c r="G58" s="533">
        <v>136258.63219499998</v>
      </c>
      <c r="H58" s="111"/>
    </row>
    <row r="59" spans="1:8" ht="9.75" customHeight="1">
      <c r="A59" s="530" t="s">
        <v>467</v>
      </c>
      <c r="B59" s="297" t="s">
        <v>65</v>
      </c>
      <c r="C59" s="501"/>
      <c r="D59" s="501"/>
      <c r="E59" s="501">
        <v>4253.4628274999995</v>
      </c>
      <c r="F59" s="501">
        <v>4253.4628274999995</v>
      </c>
      <c r="G59" s="532">
        <v>27750.071487499998</v>
      </c>
      <c r="H59" s="111"/>
    </row>
    <row r="60" spans="1:8" ht="9.75" customHeight="1">
      <c r="A60" s="530"/>
      <c r="B60" s="297" t="s">
        <v>64</v>
      </c>
      <c r="C60" s="501"/>
      <c r="D60" s="501"/>
      <c r="E60" s="501">
        <v>4551.6981724999996</v>
      </c>
      <c r="F60" s="501">
        <v>4551.6981724999996</v>
      </c>
      <c r="G60" s="532">
        <v>28614.9149975</v>
      </c>
      <c r="H60" s="111"/>
    </row>
    <row r="61" spans="1:8" ht="9.75" customHeight="1">
      <c r="A61" s="530"/>
      <c r="B61" s="297" t="s">
        <v>60</v>
      </c>
      <c r="C61" s="501"/>
      <c r="D61" s="501"/>
      <c r="E61" s="501">
        <v>5797.2597974999999</v>
      </c>
      <c r="F61" s="501">
        <v>5797.2597974999999</v>
      </c>
      <c r="G61" s="532">
        <v>56020.037142499998</v>
      </c>
      <c r="H61" s="111"/>
    </row>
    <row r="62" spans="1:8">
      <c r="A62" s="530"/>
      <c r="B62" s="297" t="s">
        <v>57</v>
      </c>
      <c r="C62" s="501"/>
      <c r="D62" s="501"/>
      <c r="E62" s="501">
        <v>8259.9745325000004</v>
      </c>
      <c r="F62" s="501">
        <v>8259.9745325000004</v>
      </c>
      <c r="G62" s="532">
        <v>63598.719664999997</v>
      </c>
      <c r="H62" s="111"/>
    </row>
    <row r="63" spans="1:8" ht="9.75" customHeight="1">
      <c r="A63" s="530"/>
      <c r="B63" s="297" t="s">
        <v>68</v>
      </c>
      <c r="C63" s="501"/>
      <c r="D63" s="501"/>
      <c r="E63" s="501">
        <v>2073.4716400000002</v>
      </c>
      <c r="F63" s="501">
        <v>2073.4716400000002</v>
      </c>
      <c r="G63" s="532">
        <v>17893.352512500001</v>
      </c>
      <c r="H63" s="111"/>
    </row>
    <row r="64" spans="1:8" ht="9.75" customHeight="1">
      <c r="A64" s="530"/>
      <c r="B64" s="297" t="s">
        <v>67</v>
      </c>
      <c r="C64" s="501"/>
      <c r="D64" s="501"/>
      <c r="E64" s="501">
        <v>2320.0215050000002</v>
      </c>
      <c r="F64" s="501">
        <v>2320.0215050000002</v>
      </c>
      <c r="G64" s="532">
        <v>19574.105987500003</v>
      </c>
      <c r="H64" s="195"/>
    </row>
    <row r="65" spans="1:8" ht="9.75" customHeight="1">
      <c r="A65" s="531" t="s">
        <v>496</v>
      </c>
      <c r="B65" s="399"/>
      <c r="C65" s="400"/>
      <c r="D65" s="400"/>
      <c r="E65" s="400">
        <v>27255.888475</v>
      </c>
      <c r="F65" s="400">
        <v>27255.888475</v>
      </c>
      <c r="G65" s="533">
        <v>213451.20179249998</v>
      </c>
      <c r="H65" s="195"/>
    </row>
    <row r="66" spans="1:8" ht="9.75" customHeight="1">
      <c r="A66" s="530" t="s">
        <v>88</v>
      </c>
      <c r="B66" s="297" t="s">
        <v>452</v>
      </c>
      <c r="C66" s="501">
        <v>49276.854749999999</v>
      </c>
      <c r="D66" s="501"/>
      <c r="E66" s="501"/>
      <c r="F66" s="501">
        <v>49276.854749999999</v>
      </c>
      <c r="G66" s="532">
        <v>259214.7095</v>
      </c>
      <c r="H66" s="195"/>
    </row>
    <row r="67" spans="1:8" ht="9.75" customHeight="1">
      <c r="A67" s="530"/>
      <c r="B67" s="297" t="s">
        <v>301</v>
      </c>
      <c r="C67" s="501">
        <v>19728.65625</v>
      </c>
      <c r="D67" s="501"/>
      <c r="E67" s="501"/>
      <c r="F67" s="501">
        <v>19728.65625</v>
      </c>
      <c r="G67" s="532">
        <v>95379.317750000002</v>
      </c>
      <c r="H67" s="195"/>
    </row>
    <row r="68" spans="1:8" ht="9.75" customHeight="1">
      <c r="A68" s="530"/>
      <c r="B68" s="297" t="s">
        <v>302</v>
      </c>
      <c r="C68" s="501">
        <v>67217.224499999997</v>
      </c>
      <c r="D68" s="501"/>
      <c r="E68" s="501"/>
      <c r="F68" s="501">
        <v>67217.224499999997</v>
      </c>
      <c r="G68" s="532">
        <v>525437.10974999995</v>
      </c>
      <c r="H68" s="195"/>
    </row>
    <row r="69" spans="1:8" ht="9.75" customHeight="1">
      <c r="A69" s="530"/>
      <c r="B69" s="297" t="s">
        <v>303</v>
      </c>
      <c r="C69" s="501">
        <v>75501.41750000001</v>
      </c>
      <c r="D69" s="501"/>
      <c r="E69" s="501"/>
      <c r="F69" s="501">
        <v>75501.41750000001</v>
      </c>
      <c r="G69" s="532">
        <v>424183.63474999997</v>
      </c>
      <c r="H69" s="195"/>
    </row>
    <row r="70" spans="1:8" ht="9.75" customHeight="1">
      <c r="A70" s="530"/>
      <c r="B70" s="297" t="s">
        <v>304</v>
      </c>
      <c r="C70" s="501">
        <v>45547.592750000003</v>
      </c>
      <c r="D70" s="501"/>
      <c r="E70" s="501"/>
      <c r="F70" s="501">
        <v>45547.592750000003</v>
      </c>
      <c r="G70" s="532">
        <v>216753.701</v>
      </c>
    </row>
    <row r="71" spans="1:8" ht="9.75" customHeight="1">
      <c r="A71" s="530"/>
      <c r="B71" s="297" t="s">
        <v>305</v>
      </c>
      <c r="C71" s="501"/>
      <c r="D71" s="501">
        <v>6589.8970000000008</v>
      </c>
      <c r="E71" s="501"/>
      <c r="F71" s="501">
        <v>6589.8970000000008</v>
      </c>
      <c r="G71" s="532">
        <v>33942.673250000007</v>
      </c>
    </row>
    <row r="72" spans="1:8" ht="9.75" customHeight="1">
      <c r="A72" s="530"/>
      <c r="B72" s="297" t="s">
        <v>306</v>
      </c>
      <c r="C72" s="501"/>
      <c r="D72" s="501">
        <v>3711.75675</v>
      </c>
      <c r="E72" s="501"/>
      <c r="F72" s="501">
        <v>3711.75675</v>
      </c>
      <c r="G72" s="532">
        <v>79505.967999999993</v>
      </c>
    </row>
    <row r="73" spans="1:8" ht="9.75" customHeight="1">
      <c r="A73" s="530"/>
      <c r="B73" s="297" t="s">
        <v>307</v>
      </c>
      <c r="C73" s="501"/>
      <c r="D73" s="501">
        <v>312435.48775000003</v>
      </c>
      <c r="E73" s="501"/>
      <c r="F73" s="501">
        <v>312435.48775000003</v>
      </c>
      <c r="G73" s="532">
        <v>1008703.9682500002</v>
      </c>
    </row>
    <row r="74" spans="1:8" ht="9.75" customHeight="1">
      <c r="A74" s="530"/>
      <c r="B74" s="297" t="s">
        <v>412</v>
      </c>
      <c r="C74" s="501"/>
      <c r="D74" s="501"/>
      <c r="E74" s="501">
        <v>230.75375</v>
      </c>
      <c r="F74" s="501">
        <v>230.75375</v>
      </c>
      <c r="G74" s="532">
        <v>1076.8900000000001</v>
      </c>
    </row>
    <row r="75" spans="1:8" ht="9.75" customHeight="1">
      <c r="A75" s="531" t="s">
        <v>497</v>
      </c>
      <c r="B75" s="399"/>
      <c r="C75" s="400">
        <v>257271.74575000003</v>
      </c>
      <c r="D75" s="400">
        <v>322737.14150000003</v>
      </c>
      <c r="E75" s="400">
        <v>230.75375</v>
      </c>
      <c r="F75" s="400">
        <v>580239.64100000018</v>
      </c>
      <c r="G75" s="533">
        <v>2644197.9722500001</v>
      </c>
    </row>
    <row r="76" spans="1:8">
      <c r="A76" s="530" t="s">
        <v>96</v>
      </c>
      <c r="B76" s="297" t="s">
        <v>308</v>
      </c>
      <c r="C76" s="501"/>
      <c r="D76" s="501">
        <v>0</v>
      </c>
      <c r="E76" s="501"/>
      <c r="F76" s="501">
        <v>0</v>
      </c>
      <c r="G76" s="532">
        <v>51280.368750000001</v>
      </c>
    </row>
    <row r="77" spans="1:8" ht="9.75" customHeight="1">
      <c r="A77" s="530"/>
      <c r="B77" s="297" t="s">
        <v>309</v>
      </c>
      <c r="C77" s="501"/>
      <c r="D77" s="501">
        <v>0</v>
      </c>
      <c r="E77" s="501"/>
      <c r="F77" s="501">
        <v>0</v>
      </c>
      <c r="G77" s="532">
        <v>0</v>
      </c>
    </row>
    <row r="78" spans="1:8" ht="9.75" customHeight="1">
      <c r="A78" s="530"/>
      <c r="B78" s="297" t="s">
        <v>310</v>
      </c>
      <c r="C78" s="501"/>
      <c r="D78" s="501">
        <v>62759.49</v>
      </c>
      <c r="E78" s="501"/>
      <c r="F78" s="501">
        <v>62759.49</v>
      </c>
      <c r="G78" s="532">
        <v>176558.83249999999</v>
      </c>
    </row>
    <row r="79" spans="1:8">
      <c r="A79" s="531" t="s">
        <v>498</v>
      </c>
      <c r="B79" s="399"/>
      <c r="C79" s="400"/>
      <c r="D79" s="400">
        <v>62759.49</v>
      </c>
      <c r="E79" s="400"/>
      <c r="F79" s="400">
        <v>62759.49</v>
      </c>
      <c r="G79" s="533">
        <v>227839.20124999998</v>
      </c>
    </row>
    <row r="80" spans="1:8" ht="9.75" customHeight="1">
      <c r="A80" s="530" t="s">
        <v>98</v>
      </c>
      <c r="B80" s="297" t="s">
        <v>420</v>
      </c>
      <c r="C80" s="501"/>
      <c r="D80" s="501"/>
      <c r="E80" s="501">
        <v>33996.90625</v>
      </c>
      <c r="F80" s="501">
        <v>33996.90625</v>
      </c>
      <c r="G80" s="532">
        <v>177174.03425</v>
      </c>
    </row>
    <row r="81" spans="1:7" ht="9.75" customHeight="1">
      <c r="A81" s="530"/>
      <c r="B81" s="297" t="s">
        <v>419</v>
      </c>
      <c r="C81" s="501"/>
      <c r="D81" s="501"/>
      <c r="E81" s="501">
        <v>51553.472500000003</v>
      </c>
      <c r="F81" s="501">
        <v>51553.472500000003</v>
      </c>
      <c r="G81" s="532">
        <v>246919.50625000001</v>
      </c>
    </row>
    <row r="82" spans="1:7" ht="9.75" customHeight="1">
      <c r="A82" s="531" t="s">
        <v>499</v>
      </c>
      <c r="B82" s="399"/>
      <c r="C82" s="400"/>
      <c r="D82" s="400"/>
      <c r="E82" s="400">
        <v>85550.378750000003</v>
      </c>
      <c r="F82" s="400">
        <v>85550.378750000003</v>
      </c>
      <c r="G82" s="533">
        <v>424093.5405</v>
      </c>
    </row>
    <row r="83" spans="1:7" ht="9.75" customHeight="1">
      <c r="A83" s="530" t="s">
        <v>97</v>
      </c>
      <c r="B83" s="297" t="s">
        <v>77</v>
      </c>
      <c r="C83" s="501"/>
      <c r="D83" s="501"/>
      <c r="E83" s="501">
        <v>38592.950250000002</v>
      </c>
      <c r="F83" s="501">
        <v>38592.950250000002</v>
      </c>
      <c r="G83" s="532">
        <v>134991.55350000001</v>
      </c>
    </row>
    <row r="84" spans="1:7" ht="9.75" customHeight="1">
      <c r="A84" s="530"/>
      <c r="B84" s="297" t="s">
        <v>79</v>
      </c>
      <c r="C84" s="501"/>
      <c r="D84" s="501"/>
      <c r="E84" s="501">
        <v>14128.035099999999</v>
      </c>
      <c r="F84" s="501">
        <v>14128.035099999999</v>
      </c>
      <c r="G84" s="532">
        <v>46037.265049999995</v>
      </c>
    </row>
    <row r="85" spans="1:7">
      <c r="A85" s="531" t="s">
        <v>500</v>
      </c>
      <c r="B85" s="399"/>
      <c r="C85" s="400"/>
      <c r="D85" s="400"/>
      <c r="E85" s="400">
        <v>52720.985350000003</v>
      </c>
      <c r="F85" s="400">
        <v>52720.985350000003</v>
      </c>
      <c r="G85" s="533">
        <v>181028.81855</v>
      </c>
    </row>
  </sheetData>
  <mergeCells count="5">
    <mergeCell ref="A2:A5"/>
    <mergeCell ref="B2:B5"/>
    <mergeCell ref="C2:F2"/>
    <mergeCell ref="C3:E3"/>
    <mergeCell ref="F3:F4"/>
  </mergeCells>
  <pageMargins left="0.59055118110236227" right="0.39370078740157483" top="0.91856060606060608" bottom="0.48683712121212119" header="0.31496062992125984" footer="0.31496062992125984"/>
  <pageSetup paperSize="9" scale="89"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0"/>
  <sheetViews>
    <sheetView showGridLines="0" view="pageBreakPreview" zoomScaleNormal="100" zoomScaleSheetLayoutView="100" workbookViewId="0">
      <selection activeCell="R35" sqref="R35"/>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880" t="s">
        <v>248</v>
      </c>
      <c r="B1" s="883" t="s">
        <v>54</v>
      </c>
      <c r="C1" s="886" t="str">
        <f>+'18. ANEXOI-1'!C2:F2</f>
        <v>ENERGÍA PRODUCIDA MAYO 2022</v>
      </c>
      <c r="D1" s="886"/>
      <c r="E1" s="886"/>
      <c r="F1" s="886"/>
      <c r="G1" s="502" t="s">
        <v>274</v>
      </c>
      <c r="H1" s="201"/>
    </row>
    <row r="2" spans="1:8" ht="11.25" customHeight="1">
      <c r="A2" s="881"/>
      <c r="B2" s="884"/>
      <c r="C2" s="887" t="s">
        <v>275</v>
      </c>
      <c r="D2" s="887"/>
      <c r="E2" s="887"/>
      <c r="F2" s="888" t="str">
        <f>"TOTAL 
"&amp;UPPER('1. Resumen'!Q4)</f>
        <v>TOTAL 
MAYO</v>
      </c>
      <c r="G2" s="503" t="s">
        <v>276</v>
      </c>
      <c r="H2" s="192"/>
    </row>
    <row r="3" spans="1:8" ht="11.25" customHeight="1">
      <c r="A3" s="881"/>
      <c r="B3" s="884"/>
      <c r="C3" s="498" t="s">
        <v>213</v>
      </c>
      <c r="D3" s="498" t="s">
        <v>214</v>
      </c>
      <c r="E3" s="498" t="s">
        <v>277</v>
      </c>
      <c r="F3" s="889"/>
      <c r="G3" s="503">
        <v>2022</v>
      </c>
      <c r="H3" s="194"/>
    </row>
    <row r="4" spans="1:8" ht="11.25" customHeight="1">
      <c r="A4" s="890"/>
      <c r="B4" s="891"/>
      <c r="C4" s="499" t="s">
        <v>278</v>
      </c>
      <c r="D4" s="499" t="s">
        <v>278</v>
      </c>
      <c r="E4" s="499" t="s">
        <v>278</v>
      </c>
      <c r="F4" s="499" t="s">
        <v>278</v>
      </c>
      <c r="G4" s="504" t="s">
        <v>206</v>
      </c>
      <c r="H4" s="194"/>
    </row>
    <row r="5" spans="1:8" ht="10.199999999999999" customHeight="1">
      <c r="A5" s="530" t="s">
        <v>87</v>
      </c>
      <c r="B5" s="297" t="s">
        <v>311</v>
      </c>
      <c r="C5" s="501">
        <v>36492.8239225</v>
      </c>
      <c r="D5" s="501"/>
      <c r="E5" s="501"/>
      <c r="F5" s="501">
        <v>36492.8239225</v>
      </c>
      <c r="G5" s="532">
        <v>278355.27807499998</v>
      </c>
    </row>
    <row r="6" spans="1:8" ht="10.199999999999999" customHeight="1">
      <c r="A6" s="530"/>
      <c r="B6" s="297" t="s">
        <v>312</v>
      </c>
      <c r="C6" s="501">
        <v>67688.712679999997</v>
      </c>
      <c r="D6" s="501"/>
      <c r="E6" s="501"/>
      <c r="F6" s="501">
        <v>67688.712679999997</v>
      </c>
      <c r="G6" s="532">
        <v>416817.11167000001</v>
      </c>
    </row>
    <row r="7" spans="1:8" ht="10.199999999999999" customHeight="1">
      <c r="A7" s="530"/>
      <c r="B7" s="297" t="s">
        <v>313</v>
      </c>
      <c r="C7" s="501"/>
      <c r="D7" s="501">
        <v>401518.91723999998</v>
      </c>
      <c r="E7" s="501"/>
      <c r="F7" s="501">
        <v>401518.91723999998</v>
      </c>
      <c r="G7" s="532">
        <v>1043171.8293900001</v>
      </c>
    </row>
    <row r="8" spans="1:8" ht="10.199999999999999" customHeight="1">
      <c r="A8" s="530"/>
      <c r="B8" s="297" t="s">
        <v>314</v>
      </c>
      <c r="C8" s="501"/>
      <c r="D8" s="501">
        <v>26842.7947675</v>
      </c>
      <c r="E8" s="501"/>
      <c r="F8" s="501">
        <v>26842.7947675</v>
      </c>
      <c r="G8" s="532">
        <v>165458.46247249999</v>
      </c>
    </row>
    <row r="9" spans="1:8" ht="10.199999999999999" customHeight="1">
      <c r="A9" s="530"/>
      <c r="B9" s="297" t="s">
        <v>315</v>
      </c>
      <c r="C9" s="501"/>
      <c r="D9" s="501">
        <v>0</v>
      </c>
      <c r="E9" s="501"/>
      <c r="F9" s="501">
        <v>0</v>
      </c>
      <c r="G9" s="532">
        <v>6083.9352225000002</v>
      </c>
    </row>
    <row r="10" spans="1:8" ht="10.199999999999999" customHeight="1">
      <c r="A10" s="530"/>
      <c r="B10" s="297" t="s">
        <v>316</v>
      </c>
      <c r="C10" s="501"/>
      <c r="D10" s="501">
        <v>915.96927249999999</v>
      </c>
      <c r="E10" s="501"/>
      <c r="F10" s="501">
        <v>915.96927249999999</v>
      </c>
      <c r="G10" s="532">
        <v>3096.7351424999997</v>
      </c>
    </row>
    <row r="11" spans="1:8" ht="10.199999999999999" customHeight="1">
      <c r="A11" s="530"/>
      <c r="B11" s="297" t="s">
        <v>317</v>
      </c>
      <c r="C11" s="501"/>
      <c r="D11" s="501">
        <v>0</v>
      </c>
      <c r="E11" s="501"/>
      <c r="F11" s="501">
        <v>0</v>
      </c>
      <c r="G11" s="532">
        <v>722.94281000000001</v>
      </c>
    </row>
    <row r="12" spans="1:8" ht="10.199999999999999" customHeight="1">
      <c r="A12" s="530"/>
      <c r="B12" s="297" t="s">
        <v>421</v>
      </c>
      <c r="C12" s="501"/>
      <c r="D12" s="501"/>
      <c r="E12" s="501">
        <v>8517.0122124999998</v>
      </c>
      <c r="F12" s="501">
        <v>8517.0122124999998</v>
      </c>
      <c r="G12" s="532">
        <v>43153.075887500003</v>
      </c>
    </row>
    <row r="13" spans="1:8" ht="10.199999999999999" customHeight="1">
      <c r="A13" s="531" t="s">
        <v>501</v>
      </c>
      <c r="B13" s="399"/>
      <c r="C13" s="400">
        <v>104181.5366025</v>
      </c>
      <c r="D13" s="400">
        <v>429277.68128000002</v>
      </c>
      <c r="E13" s="400">
        <v>8517.0122124999998</v>
      </c>
      <c r="F13" s="400">
        <v>541976.23009500001</v>
      </c>
      <c r="G13" s="533">
        <v>1956859.3706700001</v>
      </c>
    </row>
    <row r="14" spans="1:8" ht="10.199999999999999" customHeight="1">
      <c r="A14" s="530" t="s">
        <v>237</v>
      </c>
      <c r="B14" s="297" t="s">
        <v>318</v>
      </c>
      <c r="C14" s="501"/>
      <c r="D14" s="501">
        <v>378178.61547750002</v>
      </c>
      <c r="E14" s="501"/>
      <c r="F14" s="501">
        <v>378178.61547750002</v>
      </c>
      <c r="G14" s="532">
        <v>1559881.6797075002</v>
      </c>
    </row>
    <row r="15" spans="1:8" ht="10.199999999999999" customHeight="1">
      <c r="A15" s="531" t="s">
        <v>502</v>
      </c>
      <c r="B15" s="399"/>
      <c r="C15" s="400"/>
      <c r="D15" s="400">
        <v>378178.61547750002</v>
      </c>
      <c r="E15" s="400"/>
      <c r="F15" s="400">
        <v>378178.61547750002</v>
      </c>
      <c r="G15" s="533">
        <v>1559881.6797075002</v>
      </c>
    </row>
    <row r="16" spans="1:8" ht="10.199999999999999" customHeight="1">
      <c r="A16" s="530" t="s">
        <v>446</v>
      </c>
      <c r="B16" s="297" t="s">
        <v>450</v>
      </c>
      <c r="C16" s="501"/>
      <c r="D16" s="501"/>
      <c r="E16" s="501">
        <v>12287.043119999998</v>
      </c>
      <c r="F16" s="501">
        <v>12287.043119999998</v>
      </c>
      <c r="G16" s="532">
        <v>66281.121079999997</v>
      </c>
    </row>
    <row r="17" spans="1:7" ht="10.199999999999999" customHeight="1">
      <c r="A17" s="530"/>
      <c r="B17" s="297" t="s">
        <v>447</v>
      </c>
      <c r="C17" s="501"/>
      <c r="D17" s="501"/>
      <c r="E17" s="501">
        <v>4490.153335</v>
      </c>
      <c r="F17" s="501">
        <v>4490.153335</v>
      </c>
      <c r="G17" s="532">
        <v>23710.244967499999</v>
      </c>
    </row>
    <row r="18" spans="1:7" ht="10.199999999999999" customHeight="1">
      <c r="A18" s="531" t="s">
        <v>503</v>
      </c>
      <c r="B18" s="399"/>
      <c r="C18" s="400"/>
      <c r="D18" s="400"/>
      <c r="E18" s="400">
        <v>16777.196454999998</v>
      </c>
      <c r="F18" s="400">
        <v>16777.196454999998</v>
      </c>
      <c r="G18" s="533">
        <v>89991.366047499992</v>
      </c>
    </row>
    <row r="19" spans="1:7" ht="10.199999999999999" customHeight="1">
      <c r="A19" s="530" t="s">
        <v>108</v>
      </c>
      <c r="B19" s="297" t="s">
        <v>66</v>
      </c>
      <c r="C19" s="501"/>
      <c r="D19" s="501"/>
      <c r="E19" s="501">
        <v>4852.2081725000007</v>
      </c>
      <c r="F19" s="501">
        <v>4852.2081725000007</v>
      </c>
      <c r="G19" s="532">
        <v>22689.932087500005</v>
      </c>
    </row>
    <row r="20" spans="1:7" ht="10.199999999999999" customHeight="1">
      <c r="A20" s="530"/>
      <c r="B20" s="297" t="s">
        <v>411</v>
      </c>
      <c r="C20" s="501"/>
      <c r="D20" s="501"/>
      <c r="E20" s="501">
        <v>5973.1057924999996</v>
      </c>
      <c r="F20" s="501">
        <v>5973.1057924999996</v>
      </c>
      <c r="G20" s="532">
        <v>61566.351135000004</v>
      </c>
    </row>
    <row r="21" spans="1:7" ht="10.199999999999999" customHeight="1">
      <c r="A21" s="530"/>
      <c r="B21" s="297" t="s">
        <v>409</v>
      </c>
      <c r="C21" s="501"/>
      <c r="D21" s="501"/>
      <c r="E21" s="501">
        <v>6500.2178724999994</v>
      </c>
      <c r="F21" s="501">
        <v>6500.2178724999994</v>
      </c>
      <c r="G21" s="532">
        <v>62335.178979999997</v>
      </c>
    </row>
    <row r="22" spans="1:7" ht="10.199999999999999" customHeight="1">
      <c r="A22" s="530"/>
      <c r="B22" s="297" t="s">
        <v>410</v>
      </c>
      <c r="C22" s="501"/>
      <c r="D22" s="501"/>
      <c r="E22" s="501">
        <v>6588.0159899999999</v>
      </c>
      <c r="F22" s="501">
        <v>6588.0159899999999</v>
      </c>
      <c r="G22" s="532">
        <v>61909.3562475</v>
      </c>
    </row>
    <row r="23" spans="1:7" ht="10.199999999999999" customHeight="1">
      <c r="A23" s="757" t="s">
        <v>504</v>
      </c>
      <c r="B23" s="758"/>
      <c r="C23" s="759"/>
      <c r="D23" s="759"/>
      <c r="E23" s="759">
        <v>23913.547827499999</v>
      </c>
      <c r="F23" s="759">
        <v>23913.547827499999</v>
      </c>
      <c r="G23" s="760">
        <v>208500.81844999999</v>
      </c>
    </row>
    <row r="24" spans="1:7" ht="10.199999999999999" customHeight="1">
      <c r="A24" s="530" t="s">
        <v>464</v>
      </c>
      <c r="B24" s="297" t="s">
        <v>473</v>
      </c>
      <c r="C24" s="501"/>
      <c r="D24" s="501"/>
      <c r="E24" s="501">
        <v>4827.1659575000003</v>
      </c>
      <c r="F24" s="501">
        <v>4827.1659575000003</v>
      </c>
      <c r="G24" s="532">
        <v>18050.879585000002</v>
      </c>
    </row>
    <row r="25" spans="1:7" ht="10.199999999999999" customHeight="1">
      <c r="A25" s="531" t="s">
        <v>505</v>
      </c>
      <c r="B25" s="399"/>
      <c r="C25" s="400"/>
      <c r="D25" s="400"/>
      <c r="E25" s="400">
        <v>4827.1659575000003</v>
      </c>
      <c r="F25" s="400">
        <v>4827.1659575000003</v>
      </c>
      <c r="G25" s="533">
        <v>18050.879585000002</v>
      </c>
    </row>
    <row r="26" spans="1:7" ht="10.199999999999999" customHeight="1">
      <c r="A26" s="530" t="s">
        <v>465</v>
      </c>
      <c r="B26" s="297" t="s">
        <v>474</v>
      </c>
      <c r="C26" s="501"/>
      <c r="D26" s="501"/>
      <c r="E26" s="501">
        <v>7303.6391325000004</v>
      </c>
      <c r="F26" s="501">
        <v>7303.6391325000004</v>
      </c>
      <c r="G26" s="532">
        <v>24173.820697499999</v>
      </c>
    </row>
    <row r="27" spans="1:7" ht="10.199999999999999" customHeight="1">
      <c r="A27" s="531" t="s">
        <v>506</v>
      </c>
      <c r="B27" s="399"/>
      <c r="C27" s="400"/>
      <c r="D27" s="400"/>
      <c r="E27" s="400">
        <v>7303.6391325000004</v>
      </c>
      <c r="F27" s="400">
        <v>7303.6391325000004</v>
      </c>
      <c r="G27" s="533">
        <v>24173.820697499999</v>
      </c>
    </row>
    <row r="28" spans="1:7" ht="10.199999999999999" customHeight="1">
      <c r="A28" s="530" t="s">
        <v>114</v>
      </c>
      <c r="B28" s="297" t="s">
        <v>74</v>
      </c>
      <c r="C28" s="501"/>
      <c r="D28" s="501"/>
      <c r="E28" s="501">
        <v>2329.5</v>
      </c>
      <c r="F28" s="501">
        <v>2329.5</v>
      </c>
      <c r="G28" s="532">
        <v>12063.2</v>
      </c>
    </row>
    <row r="29" spans="1:7" ht="10.199999999999999" customHeight="1">
      <c r="A29" s="531" t="s">
        <v>507</v>
      </c>
      <c r="B29" s="399"/>
      <c r="C29" s="400"/>
      <c r="D29" s="400"/>
      <c r="E29" s="400">
        <v>2329.5</v>
      </c>
      <c r="F29" s="400">
        <v>2329.5</v>
      </c>
      <c r="G29" s="533">
        <v>12063.2</v>
      </c>
    </row>
    <row r="30" spans="1:7" ht="10.199999999999999" customHeight="1">
      <c r="A30" s="530" t="s">
        <v>103</v>
      </c>
      <c r="B30" s="297" t="s">
        <v>319</v>
      </c>
      <c r="C30" s="501">
        <v>13888.063914999999</v>
      </c>
      <c r="D30" s="501"/>
      <c r="E30" s="501"/>
      <c r="F30" s="501">
        <v>13888.063914999999</v>
      </c>
      <c r="G30" s="532">
        <v>67632.829827500012</v>
      </c>
    </row>
    <row r="31" spans="1:7" ht="10.199999999999999" customHeight="1">
      <c r="A31" s="531" t="s">
        <v>508</v>
      </c>
      <c r="B31" s="399"/>
      <c r="C31" s="400">
        <v>13888.063914999999</v>
      </c>
      <c r="D31" s="400"/>
      <c r="E31" s="400"/>
      <c r="F31" s="400">
        <v>13888.063914999999</v>
      </c>
      <c r="G31" s="533">
        <v>67632.829827500012</v>
      </c>
    </row>
    <row r="32" spans="1:7" ht="10.199999999999999" customHeight="1">
      <c r="A32" s="530" t="s">
        <v>238</v>
      </c>
      <c r="B32" s="297" t="s">
        <v>59</v>
      </c>
      <c r="C32" s="501"/>
      <c r="D32" s="501"/>
      <c r="E32" s="501">
        <v>13584.0647125</v>
      </c>
      <c r="F32" s="501">
        <v>13584.0647125</v>
      </c>
      <c r="G32" s="532">
        <v>56681.960569999996</v>
      </c>
    </row>
    <row r="33" spans="1:7" ht="10.199999999999999" customHeight="1">
      <c r="A33" s="531" t="s">
        <v>509</v>
      </c>
      <c r="B33" s="399"/>
      <c r="C33" s="400"/>
      <c r="D33" s="400"/>
      <c r="E33" s="400">
        <v>13584.0647125</v>
      </c>
      <c r="F33" s="400">
        <v>13584.0647125</v>
      </c>
      <c r="G33" s="533">
        <v>56681.960569999996</v>
      </c>
    </row>
    <row r="34" spans="1:7" ht="10.199999999999999" customHeight="1">
      <c r="A34" s="530" t="s">
        <v>408</v>
      </c>
      <c r="B34" s="297" t="s">
        <v>453</v>
      </c>
      <c r="C34" s="501">
        <v>196.07749999999999</v>
      </c>
      <c r="D34" s="501"/>
      <c r="E34" s="501"/>
      <c r="F34" s="501">
        <v>196.07749999999999</v>
      </c>
      <c r="G34" s="532">
        <v>1385.3409999999999</v>
      </c>
    </row>
    <row r="35" spans="1:7" ht="10.199999999999999" customHeight="1">
      <c r="A35" s="531" t="s">
        <v>510</v>
      </c>
      <c r="B35" s="399"/>
      <c r="C35" s="400">
        <v>196.07749999999999</v>
      </c>
      <c r="D35" s="400"/>
      <c r="E35" s="400"/>
      <c r="F35" s="400">
        <v>196.07749999999999</v>
      </c>
      <c r="G35" s="533">
        <v>1385.3409999999999</v>
      </c>
    </row>
    <row r="36" spans="1:7" ht="10.199999999999999" customHeight="1">
      <c r="A36" s="530" t="s">
        <v>423</v>
      </c>
      <c r="B36" s="297" t="s">
        <v>427</v>
      </c>
      <c r="C36" s="501">
        <v>65702.721805000008</v>
      </c>
      <c r="D36" s="501"/>
      <c r="E36" s="501"/>
      <c r="F36" s="501">
        <v>65702.721805000008</v>
      </c>
      <c r="G36" s="532">
        <v>318817.14265250007</v>
      </c>
    </row>
    <row r="37" spans="1:7" ht="10.199999999999999" customHeight="1">
      <c r="A37" s="531" t="s">
        <v>511</v>
      </c>
      <c r="B37" s="399"/>
      <c r="C37" s="400">
        <v>65702.721805000008</v>
      </c>
      <c r="D37" s="400"/>
      <c r="E37" s="400"/>
      <c r="F37" s="400">
        <v>65702.721805000008</v>
      </c>
      <c r="G37" s="533">
        <v>318817.14265250007</v>
      </c>
    </row>
    <row r="38" spans="1:7" ht="10.199999999999999" customHeight="1">
      <c r="A38" s="530" t="s">
        <v>455</v>
      </c>
      <c r="B38" s="297" t="s">
        <v>460</v>
      </c>
      <c r="C38" s="501"/>
      <c r="D38" s="501"/>
      <c r="E38" s="501">
        <v>3060.8849125000002</v>
      </c>
      <c r="F38" s="501">
        <v>3060.8849125000002</v>
      </c>
      <c r="G38" s="532">
        <v>48040.194230000001</v>
      </c>
    </row>
    <row r="39" spans="1:7" ht="10.199999999999999" customHeight="1">
      <c r="A39" s="531" t="s">
        <v>512</v>
      </c>
      <c r="B39" s="399"/>
      <c r="C39" s="400"/>
      <c r="D39" s="400"/>
      <c r="E39" s="400">
        <v>3060.8849125000002</v>
      </c>
      <c r="F39" s="400">
        <v>3060.8849125000002</v>
      </c>
      <c r="G39" s="533">
        <v>48040.194230000001</v>
      </c>
    </row>
    <row r="40" spans="1:7" s="46" customFormat="1" ht="10.199999999999999" customHeight="1">
      <c r="A40" s="530" t="s">
        <v>116</v>
      </c>
      <c r="B40" s="297" t="s">
        <v>321</v>
      </c>
      <c r="C40" s="501"/>
      <c r="D40" s="501">
        <v>0</v>
      </c>
      <c r="E40" s="501"/>
      <c r="F40" s="501">
        <v>0</v>
      </c>
      <c r="G40" s="532">
        <v>129.2489775</v>
      </c>
    </row>
    <row r="41" spans="1:7" ht="10.199999999999999" customHeight="1">
      <c r="A41" s="530"/>
      <c r="B41" s="297" t="s">
        <v>322</v>
      </c>
      <c r="C41" s="501"/>
      <c r="D41" s="501">
        <v>1.0664450000000001</v>
      </c>
      <c r="E41" s="501"/>
      <c r="F41" s="501">
        <v>1.0664450000000001</v>
      </c>
      <c r="G41" s="532">
        <v>752.13134000000002</v>
      </c>
    </row>
    <row r="42" spans="1:7" ht="10.199999999999999" customHeight="1">
      <c r="A42" s="531" t="s">
        <v>513</v>
      </c>
      <c r="B42" s="399"/>
      <c r="C42" s="400"/>
      <c r="D42" s="400">
        <v>1.0664450000000001</v>
      </c>
      <c r="E42" s="400"/>
      <c r="F42" s="400">
        <v>1.0664450000000001</v>
      </c>
      <c r="G42" s="533">
        <v>881.38031750000005</v>
      </c>
    </row>
    <row r="43" spans="1:7" ht="10.199999999999999" customHeight="1">
      <c r="A43" s="530" t="s">
        <v>406</v>
      </c>
      <c r="B43" s="297" t="s">
        <v>323</v>
      </c>
      <c r="C43" s="501"/>
      <c r="D43" s="501">
        <v>312942.14750000002</v>
      </c>
      <c r="E43" s="501"/>
      <c r="F43" s="501">
        <v>312942.14750000002</v>
      </c>
      <c r="G43" s="532">
        <v>1771332.3315600001</v>
      </c>
    </row>
    <row r="44" spans="1:7" ht="10.199999999999999" customHeight="1">
      <c r="A44" s="530"/>
      <c r="B44" s="297" t="s">
        <v>324</v>
      </c>
      <c r="C44" s="501"/>
      <c r="D44" s="501">
        <v>162395.095</v>
      </c>
      <c r="E44" s="501"/>
      <c r="F44" s="501">
        <v>162395.095</v>
      </c>
      <c r="G44" s="532">
        <v>293646.76750000002</v>
      </c>
    </row>
    <row r="45" spans="1:7" ht="10.199999999999999" customHeight="1">
      <c r="A45" s="530"/>
      <c r="B45" s="297" t="s">
        <v>425</v>
      </c>
      <c r="C45" s="501">
        <v>261587.10499999998</v>
      </c>
      <c r="D45" s="501"/>
      <c r="E45" s="501"/>
      <c r="F45" s="501">
        <v>261587.10499999998</v>
      </c>
      <c r="G45" s="532">
        <v>1602360.1675</v>
      </c>
    </row>
    <row r="46" spans="1:7" ht="10.199999999999999" customHeight="1">
      <c r="A46" s="530"/>
      <c r="B46" s="297" t="s">
        <v>325</v>
      </c>
      <c r="C46" s="501">
        <v>4137.21</v>
      </c>
      <c r="D46" s="501"/>
      <c r="E46" s="501"/>
      <c r="F46" s="501">
        <v>4137.21</v>
      </c>
      <c r="G46" s="532">
        <v>27581.852499999997</v>
      </c>
    </row>
    <row r="47" spans="1:7" ht="10.199999999999999" customHeight="1">
      <c r="A47" s="531" t="s">
        <v>514</v>
      </c>
      <c r="B47" s="399"/>
      <c r="C47" s="400">
        <v>265724.315</v>
      </c>
      <c r="D47" s="400">
        <v>475337.24250000005</v>
      </c>
      <c r="E47" s="400"/>
      <c r="F47" s="400">
        <v>741061.5575</v>
      </c>
      <c r="G47" s="533">
        <v>3694921.1190600004</v>
      </c>
    </row>
    <row r="48" spans="1:7" ht="10.199999999999999" customHeight="1">
      <c r="A48" s="530" t="s">
        <v>475</v>
      </c>
      <c r="B48" s="297" t="s">
        <v>571</v>
      </c>
      <c r="C48" s="501">
        <v>38949.3324975</v>
      </c>
      <c r="D48" s="501"/>
      <c r="E48" s="501"/>
      <c r="F48" s="501">
        <v>38949.3324975</v>
      </c>
      <c r="G48" s="532">
        <v>209924.02054499998</v>
      </c>
    </row>
    <row r="49" spans="1:8" ht="10.199999999999999" customHeight="1">
      <c r="A49" s="531" t="s">
        <v>515</v>
      </c>
      <c r="B49" s="399"/>
      <c r="C49" s="400">
        <v>38949.3324975</v>
      </c>
      <c r="D49" s="400"/>
      <c r="E49" s="400"/>
      <c r="F49" s="400">
        <v>38949.3324975</v>
      </c>
      <c r="G49" s="533">
        <v>209924.02054499998</v>
      </c>
    </row>
    <row r="50" spans="1:8" ht="10.199999999999999" customHeight="1">
      <c r="A50" s="530" t="s">
        <v>115</v>
      </c>
      <c r="B50" s="297" t="s">
        <v>72</v>
      </c>
      <c r="C50" s="501"/>
      <c r="D50" s="501"/>
      <c r="E50" s="501">
        <v>888.98950000000002</v>
      </c>
      <c r="F50" s="501">
        <v>888.98950000000002</v>
      </c>
      <c r="G50" s="532">
        <v>7767.0036249999994</v>
      </c>
    </row>
    <row r="51" spans="1:8" ht="10.199999999999999" customHeight="1">
      <c r="A51" s="531" t="s">
        <v>516</v>
      </c>
      <c r="B51" s="399"/>
      <c r="C51" s="400"/>
      <c r="D51" s="400"/>
      <c r="E51" s="400">
        <v>888.98950000000002</v>
      </c>
      <c r="F51" s="400">
        <v>888.98950000000002</v>
      </c>
      <c r="G51" s="533">
        <v>7767.0036249999994</v>
      </c>
      <c r="H51" s="317"/>
    </row>
    <row r="52" spans="1:8" ht="10.199999999999999" customHeight="1">
      <c r="A52" s="530" t="s">
        <v>462</v>
      </c>
      <c r="B52" s="297" t="s">
        <v>231</v>
      </c>
      <c r="C52" s="501"/>
      <c r="D52" s="501"/>
      <c r="E52" s="501">
        <v>3818.7446</v>
      </c>
      <c r="F52" s="501">
        <v>3818.7446</v>
      </c>
      <c r="G52" s="532">
        <v>18974.53455</v>
      </c>
    </row>
    <row r="53" spans="1:8" ht="10.199999999999999" customHeight="1">
      <c r="A53" s="531" t="s">
        <v>517</v>
      </c>
      <c r="B53" s="399"/>
      <c r="C53" s="400"/>
      <c r="D53" s="400"/>
      <c r="E53" s="400">
        <v>3818.7446</v>
      </c>
      <c r="F53" s="400">
        <v>3818.7446</v>
      </c>
      <c r="G53" s="533">
        <v>18974.53455</v>
      </c>
    </row>
    <row r="54" spans="1:8" ht="10.199999999999999" customHeight="1">
      <c r="A54" s="530" t="s">
        <v>110</v>
      </c>
      <c r="B54" s="297" t="s">
        <v>81</v>
      </c>
      <c r="C54" s="501"/>
      <c r="D54" s="501"/>
      <c r="E54" s="501">
        <v>3686.1812500000001</v>
      </c>
      <c r="F54" s="501">
        <v>3686.1812500000001</v>
      </c>
      <c r="G54" s="532">
        <v>19395.520980000001</v>
      </c>
    </row>
    <row r="55" spans="1:8" ht="10.199999999999999" customHeight="1">
      <c r="A55" s="531" t="s">
        <v>518</v>
      </c>
      <c r="B55" s="399"/>
      <c r="C55" s="400"/>
      <c r="D55" s="400"/>
      <c r="E55" s="400">
        <v>3686.1812500000001</v>
      </c>
      <c r="F55" s="400">
        <v>3686.1812500000001</v>
      </c>
      <c r="G55" s="533">
        <v>19395.520980000001</v>
      </c>
    </row>
    <row r="56" spans="1:8" ht="9" customHeight="1">
      <c r="A56" s="530" t="s">
        <v>239</v>
      </c>
      <c r="B56" s="297" t="s">
        <v>71</v>
      </c>
      <c r="C56" s="501"/>
      <c r="D56" s="501"/>
      <c r="E56" s="501">
        <v>4054.4322499999998</v>
      </c>
      <c r="F56" s="501">
        <v>4054.4322499999998</v>
      </c>
      <c r="G56" s="532">
        <v>19148.577749999997</v>
      </c>
    </row>
    <row r="57" spans="1:8" ht="9" customHeight="1">
      <c r="A57" s="530"/>
      <c r="B57" s="297" t="s">
        <v>326</v>
      </c>
      <c r="C57" s="501">
        <v>133742.731</v>
      </c>
      <c r="D57" s="501"/>
      <c r="E57" s="501"/>
      <c r="F57" s="501">
        <v>133742.731</v>
      </c>
      <c r="G57" s="532">
        <v>772473.27441000007</v>
      </c>
    </row>
    <row r="58" spans="1:8" ht="9" customHeight="1">
      <c r="A58" s="530"/>
      <c r="B58" s="297" t="s">
        <v>327</v>
      </c>
      <c r="C58" s="501">
        <v>66038.670249999996</v>
      </c>
      <c r="D58" s="501"/>
      <c r="E58" s="501"/>
      <c r="F58" s="501">
        <v>66038.670249999996</v>
      </c>
      <c r="G58" s="532">
        <v>312418.28083000006</v>
      </c>
    </row>
    <row r="59" spans="1:8" ht="9" customHeight="1">
      <c r="A59" s="530"/>
      <c r="B59" s="297" t="s">
        <v>62</v>
      </c>
      <c r="C59" s="501"/>
      <c r="D59" s="501"/>
      <c r="E59" s="501">
        <v>7401.9872500000001</v>
      </c>
      <c r="F59" s="501">
        <v>7401.9872500000001</v>
      </c>
      <c r="G59" s="532">
        <v>35174.649182500005</v>
      </c>
    </row>
    <row r="60" spans="1:8" ht="9" customHeight="1">
      <c r="A60" s="531" t="s">
        <v>519</v>
      </c>
      <c r="B60" s="399"/>
      <c r="C60" s="400">
        <v>199781.40125</v>
      </c>
      <c r="D60" s="400"/>
      <c r="E60" s="400">
        <v>11456.4195</v>
      </c>
      <c r="F60" s="400">
        <v>211237.82075000001</v>
      </c>
      <c r="G60" s="533">
        <v>1139214.7821725002</v>
      </c>
    </row>
    <row r="61" spans="1:8" ht="9" customHeight="1">
      <c r="A61" s="530" t="s">
        <v>240</v>
      </c>
      <c r="B61" s="297" t="s">
        <v>78</v>
      </c>
      <c r="C61" s="501"/>
      <c r="D61" s="501"/>
      <c r="E61" s="501">
        <v>14891.975060000001</v>
      </c>
      <c r="F61" s="501">
        <v>14891.975060000001</v>
      </c>
      <c r="G61" s="532">
        <v>77849.814562500003</v>
      </c>
    </row>
    <row r="62" spans="1:8" ht="9" customHeight="1">
      <c r="A62" s="531" t="s">
        <v>520</v>
      </c>
      <c r="B62" s="399"/>
      <c r="C62" s="400"/>
      <c r="D62" s="400"/>
      <c r="E62" s="400">
        <v>14891.975060000001</v>
      </c>
      <c r="F62" s="400">
        <v>14891.975060000001</v>
      </c>
      <c r="G62" s="533">
        <v>77849.814562500003</v>
      </c>
    </row>
    <row r="63" spans="1:8" ht="9" customHeight="1">
      <c r="A63" s="530" t="s">
        <v>99</v>
      </c>
      <c r="B63" s="297" t="s">
        <v>76</v>
      </c>
      <c r="C63" s="501"/>
      <c r="D63" s="501"/>
      <c r="E63" s="501">
        <v>40466.045890000001</v>
      </c>
      <c r="F63" s="501">
        <v>40466.045890000001</v>
      </c>
      <c r="G63" s="532">
        <v>219437.679665</v>
      </c>
    </row>
    <row r="64" spans="1:8" ht="9" customHeight="1">
      <c r="A64" s="531" t="s">
        <v>521</v>
      </c>
      <c r="B64" s="399"/>
      <c r="C64" s="400"/>
      <c r="D64" s="400"/>
      <c r="E64" s="400">
        <v>40466.045890000001</v>
      </c>
      <c r="F64" s="400">
        <v>40466.045890000001</v>
      </c>
      <c r="G64" s="533">
        <v>219437.679665</v>
      </c>
    </row>
    <row r="65" spans="1:7" ht="9" customHeight="1">
      <c r="A65" s="530" t="s">
        <v>107</v>
      </c>
      <c r="B65" s="297" t="s">
        <v>230</v>
      </c>
      <c r="C65" s="501"/>
      <c r="D65" s="501"/>
      <c r="E65" s="501">
        <v>4396.1172500000002</v>
      </c>
      <c r="F65" s="501">
        <v>4396.1172500000002</v>
      </c>
      <c r="G65" s="532">
        <v>23554.649365000001</v>
      </c>
    </row>
    <row r="66" spans="1:7" ht="9" customHeight="1">
      <c r="A66" s="531" t="s">
        <v>522</v>
      </c>
      <c r="B66" s="399"/>
      <c r="C66" s="400"/>
      <c r="D66" s="400"/>
      <c r="E66" s="400">
        <v>4396.1172500000002</v>
      </c>
      <c r="F66" s="400">
        <v>4396.1172500000002</v>
      </c>
      <c r="G66" s="533">
        <v>23554.649365000001</v>
      </c>
    </row>
    <row r="67" spans="1:7" ht="9.6" customHeight="1">
      <c r="A67" s="530" t="s">
        <v>407</v>
      </c>
      <c r="B67" s="297" t="s">
        <v>85</v>
      </c>
      <c r="C67" s="501"/>
      <c r="D67" s="501"/>
      <c r="E67" s="501">
        <v>1485.3372400000001</v>
      </c>
      <c r="F67" s="501">
        <v>1485.3372400000001</v>
      </c>
      <c r="G67" s="532">
        <v>7570.8083149999993</v>
      </c>
    </row>
    <row r="68" spans="1:7" ht="9.6" customHeight="1">
      <c r="A68" s="530"/>
      <c r="B68" s="297" t="s">
        <v>84</v>
      </c>
      <c r="C68" s="501"/>
      <c r="D68" s="501"/>
      <c r="E68" s="501">
        <v>2247.9158724999998</v>
      </c>
      <c r="F68" s="501">
        <v>2247.9158724999998</v>
      </c>
      <c r="G68" s="532">
        <v>11155.1355475</v>
      </c>
    </row>
    <row r="69" spans="1:7" ht="9.6" customHeight="1">
      <c r="A69" s="530"/>
      <c r="B69" s="297" t="s">
        <v>422</v>
      </c>
      <c r="C69" s="501"/>
      <c r="D69" s="501"/>
      <c r="E69" s="501">
        <v>668.27041250000002</v>
      </c>
      <c r="F69" s="501">
        <v>668.27041250000002</v>
      </c>
      <c r="G69" s="532">
        <v>5833.2842625000012</v>
      </c>
    </row>
    <row r="70" spans="1:7" ht="9.6" customHeight="1">
      <c r="A70" s="530"/>
      <c r="B70" s="297" t="s">
        <v>459</v>
      </c>
      <c r="C70" s="501"/>
      <c r="D70" s="501"/>
      <c r="E70" s="501">
        <v>509.17642499999999</v>
      </c>
      <c r="F70" s="501">
        <v>509.17642499999999</v>
      </c>
      <c r="G70" s="532">
        <v>5476.7152750000005</v>
      </c>
    </row>
    <row r="71" spans="1:7" ht="9.6" customHeight="1">
      <c r="A71" s="531" t="s">
        <v>523</v>
      </c>
      <c r="B71" s="399"/>
      <c r="C71" s="400"/>
      <c r="D71" s="400"/>
      <c r="E71" s="400">
        <v>4910.6999499999993</v>
      </c>
      <c r="F71" s="400">
        <v>4910.6999499999993</v>
      </c>
      <c r="G71" s="533">
        <v>30035.943400000004</v>
      </c>
    </row>
    <row r="72" spans="1:7" ht="9.6" customHeight="1">
      <c r="A72" s="530" t="s">
        <v>241</v>
      </c>
      <c r="B72" s="297" t="s">
        <v>328</v>
      </c>
      <c r="C72" s="501"/>
      <c r="D72" s="501">
        <v>2.0167449999999998</v>
      </c>
      <c r="E72" s="501"/>
      <c r="F72" s="501">
        <v>2.0167449999999998</v>
      </c>
      <c r="G72" s="532">
        <v>48.725367500000004</v>
      </c>
    </row>
    <row r="73" spans="1:7" ht="9.6" customHeight="1">
      <c r="A73" s="531" t="s">
        <v>524</v>
      </c>
      <c r="B73" s="399"/>
      <c r="C73" s="400"/>
      <c r="D73" s="400">
        <v>2.0167449999999998</v>
      </c>
      <c r="E73" s="400"/>
      <c r="F73" s="400">
        <v>2.0167449999999998</v>
      </c>
      <c r="G73" s="533">
        <v>48.725367500000004</v>
      </c>
    </row>
    <row r="74" spans="1:7" ht="9.6" customHeight="1">
      <c r="A74" s="530" t="s">
        <v>463</v>
      </c>
      <c r="B74" s="297" t="s">
        <v>82</v>
      </c>
      <c r="C74" s="501"/>
      <c r="D74" s="501"/>
      <c r="E74" s="501">
        <v>3693.1134025000001</v>
      </c>
      <c r="F74" s="501">
        <v>3693.1134025000001</v>
      </c>
      <c r="G74" s="532">
        <v>17875.585837499999</v>
      </c>
    </row>
    <row r="75" spans="1:7" ht="9.6" customHeight="1">
      <c r="A75" s="531" t="s">
        <v>525</v>
      </c>
      <c r="B75" s="399"/>
      <c r="C75" s="400"/>
      <c r="D75" s="400"/>
      <c r="E75" s="400">
        <v>3693.1134025000001</v>
      </c>
      <c r="F75" s="400">
        <v>3693.1134025000001</v>
      </c>
      <c r="G75" s="533">
        <v>17875.585837499999</v>
      </c>
    </row>
    <row r="76" spans="1:7" ht="9.6" customHeight="1">
      <c r="A76" s="530" t="s">
        <v>437</v>
      </c>
      <c r="B76" s="297" t="s">
        <v>448</v>
      </c>
      <c r="C76" s="501"/>
      <c r="D76" s="501"/>
      <c r="E76" s="501">
        <v>13080.604107499999</v>
      </c>
      <c r="F76" s="501">
        <v>13080.604107499999</v>
      </c>
      <c r="G76" s="532">
        <v>65101.961027500001</v>
      </c>
    </row>
    <row r="77" spans="1:7" ht="9.6" customHeight="1">
      <c r="A77" s="531" t="s">
        <v>526</v>
      </c>
      <c r="B77" s="399"/>
      <c r="C77" s="400"/>
      <c r="D77" s="400"/>
      <c r="E77" s="400">
        <v>13080.604107499999</v>
      </c>
      <c r="F77" s="400">
        <v>13080.604107499999</v>
      </c>
      <c r="G77" s="533">
        <v>65101.961027500001</v>
      </c>
    </row>
    <row r="78" spans="1:7" ht="10.199999999999999" customHeight="1">
      <c r="A78" s="530" t="s">
        <v>104</v>
      </c>
      <c r="B78" s="297" t="s">
        <v>61</v>
      </c>
      <c r="C78" s="501"/>
      <c r="D78" s="501"/>
      <c r="E78" s="501">
        <v>11585.898784999999</v>
      </c>
      <c r="F78" s="501">
        <v>11585.898784999999</v>
      </c>
      <c r="G78" s="532">
        <v>58266.719584999999</v>
      </c>
    </row>
    <row r="79" spans="1:7" ht="10.199999999999999" customHeight="1">
      <c r="A79" s="531" t="s">
        <v>527</v>
      </c>
      <c r="B79" s="399"/>
      <c r="C79" s="400"/>
      <c r="D79" s="400"/>
      <c r="E79" s="400">
        <v>11585.898784999999</v>
      </c>
      <c r="F79" s="400">
        <v>11585.898784999999</v>
      </c>
      <c r="G79" s="533">
        <v>58266.719584999999</v>
      </c>
    </row>
    <row r="80" spans="1:7" ht="12" customHeight="1"/>
  </sheetData>
  <mergeCells count="5">
    <mergeCell ref="A1:A4"/>
    <mergeCell ref="B1:B4"/>
    <mergeCell ref="C1:F1"/>
    <mergeCell ref="C2:E2"/>
    <mergeCell ref="F2:F3"/>
  </mergeCells>
  <pageMargins left="0.59055118110236227" right="0.39370078740157483" top="0.92958333333333332" bottom="0.62992125984251968" header="0.31496062992125984" footer="0.31496062992125984"/>
  <pageSetup paperSize="9" scale="91"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H53"/>
  <sheetViews>
    <sheetView showGridLines="0" view="pageBreakPreview" zoomScaleNormal="100" zoomScaleSheetLayoutView="100" zoomScalePageLayoutView="130" workbookViewId="0">
      <selection activeCell="R35" sqref="R35"/>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880" t="s">
        <v>248</v>
      </c>
      <c r="B1" s="883" t="s">
        <v>54</v>
      </c>
      <c r="C1" s="886" t="str">
        <f>+'19. ANEXOI-2'!C1:F1</f>
        <v>ENERGÍA PRODUCIDA MAYO 2022</v>
      </c>
      <c r="D1" s="886"/>
      <c r="E1" s="886"/>
      <c r="F1" s="886"/>
      <c r="G1" s="502" t="s">
        <v>274</v>
      </c>
      <c r="H1" s="201"/>
    </row>
    <row r="2" spans="1:8" ht="11.25" customHeight="1">
      <c r="A2" s="881"/>
      <c r="B2" s="884"/>
      <c r="C2" s="887" t="s">
        <v>275</v>
      </c>
      <c r="D2" s="887"/>
      <c r="E2" s="887"/>
      <c r="F2" s="888" t="str">
        <f>"TOTAL 
"&amp;UPPER('1. Resumen'!Q4)</f>
        <v>TOTAL 
MAYO</v>
      </c>
      <c r="G2" s="503" t="s">
        <v>276</v>
      </c>
      <c r="H2" s="192"/>
    </row>
    <row r="3" spans="1:8" ht="11.25" customHeight="1">
      <c r="A3" s="881"/>
      <c r="B3" s="884"/>
      <c r="C3" s="498" t="s">
        <v>213</v>
      </c>
      <c r="D3" s="498" t="s">
        <v>214</v>
      </c>
      <c r="E3" s="498" t="s">
        <v>277</v>
      </c>
      <c r="F3" s="889"/>
      <c r="G3" s="503">
        <v>2022</v>
      </c>
      <c r="H3" s="194"/>
    </row>
    <row r="4" spans="1:8" ht="11.25" customHeight="1">
      <c r="A4" s="890"/>
      <c r="B4" s="891"/>
      <c r="C4" s="499" t="s">
        <v>278</v>
      </c>
      <c r="D4" s="499" t="s">
        <v>278</v>
      </c>
      <c r="E4" s="499" t="s">
        <v>278</v>
      </c>
      <c r="F4" s="499" t="s">
        <v>278</v>
      </c>
      <c r="G4" s="504" t="s">
        <v>206</v>
      </c>
      <c r="H4" s="194"/>
    </row>
    <row r="5" spans="1:8" s="297" customFormat="1" ht="9" customHeight="1">
      <c r="A5" s="530" t="s">
        <v>242</v>
      </c>
      <c r="B5" s="297" t="s">
        <v>329</v>
      </c>
      <c r="C5" s="501"/>
      <c r="D5" s="501">
        <v>20.572499999999998</v>
      </c>
      <c r="E5" s="501"/>
      <c r="F5" s="501">
        <v>20.572499999999998</v>
      </c>
      <c r="G5" s="532">
        <v>2125.4426475</v>
      </c>
    </row>
    <row r="6" spans="1:8" s="297" customFormat="1" ht="9" customHeight="1">
      <c r="A6" s="531" t="s">
        <v>528</v>
      </c>
      <c r="B6" s="399"/>
      <c r="C6" s="400"/>
      <c r="D6" s="400">
        <v>20.572499999999998</v>
      </c>
      <c r="E6" s="400"/>
      <c r="F6" s="400">
        <v>20.572499999999998</v>
      </c>
      <c r="G6" s="533">
        <v>2125.4426475</v>
      </c>
    </row>
    <row r="7" spans="1:8" s="297" customFormat="1" ht="9" customHeight="1">
      <c r="A7" s="530" t="s">
        <v>95</v>
      </c>
      <c r="B7" s="297" t="s">
        <v>330</v>
      </c>
      <c r="C7" s="501">
        <v>61999.8369475</v>
      </c>
      <c r="D7" s="501"/>
      <c r="E7" s="501"/>
      <c r="F7" s="501">
        <v>61999.8369475</v>
      </c>
      <c r="G7" s="532">
        <v>365548.32440249994</v>
      </c>
    </row>
    <row r="8" spans="1:8" s="297" customFormat="1" ht="9" customHeight="1">
      <c r="A8" s="530"/>
      <c r="B8" s="297" t="s">
        <v>574</v>
      </c>
      <c r="C8" s="501">
        <v>0</v>
      </c>
      <c r="D8" s="501"/>
      <c r="E8" s="501"/>
      <c r="F8" s="501">
        <v>0</v>
      </c>
      <c r="G8" s="532">
        <v>1378.2734850000002</v>
      </c>
    </row>
    <row r="9" spans="1:8" s="297" customFormat="1" ht="9" customHeight="1">
      <c r="A9" s="531" t="s">
        <v>529</v>
      </c>
      <c r="B9" s="399"/>
      <c r="C9" s="400">
        <v>61999.8369475</v>
      </c>
      <c r="D9" s="400"/>
      <c r="E9" s="400"/>
      <c r="F9" s="400">
        <v>61999.8369475</v>
      </c>
      <c r="G9" s="533">
        <v>366926.59788749996</v>
      </c>
    </row>
    <row r="10" spans="1:8" s="297" customFormat="1" ht="9" customHeight="1">
      <c r="A10" s="530" t="s">
        <v>424</v>
      </c>
      <c r="B10" s="297" t="s">
        <v>454</v>
      </c>
      <c r="C10" s="501"/>
      <c r="D10" s="501"/>
      <c r="E10" s="501">
        <v>4767.8055800000002</v>
      </c>
      <c r="F10" s="501">
        <v>4767.8055800000002</v>
      </c>
      <c r="G10" s="532">
        <v>15311.385525</v>
      </c>
    </row>
    <row r="11" spans="1:8" s="297" customFormat="1" ht="9" customHeight="1">
      <c r="A11" s="531" t="s">
        <v>530</v>
      </c>
      <c r="B11" s="399"/>
      <c r="C11" s="400"/>
      <c r="D11" s="400"/>
      <c r="E11" s="400">
        <v>4767.8055800000002</v>
      </c>
      <c r="F11" s="400">
        <v>4767.8055800000002</v>
      </c>
      <c r="G11" s="533">
        <v>15311.385525</v>
      </c>
    </row>
    <row r="12" spans="1:8" s="297" customFormat="1" ht="9" customHeight="1">
      <c r="A12" s="530" t="s">
        <v>398</v>
      </c>
      <c r="B12" s="297" t="s">
        <v>402</v>
      </c>
      <c r="C12" s="501"/>
      <c r="D12" s="501"/>
      <c r="E12" s="501">
        <v>14607.987499999999</v>
      </c>
      <c r="F12" s="501">
        <v>14607.987499999999</v>
      </c>
      <c r="G12" s="532">
        <v>64741.924927500004</v>
      </c>
    </row>
    <row r="13" spans="1:8" s="297" customFormat="1" ht="9" customHeight="1">
      <c r="A13" s="531" t="s">
        <v>531</v>
      </c>
      <c r="B13" s="399"/>
      <c r="C13" s="400"/>
      <c r="D13" s="400"/>
      <c r="E13" s="400">
        <v>14607.987499999999</v>
      </c>
      <c r="F13" s="400">
        <v>14607.987499999999</v>
      </c>
      <c r="G13" s="533">
        <v>64741.924927500004</v>
      </c>
    </row>
    <row r="14" spans="1:8" s="297" customFormat="1" ht="9" customHeight="1">
      <c r="A14" s="530" t="s">
        <v>102</v>
      </c>
      <c r="B14" s="297" t="s">
        <v>331</v>
      </c>
      <c r="C14" s="501"/>
      <c r="D14" s="501">
        <v>0</v>
      </c>
      <c r="E14" s="501"/>
      <c r="F14" s="501">
        <v>0</v>
      </c>
      <c r="G14" s="532">
        <v>71693.770904999998</v>
      </c>
    </row>
    <row r="15" spans="1:8" s="297" customFormat="1" ht="9" customHeight="1">
      <c r="A15" s="531" t="s">
        <v>532</v>
      </c>
      <c r="B15" s="399"/>
      <c r="C15" s="400"/>
      <c r="D15" s="400">
        <v>0</v>
      </c>
      <c r="E15" s="400"/>
      <c r="F15" s="400">
        <v>0</v>
      </c>
      <c r="G15" s="533">
        <v>71693.770904999998</v>
      </c>
    </row>
    <row r="16" spans="1:8" s="297" customFormat="1" ht="9" customHeight="1">
      <c r="A16" s="530" t="s">
        <v>117</v>
      </c>
      <c r="B16" s="297" t="s">
        <v>332</v>
      </c>
      <c r="C16" s="501"/>
      <c r="D16" s="501">
        <v>937.33993999999996</v>
      </c>
      <c r="E16" s="501"/>
      <c r="F16" s="501">
        <v>937.33993999999996</v>
      </c>
      <c r="G16" s="532">
        <v>6196.6639100000002</v>
      </c>
    </row>
    <row r="17" spans="1:7" s="297" customFormat="1" ht="9" customHeight="1">
      <c r="A17" s="531" t="s">
        <v>533</v>
      </c>
      <c r="B17" s="399"/>
      <c r="C17" s="400"/>
      <c r="D17" s="400">
        <v>937.33993999999996</v>
      </c>
      <c r="E17" s="400"/>
      <c r="F17" s="400">
        <v>937.33993999999996</v>
      </c>
      <c r="G17" s="533">
        <v>6196.6639100000002</v>
      </c>
    </row>
    <row r="18" spans="1:7" s="297" customFormat="1" ht="9" customHeight="1">
      <c r="A18" s="530" t="s">
        <v>111</v>
      </c>
      <c r="B18" s="297" t="s">
        <v>449</v>
      </c>
      <c r="C18" s="501"/>
      <c r="D18" s="501"/>
      <c r="E18" s="501">
        <v>14014.7499575</v>
      </c>
      <c r="F18" s="501">
        <v>14014.7499575</v>
      </c>
      <c r="G18" s="532">
        <v>69849.179350000006</v>
      </c>
    </row>
    <row r="19" spans="1:7" s="297" customFormat="1" ht="9" customHeight="1">
      <c r="A19" s="530"/>
      <c r="B19" s="297" t="s">
        <v>69</v>
      </c>
      <c r="C19" s="501"/>
      <c r="D19" s="501"/>
      <c r="E19" s="501">
        <v>6204.2504749999998</v>
      </c>
      <c r="F19" s="501">
        <v>6204.2504749999998</v>
      </c>
      <c r="G19" s="532">
        <v>27557.394157500003</v>
      </c>
    </row>
    <row r="20" spans="1:7" s="297" customFormat="1" ht="9" customHeight="1">
      <c r="A20" s="531" t="s">
        <v>534</v>
      </c>
      <c r="B20" s="399"/>
      <c r="C20" s="400"/>
      <c r="D20" s="400"/>
      <c r="E20" s="400">
        <v>20219.000432500001</v>
      </c>
      <c r="F20" s="400">
        <v>20219.000432500001</v>
      </c>
      <c r="G20" s="533">
        <v>97406.573507500012</v>
      </c>
    </row>
    <row r="21" spans="1:7" s="297" customFormat="1" ht="9" customHeight="1">
      <c r="A21" s="530" t="s">
        <v>90</v>
      </c>
      <c r="B21" s="297" t="s">
        <v>333</v>
      </c>
      <c r="C21" s="501">
        <v>30029.284350000002</v>
      </c>
      <c r="D21" s="501"/>
      <c r="E21" s="501"/>
      <c r="F21" s="501">
        <v>30029.284350000002</v>
      </c>
      <c r="G21" s="532">
        <v>113237.71070749999</v>
      </c>
    </row>
    <row r="22" spans="1:7" s="297" customFormat="1" ht="9" customHeight="1">
      <c r="A22" s="530"/>
      <c r="B22" s="297" t="s">
        <v>334</v>
      </c>
      <c r="C22" s="501">
        <v>64714.818282499997</v>
      </c>
      <c r="D22" s="501"/>
      <c r="E22" s="501"/>
      <c r="F22" s="501">
        <v>64714.818282499997</v>
      </c>
      <c r="G22" s="532">
        <v>436810.92946999997</v>
      </c>
    </row>
    <row r="23" spans="1:7" s="297" customFormat="1" ht="9" customHeight="1">
      <c r="A23" s="530"/>
      <c r="B23" s="297" t="s">
        <v>335</v>
      </c>
      <c r="C23" s="501">
        <v>16780.9617875</v>
      </c>
      <c r="D23" s="501"/>
      <c r="E23" s="501"/>
      <c r="F23" s="501">
        <v>16780.9617875</v>
      </c>
      <c r="G23" s="532">
        <v>110905.487465</v>
      </c>
    </row>
    <row r="24" spans="1:7" s="297" customFormat="1" ht="9" customHeight="1">
      <c r="A24" s="530"/>
      <c r="B24" s="297" t="s">
        <v>336</v>
      </c>
      <c r="C24" s="501">
        <v>143.06871000000001</v>
      </c>
      <c r="D24" s="501"/>
      <c r="E24" s="501"/>
      <c r="F24" s="501">
        <v>143.06871000000001</v>
      </c>
      <c r="G24" s="532">
        <v>755.96276499999999</v>
      </c>
    </row>
    <row r="25" spans="1:7" s="297" customFormat="1" ht="9" customHeight="1">
      <c r="A25" s="530"/>
      <c r="B25" s="297" t="s">
        <v>337</v>
      </c>
      <c r="C25" s="501">
        <v>10669.8428675</v>
      </c>
      <c r="D25" s="501"/>
      <c r="E25" s="501"/>
      <c r="F25" s="501">
        <v>10669.8428675</v>
      </c>
      <c r="G25" s="532">
        <v>114961.99982</v>
      </c>
    </row>
    <row r="26" spans="1:7" s="297" customFormat="1" ht="9" customHeight="1">
      <c r="A26" s="530"/>
      <c r="B26" s="297" t="s">
        <v>338</v>
      </c>
      <c r="C26" s="501">
        <v>2439.9778674999998</v>
      </c>
      <c r="D26" s="501"/>
      <c r="E26" s="501"/>
      <c r="F26" s="501">
        <v>2439.9778674999998</v>
      </c>
      <c r="G26" s="532">
        <v>12457.292325</v>
      </c>
    </row>
    <row r="27" spans="1:7" s="297" customFormat="1" ht="9" customHeight="1">
      <c r="A27" s="530"/>
      <c r="B27" s="297" t="s">
        <v>339</v>
      </c>
      <c r="C27" s="501">
        <v>4996.8593099999998</v>
      </c>
      <c r="D27" s="501"/>
      <c r="E27" s="501"/>
      <c r="F27" s="501">
        <v>4996.8593099999998</v>
      </c>
      <c r="G27" s="532">
        <v>18155.829150000001</v>
      </c>
    </row>
    <row r="28" spans="1:7" s="297" customFormat="1" ht="9" customHeight="1">
      <c r="A28" s="530"/>
      <c r="B28" s="297" t="s">
        <v>340</v>
      </c>
      <c r="C28" s="501">
        <v>1807.7854574999999</v>
      </c>
      <c r="D28" s="501"/>
      <c r="E28" s="501"/>
      <c r="F28" s="501">
        <v>1807.7854574999999</v>
      </c>
      <c r="G28" s="532">
        <v>8891.2320824999988</v>
      </c>
    </row>
    <row r="29" spans="1:7" s="297" customFormat="1" ht="9" customHeight="1">
      <c r="A29" s="530"/>
      <c r="B29" s="297" t="s">
        <v>341</v>
      </c>
      <c r="C29" s="501">
        <v>1977.8555775</v>
      </c>
      <c r="D29" s="501"/>
      <c r="E29" s="501"/>
      <c r="F29" s="501">
        <v>1977.8555775</v>
      </c>
      <c r="G29" s="532">
        <v>9576.7281700000003</v>
      </c>
    </row>
    <row r="30" spans="1:7" s="297" customFormat="1" ht="9" customHeight="1">
      <c r="A30" s="530"/>
      <c r="B30" s="297" t="s">
        <v>342</v>
      </c>
      <c r="C30" s="501">
        <v>311.60462999999999</v>
      </c>
      <c r="D30" s="501"/>
      <c r="E30" s="501"/>
      <c r="F30" s="501">
        <v>311.60462999999999</v>
      </c>
      <c r="G30" s="532">
        <v>1426.1871975000001</v>
      </c>
    </row>
    <row r="31" spans="1:7" s="297" customFormat="1" ht="9" customHeight="1">
      <c r="A31" s="530"/>
      <c r="B31" s="297" t="s">
        <v>343</v>
      </c>
      <c r="C31" s="501">
        <v>233.66394</v>
      </c>
      <c r="D31" s="501"/>
      <c r="E31" s="501"/>
      <c r="F31" s="501">
        <v>233.66394</v>
      </c>
      <c r="G31" s="532">
        <v>1061.70425</v>
      </c>
    </row>
    <row r="32" spans="1:7" s="297" customFormat="1" ht="9" customHeight="1">
      <c r="A32" s="530"/>
      <c r="B32" s="297" t="s">
        <v>344</v>
      </c>
      <c r="C32" s="501">
        <v>76340.490644999998</v>
      </c>
      <c r="D32" s="501"/>
      <c r="E32" s="501"/>
      <c r="F32" s="501">
        <v>76340.490644999998</v>
      </c>
      <c r="G32" s="532">
        <v>354684.90195500001</v>
      </c>
    </row>
    <row r="33" spans="1:8" s="297" customFormat="1" ht="9" customHeight="1">
      <c r="A33" s="531" t="s">
        <v>535</v>
      </c>
      <c r="B33" s="399"/>
      <c r="C33" s="400">
        <v>210446.21342500002</v>
      </c>
      <c r="D33" s="400"/>
      <c r="E33" s="400"/>
      <c r="F33" s="400">
        <v>210446.21342500002</v>
      </c>
      <c r="G33" s="533">
        <v>1182925.9653575001</v>
      </c>
    </row>
    <row r="34" spans="1:8" s="297" customFormat="1" ht="9" customHeight="1">
      <c r="A34" s="530" t="s">
        <v>109</v>
      </c>
      <c r="B34" s="297" t="s">
        <v>229</v>
      </c>
      <c r="C34" s="501"/>
      <c r="D34" s="501"/>
      <c r="E34" s="501">
        <v>3850.50875</v>
      </c>
      <c r="F34" s="501">
        <v>3850.50875</v>
      </c>
      <c r="G34" s="532">
        <v>23666.823887499999</v>
      </c>
    </row>
    <row r="35" spans="1:8" s="297" customFormat="1" ht="9" customHeight="1">
      <c r="A35" s="531" t="s">
        <v>536</v>
      </c>
      <c r="B35" s="399"/>
      <c r="C35" s="400"/>
      <c r="D35" s="400"/>
      <c r="E35" s="400">
        <v>3850.50875</v>
      </c>
      <c r="F35" s="400">
        <v>3850.50875</v>
      </c>
      <c r="G35" s="533">
        <v>23666.823887499999</v>
      </c>
    </row>
    <row r="36" spans="1:8" s="297" customFormat="1" ht="9" customHeight="1">
      <c r="A36" s="530" t="s">
        <v>100</v>
      </c>
      <c r="B36" s="297" t="s">
        <v>426</v>
      </c>
      <c r="C36" s="501"/>
      <c r="D36" s="501">
        <v>31047.562005</v>
      </c>
      <c r="E36" s="501"/>
      <c r="F36" s="501">
        <v>31047.562005</v>
      </c>
      <c r="G36" s="532">
        <v>494639.00638749998</v>
      </c>
    </row>
    <row r="37" spans="1:8" s="297" customFormat="1" ht="9" customHeight="1">
      <c r="A37" s="531" t="s">
        <v>537</v>
      </c>
      <c r="B37" s="399"/>
      <c r="C37" s="400"/>
      <c r="D37" s="400">
        <v>31047.562005</v>
      </c>
      <c r="E37" s="400"/>
      <c r="F37" s="400">
        <v>31047.562005</v>
      </c>
      <c r="G37" s="533">
        <v>494639.00638749998</v>
      </c>
    </row>
    <row r="38" spans="1:8" s="297" customFormat="1" ht="9" customHeight="1">
      <c r="A38" s="530" t="s">
        <v>105</v>
      </c>
      <c r="B38" s="297" t="s">
        <v>345</v>
      </c>
      <c r="C38" s="501"/>
      <c r="D38" s="501">
        <v>9705.7670099999996</v>
      </c>
      <c r="E38" s="501"/>
      <c r="F38" s="501">
        <v>9705.7670099999996</v>
      </c>
      <c r="G38" s="532">
        <v>39663.6422475</v>
      </c>
    </row>
    <row r="39" spans="1:8" s="297" customFormat="1" ht="9" customHeight="1">
      <c r="A39" s="531" t="s">
        <v>538</v>
      </c>
      <c r="B39" s="399"/>
      <c r="C39" s="400"/>
      <c r="D39" s="400">
        <v>9705.7670099999996</v>
      </c>
      <c r="E39" s="400"/>
      <c r="F39" s="400">
        <v>9705.7670099999996</v>
      </c>
      <c r="G39" s="533">
        <v>39663.6422475</v>
      </c>
    </row>
    <row r="40" spans="1:8">
      <c r="A40" s="385" t="s">
        <v>418</v>
      </c>
      <c r="B40" s="385"/>
      <c r="C40" s="384">
        <v>2434823.3614499993</v>
      </c>
      <c r="D40" s="384">
        <v>1719584.54061</v>
      </c>
      <c r="E40" s="384">
        <v>440547.04230750015</v>
      </c>
      <c r="F40" s="384">
        <v>4594954.944367501</v>
      </c>
      <c r="G40" s="505">
        <v>22749754.466827516</v>
      </c>
    </row>
    <row r="41" spans="1:8">
      <c r="A41" s="385" t="s">
        <v>346</v>
      </c>
      <c r="B41" s="385"/>
      <c r="C41" s="386"/>
      <c r="D41" s="386"/>
      <c r="E41" s="411"/>
      <c r="F41" s="387">
        <f>+'3. Tipo Generación'!D14*1000</f>
        <v>9737.2668999999987</v>
      </c>
      <c r="G41" s="506">
        <f>+'4. Tipo Recurso'!$G$21*1000</f>
        <v>14343.4555</v>
      </c>
    </row>
    <row r="42" spans="1:8">
      <c r="A42" s="507" t="s">
        <v>347</v>
      </c>
      <c r="B42" s="385"/>
      <c r="C42" s="386"/>
      <c r="D42" s="386"/>
      <c r="E42" s="411"/>
      <c r="F42" s="387"/>
      <c r="G42" s="506"/>
    </row>
    <row r="43" spans="1:8" ht="6.75" customHeight="1">
      <c r="A43" s="508"/>
      <c r="B43" s="508"/>
      <c r="C43" s="508"/>
      <c r="D43" s="508"/>
      <c r="E43" s="508"/>
      <c r="F43" s="508"/>
      <c r="G43" s="508"/>
    </row>
    <row r="44" spans="1:8" ht="23.25" customHeight="1">
      <c r="A44" s="892" t="s">
        <v>547</v>
      </c>
      <c r="B44" s="892"/>
      <c r="C44" s="892"/>
      <c r="D44" s="892"/>
      <c r="E44" s="892"/>
      <c r="F44" s="892"/>
      <c r="G44" s="892"/>
    </row>
    <row r="45" spans="1:8" ht="17.25" customHeight="1">
      <c r="A45" s="543"/>
      <c r="B45" s="543"/>
      <c r="C45" s="543"/>
      <c r="D45" s="543"/>
      <c r="E45" s="543"/>
      <c r="F45" s="543"/>
      <c r="G45" s="543"/>
      <c r="H45" s="46"/>
    </row>
    <row r="46" spans="1:8" ht="18.600000000000001" customHeight="1">
      <c r="A46" s="666" t="s">
        <v>572</v>
      </c>
      <c r="B46" s="268"/>
      <c r="C46" s="268"/>
      <c r="D46" s="268"/>
      <c r="E46" s="268"/>
      <c r="F46" s="268"/>
    </row>
    <row r="47" spans="1:8">
      <c r="A47" s="297"/>
      <c r="B47" s="268"/>
      <c r="C47" s="268"/>
      <c r="D47" s="268"/>
      <c r="E47" s="268"/>
      <c r="F47" s="268"/>
    </row>
    <row r="48" spans="1:8">
      <c r="A48" s="297"/>
      <c r="B48" s="268"/>
      <c r="C48" s="268"/>
      <c r="D48" s="268"/>
      <c r="E48" s="268"/>
      <c r="F48" s="268"/>
    </row>
    <row r="49" spans="1:6">
      <c r="A49" s="297"/>
      <c r="B49" s="268"/>
      <c r="C49" s="268"/>
      <c r="D49" s="268"/>
      <c r="E49" s="268"/>
      <c r="F49" s="268"/>
    </row>
    <row r="50" spans="1:6">
      <c r="A50" s="297"/>
      <c r="B50" s="268"/>
      <c r="C50" s="268"/>
      <c r="D50" s="268"/>
      <c r="E50" s="268"/>
      <c r="F50" s="268"/>
    </row>
    <row r="51" spans="1:6">
      <c r="A51" s="297"/>
    </row>
    <row r="52" spans="1:6">
      <c r="A52" s="297"/>
    </row>
    <row r="53" spans="1:6">
      <c r="A53" s="297"/>
    </row>
  </sheetData>
  <mergeCells count="6">
    <mergeCell ref="A44:G44"/>
    <mergeCell ref="A1:A4"/>
    <mergeCell ref="B1:B4"/>
    <mergeCell ref="C1:F1"/>
    <mergeCell ref="C2:E2"/>
    <mergeCell ref="F2:F3"/>
  </mergeCells>
  <phoneticPr fontId="13" type="noConversion"/>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89"/>
  <sheetViews>
    <sheetView showGridLines="0" view="pageBreakPreview" zoomScaleNormal="100" zoomScaleSheetLayoutView="100" zoomScalePageLayoutView="115" workbookViewId="0">
      <selection activeCell="R35" sqref="R35"/>
    </sheetView>
  </sheetViews>
  <sheetFormatPr baseColWidth="10" defaultColWidth="9.28515625" defaultRowHeight="9.6"/>
  <cols>
    <col min="1" max="1" width="28.85546875" style="268" customWidth="1"/>
    <col min="2" max="2" width="24.7109375" style="268" customWidth="1"/>
    <col min="3" max="5" width="16.140625" style="268" customWidth="1"/>
    <col min="6" max="6" width="15.140625" style="268" customWidth="1"/>
    <col min="7" max="7" width="9.28515625" style="268"/>
    <col min="8" max="8" width="15.7109375" style="268" customWidth="1"/>
    <col min="9" max="9" width="9.28515625" style="268"/>
    <col min="10" max="11" width="9.28515625" style="268" customWidth="1"/>
    <col min="12" max="16384" width="9.28515625" style="268"/>
  </cols>
  <sheetData>
    <row r="1" spans="1:12" ht="11.25" customHeight="1">
      <c r="A1" s="517" t="s">
        <v>350</v>
      </c>
      <c r="B1" s="518"/>
      <c r="C1" s="518"/>
      <c r="D1" s="518"/>
      <c r="E1" s="518"/>
      <c r="F1" s="518"/>
    </row>
    <row r="2" spans="1:12" s="297" customFormat="1" ht="11.25" customHeight="1">
      <c r="A2" s="893" t="s">
        <v>248</v>
      </c>
      <c r="B2" s="896" t="s">
        <v>54</v>
      </c>
      <c r="C2" s="896" t="s">
        <v>351</v>
      </c>
      <c r="D2" s="896"/>
      <c r="E2" s="896"/>
      <c r="F2" s="899"/>
      <c r="G2" s="335"/>
      <c r="H2" s="335"/>
      <c r="I2" s="335"/>
      <c r="J2" s="335"/>
      <c r="K2" s="335"/>
    </row>
    <row r="3" spans="1:12" s="297" customFormat="1" ht="11.25" customHeight="1">
      <c r="A3" s="894"/>
      <c r="B3" s="897"/>
      <c r="C3" s="388" t="str">
        <f>UPPER('1. Resumen'!Q4)&amp;" "&amp;'1. Resumen'!Q5</f>
        <v>MAYO 2022</v>
      </c>
      <c r="D3" s="389" t="str">
        <f>UPPER('1. Resumen'!Q4)&amp;" "&amp;'1. Resumen'!Q5-1</f>
        <v>MAYO 2021</v>
      </c>
      <c r="E3" s="389">
        <v>2022</v>
      </c>
      <c r="F3" s="509" t="s">
        <v>567</v>
      </c>
      <c r="G3" s="336"/>
      <c r="H3" s="336"/>
      <c r="I3" s="336"/>
      <c r="J3" s="336"/>
      <c r="K3" s="336"/>
      <c r="L3" s="335"/>
    </row>
    <row r="4" spans="1:12" s="297" customFormat="1" ht="11.25" customHeight="1">
      <c r="A4" s="894"/>
      <c r="B4" s="897"/>
      <c r="C4" s="390">
        <f>+'8. Max Potencia'!D8</f>
        <v>44712.78125</v>
      </c>
      <c r="D4" s="390">
        <f>+'8. Max Potencia'!E8</f>
        <v>44342.75</v>
      </c>
      <c r="E4" s="390">
        <f>+'8. Max Potencia'!G8</f>
        <v>44614.822916666664</v>
      </c>
      <c r="F4" s="510" t="s">
        <v>348</v>
      </c>
      <c r="G4" s="337"/>
      <c r="H4" s="337"/>
      <c r="I4" s="338"/>
      <c r="J4" s="338"/>
      <c r="K4" s="338"/>
      <c r="L4" s="335"/>
    </row>
    <row r="5" spans="1:12" s="297" customFormat="1" ht="11.25" customHeight="1">
      <c r="A5" s="895"/>
      <c r="B5" s="898"/>
      <c r="C5" s="512">
        <f>+'8. Max Potencia'!D9</f>
        <v>44712.78125</v>
      </c>
      <c r="D5" s="512">
        <f>+'8. Max Potencia'!E9</f>
        <v>44342.75</v>
      </c>
      <c r="E5" s="512">
        <f>+'8. Max Potencia'!G9</f>
        <v>44614.822916666664</v>
      </c>
      <c r="F5" s="513" t="s">
        <v>349</v>
      </c>
      <c r="G5" s="337"/>
      <c r="H5" s="337"/>
      <c r="I5" s="337"/>
      <c r="J5" s="337"/>
      <c r="K5" s="337"/>
      <c r="L5" s="339"/>
    </row>
    <row r="6" spans="1:12" s="297" customFormat="1" ht="10.199999999999999" customHeight="1">
      <c r="A6" s="535" t="s">
        <v>119</v>
      </c>
      <c r="B6" s="333" t="s">
        <v>86</v>
      </c>
      <c r="C6" s="334">
        <v>18.309740000000001</v>
      </c>
      <c r="D6" s="334">
        <v>10.099550000000001</v>
      </c>
      <c r="E6" s="334">
        <v>0</v>
      </c>
      <c r="F6" s="635">
        <f>+IF(D6=0,"",C6/D6-1)</f>
        <v>0.81292631849933916</v>
      </c>
      <c r="G6" s="337"/>
      <c r="H6" s="551"/>
      <c r="I6" s="551"/>
      <c r="J6" s="337"/>
      <c r="K6" s="337"/>
      <c r="L6" s="340"/>
    </row>
    <row r="7" spans="1:12" s="297" customFormat="1" ht="10.199999999999999" customHeight="1">
      <c r="A7" s="531" t="s">
        <v>477</v>
      </c>
      <c r="B7" s="399"/>
      <c r="C7" s="400">
        <v>18.309740000000001</v>
      </c>
      <c r="D7" s="400">
        <v>10.099550000000001</v>
      </c>
      <c r="E7" s="400">
        <v>0</v>
      </c>
      <c r="F7" s="636">
        <f t="shared" ref="F7:F70" si="0">+IF(D7=0,"",C7/D7-1)</f>
        <v>0.81292631849933916</v>
      </c>
      <c r="G7" s="337"/>
      <c r="H7" s="551"/>
      <c r="I7" s="551"/>
      <c r="J7" s="337"/>
      <c r="K7" s="337"/>
      <c r="L7" s="341"/>
    </row>
    <row r="8" spans="1:12" s="297" customFormat="1" ht="10.199999999999999" customHeight="1">
      <c r="A8" s="535" t="s">
        <v>118</v>
      </c>
      <c r="B8" s="333" t="s">
        <v>63</v>
      </c>
      <c r="C8" s="334">
        <v>10.046860000000001</v>
      </c>
      <c r="D8" s="334">
        <v>19.471919999999997</v>
      </c>
      <c r="E8" s="334">
        <v>19.972529999999999</v>
      </c>
      <c r="F8" s="635">
        <f t="shared" si="0"/>
        <v>-0.4840334183788757</v>
      </c>
      <c r="G8" s="337"/>
      <c r="H8" s="551"/>
      <c r="I8" s="551"/>
      <c r="J8" s="337"/>
      <c r="K8" s="337"/>
      <c r="L8" s="342"/>
    </row>
    <row r="9" spans="1:12" s="297" customFormat="1" ht="10.199999999999999" customHeight="1">
      <c r="A9" s="531" t="s">
        <v>478</v>
      </c>
      <c r="B9" s="399"/>
      <c r="C9" s="400">
        <v>10.046860000000001</v>
      </c>
      <c r="D9" s="400">
        <v>19.471919999999997</v>
      </c>
      <c r="E9" s="400">
        <v>19.972529999999999</v>
      </c>
      <c r="F9" s="636">
        <f t="shared" si="0"/>
        <v>-0.4840334183788757</v>
      </c>
      <c r="G9" s="337"/>
      <c r="H9" s="551"/>
      <c r="I9" s="551"/>
      <c r="J9" s="337"/>
      <c r="K9" s="337"/>
      <c r="L9" s="341"/>
    </row>
    <row r="10" spans="1:12" s="297" customFormat="1" ht="10.199999999999999" customHeight="1">
      <c r="A10" s="530" t="s">
        <v>106</v>
      </c>
      <c r="B10" s="297" t="s">
        <v>83</v>
      </c>
      <c r="C10" s="501">
        <v>0</v>
      </c>
      <c r="D10" s="501">
        <v>16.481169999999999</v>
      </c>
      <c r="E10" s="501">
        <v>13.233359999999999</v>
      </c>
      <c r="F10" s="637">
        <f t="shared" si="0"/>
        <v>-1</v>
      </c>
      <c r="G10" s="337"/>
      <c r="H10" s="551"/>
      <c r="I10" s="551"/>
      <c r="J10" s="337"/>
      <c r="K10" s="337"/>
      <c r="L10" s="341"/>
    </row>
    <row r="11" spans="1:12" s="297" customFormat="1" ht="10.199999999999999" customHeight="1">
      <c r="A11" s="531" t="s">
        <v>479</v>
      </c>
      <c r="B11" s="399"/>
      <c r="C11" s="400">
        <v>0</v>
      </c>
      <c r="D11" s="400">
        <v>16.481169999999999</v>
      </c>
      <c r="E11" s="400">
        <v>13.233359999999999</v>
      </c>
      <c r="F11" s="636">
        <f t="shared" si="0"/>
        <v>-1</v>
      </c>
      <c r="G11" s="337"/>
      <c r="H11" s="551"/>
      <c r="I11" s="551"/>
      <c r="J11" s="337"/>
      <c r="K11" s="337"/>
      <c r="L11" s="341"/>
    </row>
    <row r="12" spans="1:12" s="297" customFormat="1" ht="10.199999999999999" customHeight="1">
      <c r="A12" s="530" t="s">
        <v>414</v>
      </c>
      <c r="B12" s="297" t="s">
        <v>416</v>
      </c>
      <c r="C12" s="501">
        <v>11.69773</v>
      </c>
      <c r="D12" s="501">
        <v>20.338349999999998</v>
      </c>
      <c r="E12" s="501">
        <v>19.175850000000001</v>
      </c>
      <c r="F12" s="637">
        <f t="shared" si="0"/>
        <v>-0.42484370659370096</v>
      </c>
      <c r="G12" s="337"/>
      <c r="H12" s="551"/>
      <c r="I12" s="551"/>
      <c r="J12" s="337"/>
      <c r="K12" s="337"/>
      <c r="L12" s="341"/>
    </row>
    <row r="13" spans="1:12" s="297" customFormat="1" ht="10.199999999999999" customHeight="1">
      <c r="A13" s="531" t="s">
        <v>480</v>
      </c>
      <c r="B13" s="399"/>
      <c r="C13" s="400">
        <v>11.69773</v>
      </c>
      <c r="D13" s="400">
        <v>20.338349999999998</v>
      </c>
      <c r="E13" s="400">
        <v>19.175850000000001</v>
      </c>
      <c r="F13" s="636">
        <f t="shared" si="0"/>
        <v>-0.42484370659370096</v>
      </c>
      <c r="G13" s="337"/>
      <c r="H13" s="551"/>
      <c r="I13" s="551"/>
      <c r="J13" s="337"/>
      <c r="K13" s="337"/>
      <c r="L13" s="341"/>
    </row>
    <row r="14" spans="1:12" s="297" customFormat="1" ht="10.199999999999999" customHeight="1">
      <c r="A14" s="530" t="s">
        <v>466</v>
      </c>
      <c r="B14" s="297" t="s">
        <v>75</v>
      </c>
      <c r="C14" s="501">
        <v>0</v>
      </c>
      <c r="D14" s="501">
        <v>0.74041000000000001</v>
      </c>
      <c r="E14" s="501">
        <v>0.52566999999999997</v>
      </c>
      <c r="F14" s="637">
        <f t="shared" si="0"/>
        <v>-1</v>
      </c>
      <c r="G14" s="337"/>
      <c r="H14" s="551"/>
      <c r="I14" s="551"/>
      <c r="J14" s="337"/>
      <c r="K14" s="337"/>
      <c r="L14" s="341"/>
    </row>
    <row r="15" spans="1:12" s="297" customFormat="1" ht="10.199999999999999" customHeight="1">
      <c r="A15" s="531" t="s">
        <v>481</v>
      </c>
      <c r="B15" s="399"/>
      <c r="C15" s="400">
        <v>0</v>
      </c>
      <c r="D15" s="400">
        <v>0.74041000000000001</v>
      </c>
      <c r="E15" s="400">
        <v>0.52566999999999997</v>
      </c>
      <c r="F15" s="636">
        <f t="shared" si="0"/>
        <v>-1</v>
      </c>
      <c r="G15" s="337"/>
      <c r="H15" s="551"/>
      <c r="I15" s="551"/>
      <c r="J15" s="337"/>
      <c r="K15" s="337"/>
      <c r="L15" s="341"/>
    </row>
    <row r="16" spans="1:12" s="297" customFormat="1" ht="10.199999999999999" customHeight="1">
      <c r="A16" s="530" t="s">
        <v>445</v>
      </c>
      <c r="B16" s="297" t="s">
        <v>451</v>
      </c>
      <c r="C16" s="501">
        <v>9.0587599999999995</v>
      </c>
      <c r="D16" s="501">
        <v>11</v>
      </c>
      <c r="E16" s="501">
        <v>9.4425799999999995</v>
      </c>
      <c r="F16" s="637">
        <f t="shared" si="0"/>
        <v>-0.17647636363636365</v>
      </c>
      <c r="G16" s="337"/>
      <c r="H16" s="551"/>
      <c r="I16" s="551"/>
      <c r="J16" s="337"/>
      <c r="K16" s="337"/>
      <c r="L16" s="341"/>
    </row>
    <row r="17" spans="1:16" s="297" customFormat="1" ht="10.199999999999999" customHeight="1">
      <c r="A17" s="531" t="s">
        <v>482</v>
      </c>
      <c r="B17" s="399"/>
      <c r="C17" s="400">
        <v>9.0587599999999995</v>
      </c>
      <c r="D17" s="400">
        <v>11</v>
      </c>
      <c r="E17" s="400">
        <v>9.4425799999999995</v>
      </c>
      <c r="F17" s="636">
        <f t="shared" si="0"/>
        <v>-0.17647636363636365</v>
      </c>
      <c r="G17" s="337"/>
      <c r="H17" s="551"/>
      <c r="I17" s="551"/>
      <c r="J17" s="337"/>
      <c r="K17" s="337"/>
      <c r="L17" s="342"/>
    </row>
    <row r="18" spans="1:16" s="297" customFormat="1" ht="10.199999999999999" customHeight="1">
      <c r="A18" s="530" t="s">
        <v>94</v>
      </c>
      <c r="B18" s="297" t="s">
        <v>279</v>
      </c>
      <c r="C18" s="501">
        <v>95.272500000000008</v>
      </c>
      <c r="D18" s="501">
        <v>158.32352</v>
      </c>
      <c r="E18" s="501">
        <v>204.80700000000002</v>
      </c>
      <c r="F18" s="637">
        <f t="shared" si="0"/>
        <v>-0.39824165101938103</v>
      </c>
      <c r="G18" s="337"/>
      <c r="H18" s="551"/>
      <c r="I18" s="551"/>
      <c r="J18" s="337"/>
      <c r="K18" s="337"/>
      <c r="L18" s="342"/>
    </row>
    <row r="19" spans="1:16" s="297" customFormat="1" ht="10.199999999999999" customHeight="1">
      <c r="A19" s="531" t="s">
        <v>483</v>
      </c>
      <c r="B19" s="399"/>
      <c r="C19" s="400">
        <v>95.272500000000008</v>
      </c>
      <c r="D19" s="400">
        <v>158.32352</v>
      </c>
      <c r="E19" s="400">
        <v>204.80700000000002</v>
      </c>
      <c r="F19" s="636">
        <f t="shared" si="0"/>
        <v>-0.39824165101938103</v>
      </c>
      <c r="G19" s="337"/>
      <c r="H19" s="551"/>
      <c r="I19" s="551"/>
      <c r="J19" s="337"/>
      <c r="K19" s="337"/>
      <c r="L19" s="342"/>
    </row>
    <row r="20" spans="1:16" s="297" customFormat="1" ht="10.199999999999999" customHeight="1">
      <c r="A20" s="530" t="s">
        <v>468</v>
      </c>
      <c r="B20" s="297" t="s">
        <v>320</v>
      </c>
      <c r="C20" s="501">
        <v>19.828009999999999</v>
      </c>
      <c r="D20" s="501">
        <v>19.58989</v>
      </c>
      <c r="E20" s="501">
        <v>19.82855</v>
      </c>
      <c r="F20" s="637">
        <f t="shared" si="0"/>
        <v>1.2155249467965312E-2</v>
      </c>
      <c r="G20" s="337"/>
      <c r="H20" s="551"/>
      <c r="I20" s="551"/>
      <c r="J20" s="337"/>
      <c r="K20" s="337"/>
      <c r="L20" s="337"/>
      <c r="M20" s="337"/>
      <c r="N20" s="337"/>
      <c r="O20" s="337"/>
      <c r="P20" s="337"/>
    </row>
    <row r="21" spans="1:16" s="297" customFormat="1" ht="10.199999999999999" customHeight="1">
      <c r="A21" s="531" t="s">
        <v>484</v>
      </c>
      <c r="B21" s="399"/>
      <c r="C21" s="400">
        <v>19.828009999999999</v>
      </c>
      <c r="D21" s="400">
        <v>19.58989</v>
      </c>
      <c r="E21" s="400">
        <v>19.82855</v>
      </c>
      <c r="F21" s="636">
        <f t="shared" si="0"/>
        <v>1.2155249467965312E-2</v>
      </c>
      <c r="G21" s="337"/>
      <c r="H21" s="551"/>
      <c r="I21" s="551"/>
      <c r="J21" s="337"/>
      <c r="K21" s="337"/>
      <c r="L21" s="337"/>
      <c r="M21" s="337"/>
      <c r="N21" s="337"/>
      <c r="O21" s="337"/>
      <c r="P21" s="337"/>
    </row>
    <row r="22" spans="1:16" s="297" customFormat="1" ht="10.199999999999999" customHeight="1">
      <c r="A22" s="530" t="s">
        <v>543</v>
      </c>
      <c r="B22" s="297" t="s">
        <v>568</v>
      </c>
      <c r="C22" s="501">
        <v>0.78673999999999999</v>
      </c>
      <c r="D22" s="501"/>
      <c r="E22" s="501">
        <v>1.1677999999999999</v>
      </c>
      <c r="F22" s="637" t="str">
        <f t="shared" si="0"/>
        <v/>
      </c>
      <c r="G22" s="337"/>
      <c r="H22" s="551"/>
      <c r="I22" s="551"/>
      <c r="J22" s="337"/>
      <c r="K22" s="337"/>
      <c r="L22" s="341"/>
    </row>
    <row r="23" spans="1:16" s="297" customFormat="1" ht="10.199999999999999" customHeight="1">
      <c r="A23" s="530"/>
      <c r="B23" s="297" t="s">
        <v>569</v>
      </c>
      <c r="C23" s="501">
        <v>1.27471</v>
      </c>
      <c r="D23" s="501"/>
      <c r="E23" s="501">
        <v>1.98715</v>
      </c>
      <c r="F23" s="637" t="str">
        <f t="shared" si="0"/>
        <v/>
      </c>
      <c r="G23" s="337"/>
      <c r="H23" s="551"/>
      <c r="I23" s="551"/>
      <c r="J23" s="337"/>
      <c r="K23" s="337"/>
      <c r="L23" s="341"/>
    </row>
    <row r="24" spans="1:16" s="297" customFormat="1" ht="10.199999999999999" customHeight="1">
      <c r="A24" s="531" t="s">
        <v>545</v>
      </c>
      <c r="B24" s="399"/>
      <c r="C24" s="400">
        <v>2.0614499999999998</v>
      </c>
      <c r="D24" s="400"/>
      <c r="E24" s="400">
        <v>3.1549499999999999</v>
      </c>
      <c r="F24" s="636" t="str">
        <f t="shared" si="0"/>
        <v/>
      </c>
      <c r="G24" s="337"/>
      <c r="H24" s="551"/>
      <c r="I24" s="551"/>
      <c r="J24" s="337"/>
      <c r="K24" s="337"/>
      <c r="L24" s="341"/>
    </row>
    <row r="25" spans="1:16" s="297" customFormat="1" ht="10.199999999999999" customHeight="1">
      <c r="A25" s="530" t="s">
        <v>234</v>
      </c>
      <c r="B25" s="297" t="s">
        <v>280</v>
      </c>
      <c r="C25" s="501">
        <v>0</v>
      </c>
      <c r="D25" s="501">
        <v>0</v>
      </c>
      <c r="E25" s="501">
        <v>0</v>
      </c>
      <c r="F25" s="637" t="str">
        <f t="shared" si="0"/>
        <v/>
      </c>
      <c r="G25" s="337"/>
      <c r="H25" s="551"/>
      <c r="I25" s="551"/>
      <c r="J25" s="337"/>
      <c r="K25" s="337"/>
      <c r="L25" s="341"/>
    </row>
    <row r="26" spans="1:16" s="297" customFormat="1" ht="9" customHeight="1">
      <c r="A26" s="531" t="s">
        <v>485</v>
      </c>
      <c r="B26" s="399"/>
      <c r="C26" s="400">
        <v>0</v>
      </c>
      <c r="D26" s="400">
        <v>0</v>
      </c>
      <c r="E26" s="400">
        <v>0</v>
      </c>
      <c r="F26" s="636" t="str">
        <f t="shared" si="0"/>
        <v/>
      </c>
      <c r="G26" s="337"/>
      <c r="H26" s="551"/>
      <c r="I26" s="551"/>
      <c r="J26" s="337"/>
      <c r="K26" s="337"/>
      <c r="L26" s="341"/>
    </row>
    <row r="27" spans="1:16" s="297" customFormat="1" ht="9" customHeight="1">
      <c r="A27" s="530" t="s">
        <v>93</v>
      </c>
      <c r="B27" s="297" t="s">
        <v>281</v>
      </c>
      <c r="C27" s="501">
        <v>52.790999999999997</v>
      </c>
      <c r="D27" s="501">
        <v>148.22370999999998</v>
      </c>
      <c r="E27" s="501">
        <v>127.017</v>
      </c>
      <c r="F27" s="637">
        <f t="shared" si="0"/>
        <v>-0.64384240550988769</v>
      </c>
      <c r="G27" s="337"/>
      <c r="H27" s="551"/>
      <c r="I27" s="551"/>
      <c r="J27" s="337"/>
      <c r="K27" s="337"/>
      <c r="L27" s="341"/>
    </row>
    <row r="28" spans="1:16" s="297" customFormat="1" ht="9" customHeight="1">
      <c r="A28" s="530"/>
      <c r="B28" s="297" t="s">
        <v>282</v>
      </c>
      <c r="C28" s="501">
        <v>26.231999999999999</v>
      </c>
      <c r="D28" s="501">
        <v>0</v>
      </c>
      <c r="E28" s="501">
        <v>41.948</v>
      </c>
      <c r="F28" s="637" t="str">
        <f t="shared" si="0"/>
        <v/>
      </c>
      <c r="G28" s="337"/>
      <c r="H28" s="551"/>
      <c r="I28" s="551"/>
      <c r="J28" s="337"/>
      <c r="K28" s="337"/>
      <c r="L28" s="341"/>
    </row>
    <row r="29" spans="1:16" s="297" customFormat="1" ht="9" customHeight="1">
      <c r="A29" s="531" t="s">
        <v>486</v>
      </c>
      <c r="B29" s="399"/>
      <c r="C29" s="400">
        <v>79.022999999999996</v>
      </c>
      <c r="D29" s="400">
        <v>148.22370999999998</v>
      </c>
      <c r="E29" s="400">
        <v>168.965</v>
      </c>
      <c r="F29" s="636">
        <f t="shared" si="0"/>
        <v>-0.46686667065613185</v>
      </c>
      <c r="G29" s="337"/>
      <c r="H29" s="551"/>
      <c r="I29" s="551"/>
      <c r="J29" s="337"/>
      <c r="K29" s="337"/>
      <c r="L29" s="343"/>
    </row>
    <row r="30" spans="1:16" s="297" customFormat="1" ht="9" customHeight="1">
      <c r="A30" s="530" t="s">
        <v>544</v>
      </c>
      <c r="B30" s="297" t="s">
        <v>570</v>
      </c>
      <c r="C30" s="501">
        <v>0</v>
      </c>
      <c r="D30" s="501"/>
      <c r="E30" s="501">
        <v>0</v>
      </c>
      <c r="F30" s="637" t="str">
        <f t="shared" si="0"/>
        <v/>
      </c>
      <c r="G30" s="337"/>
      <c r="H30" s="551"/>
      <c r="I30" s="551"/>
      <c r="J30" s="337"/>
      <c r="K30" s="337"/>
      <c r="L30" s="341"/>
    </row>
    <row r="31" spans="1:16" s="297" customFormat="1" ht="9" customHeight="1">
      <c r="A31" s="531" t="s">
        <v>546</v>
      </c>
      <c r="B31" s="399"/>
      <c r="C31" s="400">
        <v>0</v>
      </c>
      <c r="D31" s="400"/>
      <c r="E31" s="400">
        <v>0</v>
      </c>
      <c r="F31" s="636" t="str">
        <f t="shared" si="0"/>
        <v/>
      </c>
      <c r="G31" s="337"/>
      <c r="H31" s="551"/>
      <c r="I31" s="551"/>
      <c r="J31" s="337"/>
      <c r="K31" s="337"/>
      <c r="L31" s="341"/>
    </row>
    <row r="32" spans="1:16" s="297" customFormat="1" ht="9" customHeight="1">
      <c r="A32" s="530" t="s">
        <v>91</v>
      </c>
      <c r="B32" s="297" t="s">
        <v>283</v>
      </c>
      <c r="C32" s="501">
        <v>1.6637</v>
      </c>
      <c r="D32" s="501">
        <v>1.6717299999999999</v>
      </c>
      <c r="E32" s="501">
        <v>1.6803300000000001</v>
      </c>
      <c r="F32" s="637">
        <f t="shared" si="0"/>
        <v>-4.8034072487781465E-3</v>
      </c>
      <c r="G32" s="337"/>
      <c r="H32" s="551"/>
      <c r="I32" s="551"/>
      <c r="J32" s="337"/>
      <c r="K32" s="337"/>
      <c r="L32" s="341"/>
    </row>
    <row r="33" spans="1:12" s="297" customFormat="1" ht="9" customHeight="1">
      <c r="A33" s="530"/>
      <c r="B33" s="297" t="s">
        <v>284</v>
      </c>
      <c r="C33" s="501">
        <v>0.56563999999999992</v>
      </c>
      <c r="D33" s="501">
        <v>0.56803000000000003</v>
      </c>
      <c r="E33" s="501">
        <v>0.57155999999999996</v>
      </c>
      <c r="F33" s="637">
        <f t="shared" si="0"/>
        <v>-4.2075242504798771E-3</v>
      </c>
      <c r="G33" s="337"/>
      <c r="H33" s="551"/>
      <c r="I33" s="551"/>
      <c r="J33" s="337"/>
      <c r="K33" s="337"/>
      <c r="L33" s="343"/>
    </row>
    <row r="34" spans="1:12" s="297" customFormat="1" ht="9" customHeight="1">
      <c r="A34" s="530"/>
      <c r="B34" s="297" t="s">
        <v>285</v>
      </c>
      <c r="C34" s="501">
        <v>4.6651500000000006</v>
      </c>
      <c r="D34" s="501">
        <v>4.6860599999999994</v>
      </c>
      <c r="E34" s="501">
        <v>4.6758300000000004</v>
      </c>
      <c r="F34" s="637">
        <f t="shared" si="0"/>
        <v>-4.4621707788630172E-3</v>
      </c>
      <c r="G34" s="337"/>
      <c r="H34" s="551"/>
      <c r="I34" s="551"/>
      <c r="J34" s="337"/>
      <c r="K34" s="337"/>
      <c r="L34" s="341"/>
    </row>
    <row r="35" spans="1:12" s="297" customFormat="1" ht="9" customHeight="1">
      <c r="A35" s="530"/>
      <c r="B35" s="297" t="s">
        <v>286</v>
      </c>
      <c r="C35" s="501">
        <v>12.360009999999999</v>
      </c>
      <c r="D35" s="501">
        <v>12.0824</v>
      </c>
      <c r="E35" s="501">
        <v>13.87904</v>
      </c>
      <c r="F35" s="637">
        <f t="shared" si="0"/>
        <v>2.2976395418128792E-2</v>
      </c>
      <c r="G35" s="337"/>
      <c r="H35" s="551"/>
      <c r="I35" s="551"/>
      <c r="J35" s="337"/>
      <c r="K35" s="337"/>
      <c r="L35" s="341"/>
    </row>
    <row r="36" spans="1:12" s="297" customFormat="1" ht="9" customHeight="1">
      <c r="A36" s="530"/>
      <c r="B36" s="297" t="s">
        <v>287</v>
      </c>
      <c r="C36" s="501">
        <v>95.474379999999996</v>
      </c>
      <c r="D36" s="501">
        <v>75.997659999999996</v>
      </c>
      <c r="E36" s="501">
        <v>80.446820000000002</v>
      </c>
      <c r="F36" s="637">
        <f t="shared" si="0"/>
        <v>0.25628052232134513</v>
      </c>
      <c r="G36" s="337"/>
      <c r="H36" s="551"/>
      <c r="I36" s="551"/>
      <c r="J36" s="337"/>
      <c r="K36" s="337"/>
      <c r="L36" s="341"/>
    </row>
    <row r="37" spans="1:12" s="297" customFormat="1" ht="9" customHeight="1">
      <c r="A37" s="530"/>
      <c r="B37" s="297" t="s">
        <v>288</v>
      </c>
      <c r="C37" s="501">
        <v>7.3574999999999999</v>
      </c>
      <c r="D37" s="501">
        <v>7.44956</v>
      </c>
      <c r="E37" s="501">
        <v>8.2111900000000002</v>
      </c>
      <c r="F37" s="637">
        <f t="shared" si="0"/>
        <v>-1.2357776835141943E-2</v>
      </c>
      <c r="G37" s="337"/>
      <c r="H37" s="551"/>
      <c r="I37" s="551"/>
      <c r="J37" s="337"/>
      <c r="K37" s="337"/>
      <c r="L37" s="341"/>
    </row>
    <row r="38" spans="1:12" s="297" customFormat="1" ht="9" customHeight="1">
      <c r="A38" s="530"/>
      <c r="B38" s="297" t="s">
        <v>289</v>
      </c>
      <c r="C38" s="501">
        <v>0</v>
      </c>
      <c r="D38" s="501">
        <v>0</v>
      </c>
      <c r="E38" s="501">
        <v>0</v>
      </c>
      <c r="F38" s="637" t="str">
        <f t="shared" si="0"/>
        <v/>
      </c>
      <c r="G38" s="337"/>
      <c r="H38" s="551"/>
      <c r="I38" s="551"/>
      <c r="J38" s="337"/>
      <c r="K38" s="337"/>
      <c r="L38" s="341"/>
    </row>
    <row r="39" spans="1:12" s="297" customFormat="1" ht="9" customHeight="1">
      <c r="A39" s="530"/>
      <c r="B39" s="297" t="s">
        <v>290</v>
      </c>
      <c r="C39" s="501">
        <v>0</v>
      </c>
      <c r="D39" s="501">
        <v>0</v>
      </c>
      <c r="E39" s="501">
        <v>0</v>
      </c>
      <c r="F39" s="637" t="str">
        <f t="shared" si="0"/>
        <v/>
      </c>
      <c r="G39" s="337"/>
      <c r="H39" s="551"/>
      <c r="I39" s="551"/>
      <c r="J39" s="337"/>
      <c r="K39" s="337"/>
      <c r="L39" s="341"/>
    </row>
    <row r="40" spans="1:12" s="297" customFormat="1" ht="9" customHeight="1">
      <c r="A40" s="530"/>
      <c r="B40" s="297" t="s">
        <v>291</v>
      </c>
      <c r="C40" s="501"/>
      <c r="D40" s="501">
        <v>0</v>
      </c>
      <c r="E40" s="501"/>
      <c r="F40" s="637" t="str">
        <f t="shared" si="0"/>
        <v/>
      </c>
      <c r="G40" s="337"/>
      <c r="H40" s="551"/>
      <c r="I40" s="551"/>
      <c r="J40" s="337"/>
      <c r="K40" s="337"/>
      <c r="L40" s="341"/>
    </row>
    <row r="41" spans="1:12" s="297" customFormat="1" ht="9" customHeight="1">
      <c r="A41" s="531" t="s">
        <v>487</v>
      </c>
      <c r="B41" s="399"/>
      <c r="C41" s="400">
        <v>122.08638000000001</v>
      </c>
      <c r="D41" s="400">
        <v>102.45544</v>
      </c>
      <c r="E41" s="400">
        <v>109.46477</v>
      </c>
      <c r="F41" s="636">
        <f t="shared" si="0"/>
        <v>0.19160466247570662</v>
      </c>
      <c r="G41" s="337"/>
      <c r="H41" s="551"/>
      <c r="I41" s="551"/>
      <c r="J41" s="337"/>
      <c r="K41" s="337"/>
      <c r="L41" s="341"/>
    </row>
    <row r="42" spans="1:12" s="297" customFormat="1" ht="9" customHeight="1">
      <c r="A42" s="530" t="s">
        <v>112</v>
      </c>
      <c r="B42" s="297" t="s">
        <v>70</v>
      </c>
      <c r="C42" s="501">
        <v>2.4933199999999998</v>
      </c>
      <c r="D42" s="501">
        <v>2.5159699999999998</v>
      </c>
      <c r="E42" s="501">
        <v>5.1179000000000006</v>
      </c>
      <c r="F42" s="637">
        <f t="shared" si="0"/>
        <v>-9.0024920805892306E-3</v>
      </c>
      <c r="G42" s="337"/>
      <c r="H42" s="551"/>
      <c r="I42" s="551"/>
      <c r="J42" s="337"/>
      <c r="K42" s="337"/>
      <c r="L42" s="341"/>
    </row>
    <row r="43" spans="1:12" s="297" customFormat="1" ht="9" customHeight="1">
      <c r="A43" s="531" t="s">
        <v>488</v>
      </c>
      <c r="B43" s="399"/>
      <c r="C43" s="400">
        <v>2.4933199999999998</v>
      </c>
      <c r="D43" s="400">
        <v>2.5159699999999998</v>
      </c>
      <c r="E43" s="400">
        <v>5.1179000000000006</v>
      </c>
      <c r="F43" s="636">
        <f t="shared" si="0"/>
        <v>-9.0024920805892306E-3</v>
      </c>
      <c r="G43" s="337"/>
      <c r="H43" s="551"/>
      <c r="I43" s="551"/>
      <c r="J43" s="337"/>
      <c r="K43" s="337"/>
      <c r="L43" s="341"/>
    </row>
    <row r="44" spans="1:12" s="297" customFormat="1" ht="9" customHeight="1">
      <c r="A44" s="530" t="s">
        <v>92</v>
      </c>
      <c r="B44" s="297" t="s">
        <v>292</v>
      </c>
      <c r="C44" s="501">
        <v>156.56699999999998</v>
      </c>
      <c r="D44" s="501">
        <v>162.84282999999999</v>
      </c>
      <c r="E44" s="501">
        <v>162.03138999999999</v>
      </c>
      <c r="F44" s="637">
        <f t="shared" si="0"/>
        <v>-3.8539185299101053E-2</v>
      </c>
      <c r="G44" s="337"/>
      <c r="H44" s="551"/>
      <c r="I44" s="551"/>
      <c r="J44" s="337"/>
      <c r="K44" s="337"/>
      <c r="L44" s="341"/>
    </row>
    <row r="45" spans="1:12" s="297" customFormat="1" ht="9" customHeight="1">
      <c r="A45" s="531" t="s">
        <v>489</v>
      </c>
      <c r="B45" s="399"/>
      <c r="C45" s="400">
        <v>156.56699999999998</v>
      </c>
      <c r="D45" s="400">
        <v>162.84282999999999</v>
      </c>
      <c r="E45" s="400">
        <v>162.03138999999999</v>
      </c>
      <c r="F45" s="636">
        <f t="shared" si="0"/>
        <v>-3.8539185299101053E-2</v>
      </c>
      <c r="G45" s="337"/>
      <c r="H45" s="551"/>
      <c r="I45" s="551"/>
      <c r="J45" s="337"/>
      <c r="K45" s="337"/>
      <c r="L45" s="341"/>
    </row>
    <row r="46" spans="1:12" s="297" customFormat="1" ht="9" customHeight="1">
      <c r="A46" s="530" t="s">
        <v>101</v>
      </c>
      <c r="B46" s="297" t="s">
        <v>293</v>
      </c>
      <c r="C46" s="501">
        <v>15.18221</v>
      </c>
      <c r="D46" s="501">
        <v>16.116</v>
      </c>
      <c r="E46" s="501">
        <v>16.270449999999997</v>
      </c>
      <c r="F46" s="637">
        <f t="shared" si="0"/>
        <v>-5.7941796971953341E-2</v>
      </c>
      <c r="G46" s="337"/>
      <c r="H46" s="551"/>
      <c r="I46" s="551"/>
      <c r="J46" s="337"/>
      <c r="K46" s="337"/>
      <c r="L46" s="344"/>
    </row>
    <row r="47" spans="1:12" s="297" customFormat="1" ht="9" customHeight="1">
      <c r="A47" s="530"/>
      <c r="B47" s="297" t="s">
        <v>294</v>
      </c>
      <c r="C47" s="501">
        <v>9.4426100000000002</v>
      </c>
      <c r="D47" s="501">
        <v>9.6180000000000003</v>
      </c>
      <c r="E47" s="501">
        <v>9.3239199999999993</v>
      </c>
      <c r="F47" s="637">
        <f t="shared" si="0"/>
        <v>-1.8235599916822665E-2</v>
      </c>
      <c r="G47" s="337"/>
      <c r="H47" s="551"/>
      <c r="I47" s="551"/>
      <c r="J47" s="337"/>
      <c r="K47" s="337"/>
      <c r="L47" s="341"/>
    </row>
    <row r="48" spans="1:12" s="297" customFormat="1" ht="9" customHeight="1">
      <c r="A48" s="530"/>
      <c r="B48" s="297" t="s">
        <v>295</v>
      </c>
      <c r="C48" s="501">
        <v>22.685749999999999</v>
      </c>
      <c r="D48" s="501">
        <v>16.981359999999999</v>
      </c>
      <c r="E48" s="501">
        <v>22.537839999999999</v>
      </c>
      <c r="F48" s="637">
        <f t="shared" si="0"/>
        <v>0.3359206800868717</v>
      </c>
      <c r="G48" s="337"/>
      <c r="H48" s="551"/>
      <c r="I48" s="551"/>
      <c r="J48" s="337"/>
      <c r="K48" s="337"/>
      <c r="L48" s="341"/>
    </row>
    <row r="49" spans="1:12" s="297" customFormat="1" ht="9" customHeight="1">
      <c r="A49" s="531" t="s">
        <v>490</v>
      </c>
      <c r="B49" s="399"/>
      <c r="C49" s="400">
        <v>47.310569999999998</v>
      </c>
      <c r="D49" s="400">
        <v>42.715360000000004</v>
      </c>
      <c r="E49" s="400">
        <v>48.132210000000001</v>
      </c>
      <c r="F49" s="636">
        <f t="shared" si="0"/>
        <v>0.10757746159695225</v>
      </c>
      <c r="G49" s="337"/>
      <c r="H49" s="551"/>
      <c r="I49" s="551"/>
      <c r="J49" s="337"/>
      <c r="K49" s="337"/>
      <c r="L49" s="341"/>
    </row>
    <row r="50" spans="1:12" s="297" customFormat="1" ht="9" customHeight="1">
      <c r="A50" s="530" t="s">
        <v>113</v>
      </c>
      <c r="B50" s="297" t="s">
        <v>73</v>
      </c>
      <c r="C50" s="501">
        <v>3.1509999999999998</v>
      </c>
      <c r="D50" s="501">
        <v>3.7210700000000001</v>
      </c>
      <c r="E50" s="501">
        <v>3.7050000000000001</v>
      </c>
      <c r="F50" s="637">
        <f t="shared" si="0"/>
        <v>-0.15320055790404385</v>
      </c>
      <c r="G50" s="337"/>
      <c r="H50" s="551"/>
      <c r="I50" s="551"/>
      <c r="J50" s="337"/>
      <c r="K50" s="337"/>
      <c r="L50" s="341"/>
    </row>
    <row r="51" spans="1:12" s="297" customFormat="1" ht="9" customHeight="1">
      <c r="A51" s="531" t="s">
        <v>491</v>
      </c>
      <c r="B51" s="399"/>
      <c r="C51" s="400">
        <v>3.1509999999999998</v>
      </c>
      <c r="D51" s="400">
        <v>3.7210700000000001</v>
      </c>
      <c r="E51" s="400">
        <v>3.7050000000000001</v>
      </c>
      <c r="F51" s="636">
        <f t="shared" si="0"/>
        <v>-0.15320055790404385</v>
      </c>
      <c r="G51" s="337"/>
      <c r="H51" s="551"/>
      <c r="I51" s="551"/>
      <c r="J51" s="337"/>
      <c r="K51" s="337"/>
      <c r="L51" s="341"/>
    </row>
    <row r="52" spans="1:12" s="297" customFormat="1" ht="9" customHeight="1">
      <c r="A52" s="530" t="s">
        <v>417</v>
      </c>
      <c r="B52" s="297" t="s">
        <v>556</v>
      </c>
      <c r="C52" s="501"/>
      <c r="D52" s="501">
        <v>13.16489</v>
      </c>
      <c r="E52" s="501"/>
      <c r="F52" s="637">
        <f t="shared" si="0"/>
        <v>-1</v>
      </c>
      <c r="G52" s="337"/>
      <c r="H52" s="551"/>
      <c r="I52" s="551"/>
      <c r="J52" s="337"/>
      <c r="K52" s="337"/>
      <c r="L52" s="341"/>
    </row>
    <row r="53" spans="1:12" s="297" customFormat="1" ht="9" customHeight="1">
      <c r="A53" s="531" t="s">
        <v>492</v>
      </c>
      <c r="B53" s="399"/>
      <c r="C53" s="400"/>
      <c r="D53" s="400">
        <v>13.16489</v>
      </c>
      <c r="E53" s="400"/>
      <c r="F53" s="636">
        <f t="shared" si="0"/>
        <v>-1</v>
      </c>
      <c r="G53" s="337"/>
      <c r="H53" s="551"/>
      <c r="I53" s="551"/>
      <c r="J53" s="337"/>
      <c r="K53" s="337"/>
      <c r="L53" s="341"/>
    </row>
    <row r="54" spans="1:12" s="297" customFormat="1" ht="9" customHeight="1">
      <c r="A54" s="530" t="s">
        <v>89</v>
      </c>
      <c r="B54" s="297" t="s">
        <v>296</v>
      </c>
      <c r="C54" s="501">
        <v>648.43439999999998</v>
      </c>
      <c r="D54" s="501">
        <v>641.69999999999993</v>
      </c>
      <c r="E54" s="501">
        <v>649.98</v>
      </c>
      <c r="F54" s="637">
        <f t="shared" si="0"/>
        <v>1.0494623655914026E-2</v>
      </c>
      <c r="G54" s="337"/>
      <c r="H54" s="551"/>
      <c r="I54" s="551"/>
      <c r="J54" s="337"/>
      <c r="K54" s="337"/>
      <c r="L54" s="341"/>
    </row>
    <row r="55" spans="1:12" s="297" customFormat="1" ht="9" customHeight="1">
      <c r="A55" s="530"/>
      <c r="B55" s="297" t="s">
        <v>297</v>
      </c>
      <c r="C55" s="501">
        <v>212.45376000000002</v>
      </c>
      <c r="D55" s="501">
        <v>213.60192000000001</v>
      </c>
      <c r="E55" s="501">
        <v>214.30848</v>
      </c>
      <c r="F55" s="637">
        <f t="shared" si="0"/>
        <v>-5.3752325821789793E-3</v>
      </c>
      <c r="G55" s="337"/>
      <c r="H55" s="551"/>
      <c r="I55" s="551"/>
      <c r="J55" s="337"/>
      <c r="K55" s="337"/>
    </row>
    <row r="56" spans="1:12" s="297" customFormat="1" ht="9" customHeight="1">
      <c r="A56" s="530"/>
      <c r="B56" s="297" t="s">
        <v>573</v>
      </c>
      <c r="C56" s="501"/>
      <c r="D56" s="501">
        <v>0</v>
      </c>
      <c r="E56" s="501"/>
      <c r="F56" s="637" t="str">
        <f t="shared" si="0"/>
        <v/>
      </c>
      <c r="G56" s="337"/>
      <c r="H56" s="551"/>
      <c r="I56" s="551"/>
      <c r="J56" s="337"/>
      <c r="K56" s="337"/>
    </row>
    <row r="57" spans="1:12" s="297" customFormat="1" ht="9" customHeight="1">
      <c r="A57" s="531" t="s">
        <v>493</v>
      </c>
      <c r="B57" s="399"/>
      <c r="C57" s="400">
        <v>860.88815999999997</v>
      </c>
      <c r="D57" s="400">
        <v>855.30191999999988</v>
      </c>
      <c r="E57" s="400">
        <v>864.28848000000005</v>
      </c>
      <c r="F57" s="636">
        <f t="shared" si="0"/>
        <v>6.5313076813857673E-3</v>
      </c>
      <c r="G57" s="337"/>
      <c r="H57" s="551"/>
      <c r="I57" s="551"/>
      <c r="J57" s="337"/>
      <c r="K57" s="337"/>
    </row>
    <row r="58" spans="1:12" s="297" customFormat="1" ht="9" customHeight="1">
      <c r="A58" s="530" t="s">
        <v>235</v>
      </c>
      <c r="B58" s="297" t="s">
        <v>298</v>
      </c>
      <c r="C58" s="501">
        <v>454.40033000000005</v>
      </c>
      <c r="D58" s="501">
        <v>327.85266000000001</v>
      </c>
      <c r="E58" s="501">
        <v>463.06226000000004</v>
      </c>
      <c r="F58" s="637">
        <f t="shared" si="0"/>
        <v>0.38598945636128135</v>
      </c>
      <c r="G58" s="337"/>
      <c r="H58" s="551"/>
      <c r="I58" s="551"/>
      <c r="J58" s="337"/>
      <c r="K58" s="337"/>
    </row>
    <row r="59" spans="1:12" s="297" customFormat="1" ht="9" customHeight="1">
      <c r="A59" s="530"/>
      <c r="B59" s="297" t="s">
        <v>299</v>
      </c>
      <c r="C59" s="501">
        <v>6.4519799999999998</v>
      </c>
      <c r="D59" s="501">
        <v>6.4271399999999996</v>
      </c>
      <c r="E59" s="501">
        <v>6.4502100000000002</v>
      </c>
      <c r="F59" s="637">
        <f t="shared" si="0"/>
        <v>3.8648605756215204E-3</v>
      </c>
      <c r="G59" s="337"/>
      <c r="H59" s="551"/>
      <c r="I59" s="551"/>
      <c r="J59" s="337"/>
      <c r="K59" s="337"/>
    </row>
    <row r="60" spans="1:12" s="297" customFormat="1" ht="9" customHeight="1">
      <c r="A60" s="531" t="s">
        <v>494</v>
      </c>
      <c r="B60" s="399"/>
      <c r="C60" s="400">
        <v>460.85231000000005</v>
      </c>
      <c r="D60" s="400">
        <v>334.27980000000002</v>
      </c>
      <c r="E60" s="400">
        <v>469.51247000000006</v>
      </c>
      <c r="F60" s="636">
        <f t="shared" si="0"/>
        <v>0.37864241273328525</v>
      </c>
      <c r="G60" s="337"/>
      <c r="H60" s="551"/>
      <c r="I60" s="551"/>
      <c r="J60" s="337"/>
      <c r="K60" s="337"/>
    </row>
    <row r="61" spans="1:12" s="297" customFormat="1" ht="9" customHeight="1">
      <c r="A61" s="530" t="s">
        <v>236</v>
      </c>
      <c r="B61" s="297" t="s">
        <v>300</v>
      </c>
      <c r="C61" s="501">
        <v>46.882770000000001</v>
      </c>
      <c r="D61" s="501">
        <v>81.160060000000001</v>
      </c>
      <c r="E61" s="501">
        <v>47.372480000000003</v>
      </c>
      <c r="F61" s="637">
        <f t="shared" si="0"/>
        <v>-0.42234185139833558</v>
      </c>
      <c r="G61" s="337"/>
      <c r="H61" s="551"/>
      <c r="I61" s="551"/>
      <c r="J61" s="337"/>
      <c r="K61" s="337"/>
    </row>
    <row r="62" spans="1:12" s="297" customFormat="1" ht="9" customHeight="1">
      <c r="A62" s="531" t="s">
        <v>495</v>
      </c>
      <c r="B62" s="399"/>
      <c r="C62" s="400">
        <v>46.882770000000001</v>
      </c>
      <c r="D62" s="400">
        <v>81.160060000000001</v>
      </c>
      <c r="E62" s="400">
        <v>47.372480000000003</v>
      </c>
      <c r="F62" s="636">
        <f t="shared" si="0"/>
        <v>-0.42234185139833558</v>
      </c>
      <c r="G62" s="337"/>
      <c r="H62" s="551"/>
      <c r="I62" s="551"/>
      <c r="J62" s="337"/>
      <c r="K62" s="337"/>
    </row>
    <row r="63" spans="1:12" s="297" customFormat="1" ht="9" customHeight="1">
      <c r="A63" s="530" t="s">
        <v>467</v>
      </c>
      <c r="B63" s="297" t="s">
        <v>65</v>
      </c>
      <c r="C63" s="501">
        <v>4.7665699999999998</v>
      </c>
      <c r="D63" s="501">
        <v>4.9554200000000002</v>
      </c>
      <c r="E63" s="501">
        <v>4.9848800000000004</v>
      </c>
      <c r="F63" s="637">
        <f t="shared" si="0"/>
        <v>-3.8109786859640615E-2</v>
      </c>
      <c r="G63" s="337"/>
      <c r="H63" s="551"/>
      <c r="I63" s="551"/>
      <c r="J63" s="337"/>
      <c r="K63" s="337"/>
    </row>
    <row r="64" spans="1:12" s="297" customFormat="1" ht="9" customHeight="1">
      <c r="A64" s="530"/>
      <c r="B64" s="297" t="s">
        <v>64</v>
      </c>
      <c r="C64" s="501">
        <v>4.9885400000000004</v>
      </c>
      <c r="D64" s="501">
        <v>4.9812900000000004</v>
      </c>
      <c r="E64" s="501">
        <v>5.0012299999999996</v>
      </c>
      <c r="F64" s="637">
        <f t="shared" si="0"/>
        <v>1.4554462799796219E-3</v>
      </c>
      <c r="G64" s="337"/>
      <c r="H64" s="551"/>
      <c r="I64" s="551"/>
      <c r="J64" s="337"/>
      <c r="K64" s="337"/>
    </row>
    <row r="65" spans="1:11" s="297" customFormat="1" ht="9" customHeight="1">
      <c r="A65" s="530"/>
      <c r="B65" s="297" t="s">
        <v>60</v>
      </c>
      <c r="C65" s="501">
        <v>5.5535500000000004</v>
      </c>
      <c r="D65" s="501">
        <v>9.7060700000000004</v>
      </c>
      <c r="E65" s="501">
        <v>20.179189999999998</v>
      </c>
      <c r="F65" s="637">
        <f t="shared" si="0"/>
        <v>-0.42782712261502331</v>
      </c>
      <c r="G65" s="337"/>
      <c r="H65" s="551"/>
      <c r="I65" s="551"/>
      <c r="J65" s="337"/>
      <c r="K65" s="337"/>
    </row>
    <row r="66" spans="1:11" s="297" customFormat="1" ht="9" customHeight="1">
      <c r="A66" s="530"/>
      <c r="B66" s="297" t="s">
        <v>57</v>
      </c>
      <c r="C66" s="501">
        <v>6.47112</v>
      </c>
      <c r="D66" s="501">
        <v>14.858090000000001</v>
      </c>
      <c r="E66" s="501">
        <v>20.088429999999999</v>
      </c>
      <c r="F66" s="637">
        <f t="shared" si="0"/>
        <v>-0.56447161108863919</v>
      </c>
      <c r="G66" s="337"/>
      <c r="H66" s="552"/>
      <c r="I66" s="551"/>
      <c r="J66" s="337"/>
      <c r="K66" s="337"/>
    </row>
    <row r="67" spans="1:11" s="297" customFormat="1" ht="9" customHeight="1">
      <c r="A67" s="530"/>
      <c r="B67" s="297" t="s">
        <v>68</v>
      </c>
      <c r="C67" s="501">
        <v>1.80443</v>
      </c>
      <c r="D67" s="501">
        <v>2.2919100000000001</v>
      </c>
      <c r="E67" s="501">
        <v>5.9581799999999996</v>
      </c>
      <c r="F67" s="637">
        <f t="shared" si="0"/>
        <v>-0.21269596101068544</v>
      </c>
      <c r="G67" s="337"/>
      <c r="H67" s="552"/>
      <c r="I67" s="551"/>
      <c r="J67" s="337"/>
      <c r="K67" s="337"/>
    </row>
    <row r="68" spans="1:11" s="297" customFormat="1" ht="9" customHeight="1">
      <c r="A68" s="530"/>
      <c r="B68" s="297" t="s">
        <v>67</v>
      </c>
      <c r="C68" s="501">
        <v>2.2753299999999999</v>
      </c>
      <c r="D68" s="501">
        <v>2.8479000000000001</v>
      </c>
      <c r="E68" s="501">
        <v>6.7025300000000003</v>
      </c>
      <c r="F68" s="637">
        <f t="shared" si="0"/>
        <v>-0.20104989641490234</v>
      </c>
      <c r="G68" s="345"/>
      <c r="H68" s="552"/>
      <c r="I68" s="551"/>
      <c r="J68" s="337"/>
      <c r="K68" s="337"/>
    </row>
    <row r="69" spans="1:11" s="297" customFormat="1" ht="9" customHeight="1">
      <c r="A69" s="531" t="s">
        <v>496</v>
      </c>
      <c r="B69" s="399"/>
      <c r="C69" s="400">
        <v>25.859539999999999</v>
      </c>
      <c r="D69" s="400">
        <v>39.64068000000001</v>
      </c>
      <c r="E69" s="400">
        <v>62.914439999999999</v>
      </c>
      <c r="F69" s="636">
        <f t="shared" si="0"/>
        <v>-0.34765145300232003</v>
      </c>
      <c r="G69" s="345"/>
      <c r="H69" s="552"/>
      <c r="I69" s="551"/>
      <c r="J69" s="337"/>
      <c r="K69" s="337"/>
    </row>
    <row r="70" spans="1:11" s="297" customFormat="1" ht="9" customHeight="1">
      <c r="A70" s="530" t="s">
        <v>88</v>
      </c>
      <c r="B70" s="297" t="s">
        <v>452</v>
      </c>
      <c r="C70" s="501">
        <v>70.346000000000004</v>
      </c>
      <c r="D70" s="501">
        <v>49.583910000000003</v>
      </c>
      <c r="E70" s="501">
        <v>76.489999999999995</v>
      </c>
      <c r="F70" s="637">
        <f t="shared" si="0"/>
        <v>0.41872635699766314</v>
      </c>
      <c r="G70" s="345"/>
      <c r="H70" s="552"/>
      <c r="I70" s="551"/>
      <c r="J70" s="337"/>
      <c r="K70" s="337"/>
    </row>
    <row r="71" spans="1:11" s="297" customFormat="1" ht="9" customHeight="1">
      <c r="A71" s="530"/>
      <c r="B71" s="297" t="s">
        <v>301</v>
      </c>
      <c r="C71" s="501">
        <v>29.588000000000001</v>
      </c>
      <c r="D71" s="501">
        <v>14.72048</v>
      </c>
      <c r="E71" s="501">
        <v>26.152000000000001</v>
      </c>
      <c r="F71" s="637">
        <f t="shared" ref="F71:F81" si="1">+IF(D71=0,"",C71/D71-1)</f>
        <v>1.00998880471289</v>
      </c>
      <c r="G71" s="345"/>
      <c r="H71" s="551"/>
      <c r="I71" s="551"/>
      <c r="J71" s="337"/>
      <c r="K71" s="337"/>
    </row>
    <row r="72" spans="1:11" s="297" customFormat="1" ht="9" customHeight="1">
      <c r="A72" s="530"/>
      <c r="B72" s="297" t="s">
        <v>302</v>
      </c>
      <c r="C72" s="501">
        <v>93.903999999999996</v>
      </c>
      <c r="D72" s="501">
        <v>192.46300000000002</v>
      </c>
      <c r="E72" s="501">
        <v>171.09</v>
      </c>
      <c r="F72" s="637">
        <f t="shared" si="1"/>
        <v>-0.51209323350462177</v>
      </c>
      <c r="G72" s="345"/>
      <c r="H72" s="551"/>
      <c r="I72" s="551"/>
      <c r="J72" s="337"/>
      <c r="K72" s="337"/>
    </row>
    <row r="73" spans="1:11" s="297" customFormat="1" ht="9" customHeight="1">
      <c r="A73" s="530"/>
      <c r="B73" s="297" t="s">
        <v>303</v>
      </c>
      <c r="C73" s="501">
        <v>94.984000000000009</v>
      </c>
      <c r="D73" s="501">
        <v>109.98855</v>
      </c>
      <c r="E73" s="501">
        <v>132.90300000000002</v>
      </c>
      <c r="F73" s="637">
        <f t="shared" si="1"/>
        <v>-0.13641919999854524</v>
      </c>
      <c r="G73" s="337"/>
      <c r="H73" s="551"/>
      <c r="I73" s="551"/>
      <c r="J73" s="337"/>
      <c r="K73" s="337"/>
    </row>
    <row r="74" spans="1:11" s="297" customFormat="1" ht="9" customHeight="1">
      <c r="A74" s="530"/>
      <c r="B74" s="297" t="s">
        <v>304</v>
      </c>
      <c r="C74" s="501">
        <v>64.381</v>
      </c>
      <c r="D74" s="501">
        <v>61.042999999999999</v>
      </c>
      <c r="E74" s="501">
        <v>60.276000000000003</v>
      </c>
      <c r="F74" s="637">
        <f t="shared" si="1"/>
        <v>5.468276460855459E-2</v>
      </c>
      <c r="G74" s="337"/>
      <c r="H74" s="551"/>
      <c r="I74" s="551"/>
      <c r="J74" s="337"/>
      <c r="K74" s="337"/>
    </row>
    <row r="75" spans="1:11" s="297" customFormat="1" ht="9" customHeight="1">
      <c r="A75" s="530"/>
      <c r="B75" s="297" t="s">
        <v>305</v>
      </c>
      <c r="C75" s="501">
        <v>213.541</v>
      </c>
      <c r="D75" s="501">
        <v>114.71877000000001</v>
      </c>
      <c r="E75" s="501">
        <v>0</v>
      </c>
      <c r="F75" s="637">
        <f t="shared" si="1"/>
        <v>0.86143034832050569</v>
      </c>
      <c r="G75" s="337"/>
      <c r="H75" s="551"/>
      <c r="I75" s="551"/>
      <c r="J75" s="337"/>
      <c r="K75" s="337"/>
    </row>
    <row r="76" spans="1:11" s="297" customFormat="1" ht="9" customHeight="1">
      <c r="A76" s="530"/>
      <c r="B76" s="297" t="s">
        <v>306</v>
      </c>
      <c r="C76" s="501">
        <v>119.947</v>
      </c>
      <c r="D76" s="501">
        <v>0</v>
      </c>
      <c r="E76" s="501">
        <v>151.54900000000001</v>
      </c>
      <c r="F76" s="637" t="str">
        <f t="shared" si="1"/>
        <v/>
      </c>
      <c r="G76" s="346"/>
      <c r="H76" s="551"/>
      <c r="I76" s="551"/>
      <c r="J76" s="337"/>
      <c r="K76" s="337"/>
    </row>
    <row r="77" spans="1:11" s="297" customFormat="1" ht="9" customHeight="1">
      <c r="A77" s="530"/>
      <c r="B77" s="297" t="s">
        <v>307</v>
      </c>
      <c r="C77" s="501">
        <v>457.30200000000002</v>
      </c>
      <c r="D77" s="501">
        <v>458.71465999999998</v>
      </c>
      <c r="E77" s="501">
        <v>204.32600000000002</v>
      </c>
      <c r="F77" s="637">
        <f t="shared" si="1"/>
        <v>-3.0796050860898427E-3</v>
      </c>
      <c r="G77" s="346"/>
      <c r="H77" s="268"/>
      <c r="I77" s="551"/>
      <c r="J77" s="337"/>
      <c r="K77" s="337"/>
    </row>
    <row r="78" spans="1:11" s="297" customFormat="1" ht="9" customHeight="1">
      <c r="A78" s="530"/>
      <c r="B78" s="297" t="s">
        <v>412</v>
      </c>
      <c r="C78" s="501">
        <v>0.33300000000000002</v>
      </c>
      <c r="D78" s="501">
        <v>0.34625</v>
      </c>
      <c r="E78" s="501">
        <v>0.33700000000000002</v>
      </c>
      <c r="F78" s="637">
        <f t="shared" si="1"/>
        <v>-3.8267148014440422E-2</v>
      </c>
      <c r="G78" s="346"/>
      <c r="H78" s="268"/>
      <c r="I78" s="551"/>
      <c r="J78" s="337"/>
      <c r="K78" s="337"/>
    </row>
    <row r="79" spans="1:11" s="297" customFormat="1" ht="9" customHeight="1">
      <c r="A79" s="531" t="s">
        <v>497</v>
      </c>
      <c r="B79" s="399"/>
      <c r="C79" s="400">
        <v>1144.326</v>
      </c>
      <c r="D79" s="400">
        <v>1001.5786200000001</v>
      </c>
      <c r="E79" s="400">
        <v>823.12300000000005</v>
      </c>
      <c r="F79" s="636">
        <f t="shared" si="1"/>
        <v>0.14252239130264166</v>
      </c>
      <c r="H79" s="268"/>
      <c r="I79" s="551"/>
      <c r="J79" s="337"/>
      <c r="K79" s="337"/>
    </row>
    <row r="80" spans="1:11" s="297" customFormat="1" ht="9" customHeight="1">
      <c r="A80" s="530" t="s">
        <v>96</v>
      </c>
      <c r="B80" s="297" t="s">
        <v>308</v>
      </c>
      <c r="C80" s="501">
        <v>0</v>
      </c>
      <c r="D80" s="501">
        <v>0</v>
      </c>
      <c r="E80" s="501">
        <v>47.892000000000003</v>
      </c>
      <c r="F80" s="637" t="str">
        <f t="shared" si="1"/>
        <v/>
      </c>
    </row>
    <row r="81" spans="1:6" s="297" customFormat="1" ht="9" customHeight="1">
      <c r="A81" s="530"/>
      <c r="B81" s="297" t="s">
        <v>309</v>
      </c>
      <c r="C81" s="501">
        <v>0</v>
      </c>
      <c r="D81" s="501">
        <v>91.58954</v>
      </c>
      <c r="E81" s="501">
        <v>0</v>
      </c>
      <c r="F81" s="637">
        <f t="shared" si="1"/>
        <v>-1</v>
      </c>
    </row>
    <row r="82" spans="1:6" s="297" customFormat="1" ht="9" customHeight="1">
      <c r="A82" s="530"/>
      <c r="B82" s="297" t="s">
        <v>310</v>
      </c>
      <c r="C82" s="501">
        <v>105.373</v>
      </c>
      <c r="D82" s="501">
        <v>0</v>
      </c>
      <c r="E82" s="501">
        <v>0</v>
      </c>
      <c r="F82" s="637"/>
    </row>
    <row r="83" spans="1:6" s="297" customFormat="1" ht="9" customHeight="1">
      <c r="A83" s="531" t="s">
        <v>498</v>
      </c>
      <c r="B83" s="399"/>
      <c r="C83" s="400">
        <v>105.373</v>
      </c>
      <c r="D83" s="400">
        <v>91.58954</v>
      </c>
      <c r="E83" s="400">
        <v>47.892000000000003</v>
      </c>
      <c r="F83" s="636"/>
    </row>
    <row r="84" spans="1:6" s="297" customFormat="1" ht="9" customHeight="1">
      <c r="A84" s="530"/>
      <c r="C84" s="501"/>
      <c r="D84" s="501"/>
      <c r="E84" s="501"/>
      <c r="F84" s="637"/>
    </row>
    <row r="85" spans="1:6" s="297" customFormat="1" ht="9" customHeight="1"/>
    <row r="86" spans="1:6" s="297" customFormat="1" ht="9" customHeight="1"/>
    <row r="87" spans="1:6" s="297" customFormat="1" ht="9" customHeight="1"/>
    <row r="88" spans="1:6" s="297" customFormat="1" ht="9" customHeight="1"/>
    <row r="89" spans="1:6" s="297" customFormat="1" ht="9" customHeight="1"/>
    <row r="90" spans="1:6" s="297" customFormat="1" ht="9" customHeight="1"/>
    <row r="91" spans="1:6" s="297" customFormat="1" ht="9" customHeight="1"/>
    <row r="92" spans="1:6" s="297" customFormat="1" ht="9" customHeight="1"/>
    <row r="93" spans="1:6" s="297" customFormat="1" ht="9" customHeight="1"/>
    <row r="94" spans="1:6" s="297" customFormat="1" ht="9" customHeight="1"/>
    <row r="95" spans="1:6" s="297" customFormat="1" ht="9" customHeight="1"/>
    <row r="96" spans="1:6" s="297" customFormat="1" ht="9" customHeight="1"/>
    <row r="97" s="297" customFormat="1" ht="9" customHeight="1"/>
    <row r="98" s="297" customFormat="1" ht="9" customHeight="1"/>
    <row r="99" s="297" customFormat="1" ht="9" customHeight="1"/>
    <row r="100" s="297" customFormat="1" ht="9" customHeight="1"/>
    <row r="101" s="297" customFormat="1" ht="9" customHeight="1"/>
    <row r="102" s="297" customFormat="1" ht="9" customHeight="1"/>
    <row r="103" s="297" customFormat="1" ht="9" customHeight="1"/>
    <row r="104" s="297" customFormat="1" ht="9" customHeight="1"/>
    <row r="105" s="297" customFormat="1" ht="9" customHeight="1"/>
    <row r="106" s="297" customFormat="1" ht="9" customHeight="1"/>
    <row r="107" s="297" customFormat="1" ht="9" customHeight="1"/>
    <row r="108" s="297" customFormat="1" ht="9" customHeight="1"/>
    <row r="109" s="297" customFormat="1" ht="9" customHeight="1"/>
    <row r="110" s="297" customFormat="1" ht="9" customHeight="1"/>
    <row r="111" s="297" customFormat="1" ht="9" customHeight="1"/>
    <row r="112" s="297" customFormat="1" ht="9" customHeight="1"/>
    <row r="113" s="297" customFormat="1" ht="9" customHeight="1"/>
    <row r="114" s="297" customFormat="1" ht="9" customHeight="1"/>
    <row r="115" s="297" customFormat="1" ht="9" customHeight="1"/>
    <row r="116" s="297" customFormat="1" ht="9" customHeight="1"/>
    <row r="117" s="297" customFormat="1" ht="9" customHeight="1"/>
    <row r="118" s="297" customFormat="1" ht="9" customHeight="1"/>
    <row r="119" s="297" customFormat="1" ht="9" customHeight="1"/>
    <row r="120" s="297" customFormat="1" ht="9" customHeight="1"/>
    <row r="121" s="297" customFormat="1" ht="9" customHeight="1"/>
    <row r="122" s="297" customFormat="1" ht="9" customHeight="1"/>
    <row r="123" s="297" customFormat="1" ht="9" customHeight="1"/>
    <row r="124" s="297" customFormat="1" ht="9" customHeight="1"/>
    <row r="125" s="297" customFormat="1" ht="9" customHeight="1"/>
    <row r="126" s="297" customFormat="1" ht="9" customHeight="1"/>
    <row r="127" s="297" customFormat="1" ht="9" customHeight="1"/>
    <row r="128" s="297" customFormat="1" ht="9" customHeight="1"/>
    <row r="129" s="297" customFormat="1" ht="9" customHeight="1"/>
    <row r="130" s="297" customFormat="1" ht="9" customHeight="1"/>
    <row r="131" s="297" customFormat="1" ht="9" customHeight="1"/>
    <row r="132" s="297" customFormat="1" ht="9" customHeight="1"/>
    <row r="133" s="297" customFormat="1" ht="9" customHeight="1"/>
    <row r="134" s="297" customFormat="1" ht="9" customHeight="1"/>
    <row r="135" s="297" customFormat="1" ht="9" customHeight="1"/>
    <row r="136" s="297" customFormat="1" ht="9" customHeight="1"/>
    <row r="137" s="297" customFormat="1" ht="9" customHeight="1"/>
    <row r="138" s="297" customFormat="1" ht="9" customHeight="1"/>
    <row r="139" s="297" customFormat="1" ht="10.5" customHeight="1"/>
    <row r="140" s="297" customFormat="1" ht="10.5" customHeight="1"/>
    <row r="141" s="297" customFormat="1" ht="10.5" customHeight="1"/>
    <row r="142" s="297" customFormat="1" ht="10.5" customHeight="1"/>
    <row r="143" s="297" customFormat="1" ht="10.5" customHeight="1"/>
    <row r="144" s="297" customFormat="1" ht="10.5" customHeight="1"/>
    <row r="145" s="297" customFormat="1" ht="10.5" customHeight="1"/>
    <row r="146" s="297" customFormat="1" ht="10.5" customHeight="1"/>
    <row r="147" s="297" customFormat="1" ht="10.5" customHeight="1"/>
    <row r="148" s="297" customFormat="1" ht="10.5" customHeight="1"/>
    <row r="149" s="297" customFormat="1" ht="10.5" customHeight="1"/>
    <row r="150" s="297" customFormat="1" ht="10.5" customHeight="1"/>
    <row r="151" s="297" customFormat="1" ht="10.5" customHeight="1"/>
    <row r="152" s="297" customFormat="1" ht="10.5" customHeight="1"/>
    <row r="153" s="297" customFormat="1" ht="10.5" customHeight="1"/>
    <row r="154" s="297" customFormat="1" ht="10.5" customHeight="1"/>
    <row r="155" s="297" customFormat="1" ht="10.5" customHeight="1"/>
    <row r="156" s="297" customFormat="1" ht="10.5" customHeight="1"/>
    <row r="157" s="297" customFormat="1" ht="10.5" customHeight="1"/>
    <row r="158" s="297" customFormat="1" ht="10.5" customHeight="1"/>
    <row r="159" s="297" customFormat="1" ht="10.5" customHeight="1"/>
    <row r="160" s="297" customFormat="1" ht="10.5" customHeight="1"/>
    <row r="161" s="297" customFormat="1" ht="10.5" customHeight="1"/>
    <row r="162" s="297" customFormat="1" ht="10.5" customHeight="1"/>
    <row r="163" s="297" customFormat="1" ht="10.5" customHeight="1"/>
    <row r="164" s="297" customFormat="1" ht="10.5" customHeight="1"/>
    <row r="165" s="297" customFormat="1" ht="10.5" customHeight="1"/>
    <row r="166" s="297" customFormat="1" ht="10.5" customHeight="1"/>
    <row r="167" s="297" customFormat="1" ht="10.5" customHeight="1"/>
    <row r="168" s="297" customFormat="1" ht="10.5" customHeight="1"/>
    <row r="169" s="297" customFormat="1" ht="7.8"/>
    <row r="170" s="297" customFormat="1" ht="7.8"/>
    <row r="171" s="297" customFormat="1" ht="7.8"/>
    <row r="172" s="297" customFormat="1" ht="7.8"/>
    <row r="173" s="297" customFormat="1" ht="7.8"/>
    <row r="174" s="297" customFormat="1" ht="7.8"/>
    <row r="175" s="297" customFormat="1" ht="7.8"/>
    <row r="176" s="297" customFormat="1" ht="7.8"/>
    <row r="177" s="297" customFormat="1" ht="7.8"/>
    <row r="178" s="297" customFormat="1" ht="7.8"/>
    <row r="179" s="297" customFormat="1" ht="7.8"/>
    <row r="180" s="297" customFormat="1" ht="7.8"/>
    <row r="181" s="297" customFormat="1" ht="7.8"/>
    <row r="182" s="297" customFormat="1" ht="7.8"/>
    <row r="183" s="297" customFormat="1" ht="7.8"/>
    <row r="184" s="297" customFormat="1" ht="7.8"/>
    <row r="185" s="297" customFormat="1" ht="7.8"/>
    <row r="186" s="297" customFormat="1" ht="7.8"/>
    <row r="187" s="297" customFormat="1" ht="7.8"/>
    <row r="188" s="297" customFormat="1" ht="7.8"/>
    <row r="189" s="297" customFormat="1" ht="7.8"/>
  </sheetData>
  <mergeCells count="3">
    <mergeCell ref="A2:A5"/>
    <mergeCell ref="B2:B5"/>
    <mergeCell ref="C2:F2"/>
  </mergeCells>
  <pageMargins left="0.59055118110236227" right="0.39370078740157483" top="1.0236220472440944" bottom="0.62992125984251968" header="0.31496062992125984" footer="0.31496062992125984"/>
  <pageSetup paperSize="9" scale="91"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76"/>
  <sheetViews>
    <sheetView showGridLines="0" view="pageBreakPreview" zoomScale="110" zoomScaleNormal="100" zoomScaleSheetLayoutView="110" workbookViewId="0">
      <selection activeCell="R35" sqref="R35"/>
    </sheetView>
  </sheetViews>
  <sheetFormatPr baseColWidth="10" defaultColWidth="9.28515625" defaultRowHeight="9.6"/>
  <cols>
    <col min="1" max="1" width="28.7109375" style="268" customWidth="1"/>
    <col min="2" max="2" width="22.140625" style="268" customWidth="1"/>
    <col min="3" max="4" width="17.7109375" style="268" customWidth="1"/>
    <col min="5" max="5" width="15.140625" style="268" customWidth="1"/>
    <col min="6" max="6" width="13.28515625" style="268" customWidth="1"/>
    <col min="7" max="7" width="6.28515625" style="268" customWidth="1"/>
    <col min="8" max="16384" width="9.28515625" style="268"/>
  </cols>
  <sheetData>
    <row r="1" spans="1:11" s="297" customFormat="1" ht="11.25" customHeight="1">
      <c r="A1" s="900" t="s">
        <v>248</v>
      </c>
      <c r="B1" s="902" t="s">
        <v>54</v>
      </c>
      <c r="C1" s="902" t="s">
        <v>351</v>
      </c>
      <c r="D1" s="902"/>
      <c r="E1" s="902"/>
      <c r="F1" s="904"/>
      <c r="G1" s="335"/>
    </row>
    <row r="2" spans="1:11" s="297" customFormat="1" ht="11.25" customHeight="1">
      <c r="A2" s="894"/>
      <c r="B2" s="897"/>
      <c r="C2" s="388" t="str">
        <f>UPPER('1. Resumen'!Q4)&amp;" "&amp;'1. Resumen'!Q5</f>
        <v>MAYO 2022</v>
      </c>
      <c r="D2" s="389" t="str">
        <f>UPPER('1. Resumen'!Q4)&amp;" "&amp;'1. Resumen'!Q5-1</f>
        <v>MAYO 2021</v>
      </c>
      <c r="E2" s="389">
        <v>2022</v>
      </c>
      <c r="F2" s="509" t="s">
        <v>567</v>
      </c>
      <c r="G2" s="336"/>
      <c r="H2" s="335"/>
    </row>
    <row r="3" spans="1:11" s="297" customFormat="1" ht="11.25" customHeight="1">
      <c r="A3" s="894"/>
      <c r="B3" s="897"/>
      <c r="C3" s="390">
        <f>'21. ANEXOII-1'!C4</f>
        <v>44712.78125</v>
      </c>
      <c r="D3" s="390">
        <f>'21. ANEXOII-1'!D4</f>
        <v>44342.75</v>
      </c>
      <c r="E3" s="390">
        <f>'21. ANEXOII-1'!E4</f>
        <v>44614.822916666664</v>
      </c>
      <c r="F3" s="510" t="s">
        <v>348</v>
      </c>
      <c r="G3" s="337"/>
      <c r="H3" s="335"/>
    </row>
    <row r="4" spans="1:11" s="297" customFormat="1" ht="9" customHeight="1">
      <c r="A4" s="901"/>
      <c r="B4" s="903"/>
      <c r="C4" s="391">
        <f>+'8. Max Potencia'!D9</f>
        <v>44712.78125</v>
      </c>
      <c r="D4" s="391">
        <f>+'8. Max Potencia'!E9</f>
        <v>44342.75</v>
      </c>
      <c r="E4" s="391">
        <f>+'21. ANEXOII-1'!E5</f>
        <v>44614.822916666664</v>
      </c>
      <c r="F4" s="511" t="s">
        <v>349</v>
      </c>
      <c r="G4" s="337"/>
      <c r="H4" s="339"/>
    </row>
    <row r="5" spans="1:11" s="297" customFormat="1" ht="9.6" customHeight="1">
      <c r="A5" s="685" t="s">
        <v>98</v>
      </c>
      <c r="B5" s="543" t="s">
        <v>420</v>
      </c>
      <c r="C5" s="674">
        <v>0</v>
      </c>
      <c r="D5" s="674">
        <v>0</v>
      </c>
      <c r="E5" s="674">
        <v>0</v>
      </c>
      <c r="F5" s="675" t="str">
        <f t="shared" ref="F5:F69" si="0">+IF(D5=0,"",C5/D5-1)</f>
        <v/>
      </c>
      <c r="J5" s="410"/>
      <c r="K5" s="410"/>
    </row>
    <row r="6" spans="1:11" s="297" customFormat="1" ht="9.6" customHeight="1">
      <c r="A6" s="685"/>
      <c r="B6" s="543" t="s">
        <v>419</v>
      </c>
      <c r="C6" s="674">
        <v>77.456999999999994</v>
      </c>
      <c r="D6" s="674">
        <v>87.432640000000006</v>
      </c>
      <c r="E6" s="674">
        <v>48.011000000000003</v>
      </c>
      <c r="F6" s="675">
        <f t="shared" si="0"/>
        <v>-0.11409514799049891</v>
      </c>
      <c r="J6" s="410"/>
      <c r="K6" s="410"/>
    </row>
    <row r="7" spans="1:11" s="297" customFormat="1" ht="9.6" customHeight="1">
      <c r="A7" s="686" t="s">
        <v>499</v>
      </c>
      <c r="B7" s="687"/>
      <c r="C7" s="688">
        <v>77.456999999999994</v>
      </c>
      <c r="D7" s="688">
        <v>87.432640000000006</v>
      </c>
      <c r="E7" s="688">
        <v>48.011000000000003</v>
      </c>
      <c r="F7" s="689">
        <f t="shared" si="0"/>
        <v>-0.11409514799049891</v>
      </c>
      <c r="J7" s="410"/>
      <c r="K7" s="410"/>
    </row>
    <row r="8" spans="1:11" s="297" customFormat="1" ht="9.6" customHeight="1">
      <c r="A8" s="685" t="s">
        <v>97</v>
      </c>
      <c r="B8" s="543" t="s">
        <v>77</v>
      </c>
      <c r="C8" s="674">
        <v>60.390999999999998</v>
      </c>
      <c r="D8" s="674">
        <v>22.046530000000001</v>
      </c>
      <c r="E8" s="674">
        <v>23.425999999999998</v>
      </c>
      <c r="F8" s="675">
        <f t="shared" si="0"/>
        <v>1.7392519366993353</v>
      </c>
      <c r="K8" s="410"/>
    </row>
    <row r="9" spans="1:11" s="297" customFormat="1" ht="9.6" customHeight="1">
      <c r="A9" s="685"/>
      <c r="B9" s="543" t="s">
        <v>79</v>
      </c>
      <c r="C9" s="674">
        <v>27.3688</v>
      </c>
      <c r="D9" s="674">
        <v>28.238130000000002</v>
      </c>
      <c r="E9" s="674">
        <v>6.5380000000000003</v>
      </c>
      <c r="F9" s="675">
        <f t="shared" si="0"/>
        <v>-3.0785678796719229E-2</v>
      </c>
      <c r="K9" s="410"/>
    </row>
    <row r="10" spans="1:11" s="297" customFormat="1" ht="9.6" customHeight="1">
      <c r="A10" s="686" t="s">
        <v>500</v>
      </c>
      <c r="B10" s="687"/>
      <c r="C10" s="688">
        <v>87.759799999999998</v>
      </c>
      <c r="D10" s="688">
        <v>50.284660000000002</v>
      </c>
      <c r="E10" s="688">
        <v>29.963999999999999</v>
      </c>
      <c r="F10" s="689">
        <f t="shared" si="0"/>
        <v>0.74525988641466401</v>
      </c>
      <c r="K10" s="410"/>
    </row>
    <row r="11" spans="1:11" s="297" customFormat="1" ht="9.6" customHeight="1">
      <c r="A11" s="685" t="s">
        <v>87</v>
      </c>
      <c r="B11" s="543" t="s">
        <v>311</v>
      </c>
      <c r="C11" s="674">
        <v>36.953299999999999</v>
      </c>
      <c r="D11" s="674">
        <v>46.044119999999999</v>
      </c>
      <c r="E11" s="674">
        <v>112.41030000000001</v>
      </c>
      <c r="F11" s="675">
        <f t="shared" si="0"/>
        <v>-0.19743715375600623</v>
      </c>
      <c r="J11" s="410"/>
      <c r="K11" s="410"/>
    </row>
    <row r="12" spans="1:11" s="297" customFormat="1" ht="9.6" customHeight="1">
      <c r="A12" s="685"/>
      <c r="B12" s="543" t="s">
        <v>312</v>
      </c>
      <c r="C12" s="674">
        <v>85.933750000000003</v>
      </c>
      <c r="D12" s="674">
        <v>86.354420000000005</v>
      </c>
      <c r="E12" s="674">
        <v>130.44429</v>
      </c>
      <c r="F12" s="675">
        <f t="shared" si="0"/>
        <v>-4.87143564857484E-3</v>
      </c>
      <c r="J12" s="410"/>
      <c r="K12" s="410"/>
    </row>
    <row r="13" spans="1:11" s="297" customFormat="1" ht="9.6" customHeight="1">
      <c r="A13" s="685"/>
      <c r="B13" s="543" t="s">
        <v>313</v>
      </c>
      <c r="C13" s="674">
        <v>662.43633999999997</v>
      </c>
      <c r="D13" s="674">
        <v>503.55227000000002</v>
      </c>
      <c r="E13" s="674">
        <v>165.95107999999999</v>
      </c>
      <c r="F13" s="675">
        <f t="shared" si="0"/>
        <v>0.31552646957583952</v>
      </c>
      <c r="J13" s="410"/>
      <c r="K13" s="410"/>
    </row>
    <row r="14" spans="1:11" s="297" customFormat="1" ht="9.6" customHeight="1">
      <c r="A14" s="685"/>
      <c r="B14" s="543" t="s">
        <v>314</v>
      </c>
      <c r="C14" s="674">
        <v>102.02784</v>
      </c>
      <c r="D14" s="674">
        <v>67.626090000000005</v>
      </c>
      <c r="E14" s="674">
        <v>67.947299999999998</v>
      </c>
      <c r="F14" s="675">
        <f t="shared" si="0"/>
        <v>0.50870529406623977</v>
      </c>
      <c r="J14" s="410"/>
      <c r="K14" s="410"/>
    </row>
    <row r="15" spans="1:11" s="297" customFormat="1" ht="9.6" customHeight="1">
      <c r="A15" s="685"/>
      <c r="B15" s="543" t="s">
        <v>315</v>
      </c>
      <c r="C15" s="674">
        <v>0</v>
      </c>
      <c r="D15" s="674">
        <v>0</v>
      </c>
      <c r="E15" s="674">
        <v>0</v>
      </c>
      <c r="F15" s="675" t="str">
        <f t="shared" si="0"/>
        <v/>
      </c>
      <c r="J15" s="410"/>
      <c r="K15" s="410"/>
    </row>
    <row r="16" spans="1:11" s="297" customFormat="1" ht="9.6" customHeight="1">
      <c r="A16" s="685"/>
      <c r="B16" s="543" t="s">
        <v>316</v>
      </c>
      <c r="C16" s="674">
        <v>195.91817</v>
      </c>
      <c r="D16" s="674">
        <v>0</v>
      </c>
      <c r="E16" s="674">
        <v>0</v>
      </c>
      <c r="F16" s="675" t="str">
        <f t="shared" si="0"/>
        <v/>
      </c>
      <c r="J16" s="410"/>
      <c r="K16" s="410"/>
    </row>
    <row r="17" spans="1:11" s="297" customFormat="1" ht="9.6" customHeight="1">
      <c r="A17" s="685"/>
      <c r="B17" s="543" t="s">
        <v>317</v>
      </c>
      <c r="C17" s="674">
        <v>0</v>
      </c>
      <c r="D17" s="674">
        <v>0</v>
      </c>
      <c r="E17" s="674">
        <v>0</v>
      </c>
      <c r="F17" s="675" t="str">
        <f t="shared" si="0"/>
        <v/>
      </c>
      <c r="J17" s="410"/>
      <c r="K17" s="410"/>
    </row>
    <row r="18" spans="1:11" s="297" customFormat="1" ht="9.6" customHeight="1">
      <c r="A18" s="685"/>
      <c r="B18" s="543" t="s">
        <v>421</v>
      </c>
      <c r="C18" s="674">
        <v>0</v>
      </c>
      <c r="D18" s="674">
        <v>0</v>
      </c>
      <c r="E18" s="674">
        <v>0</v>
      </c>
      <c r="F18" s="675" t="str">
        <f t="shared" si="0"/>
        <v/>
      </c>
      <c r="J18" s="410"/>
      <c r="K18" s="410"/>
    </row>
    <row r="19" spans="1:11" s="297" customFormat="1" ht="9.6" customHeight="1">
      <c r="A19" s="686" t="s">
        <v>501</v>
      </c>
      <c r="B19" s="687"/>
      <c r="C19" s="688">
        <v>1083.2693999999999</v>
      </c>
      <c r="D19" s="688">
        <v>703.57690000000002</v>
      </c>
      <c r="E19" s="688">
        <v>476.75296999999995</v>
      </c>
      <c r="F19" s="689">
        <f t="shared" si="0"/>
        <v>0.53966027025617214</v>
      </c>
      <c r="J19" s="410"/>
      <c r="K19" s="410"/>
    </row>
    <row r="20" spans="1:11" s="297" customFormat="1" ht="9.6" customHeight="1">
      <c r="A20" s="685" t="s">
        <v>237</v>
      </c>
      <c r="B20" s="543" t="s">
        <v>318</v>
      </c>
      <c r="C20" s="674">
        <v>566.63325000000009</v>
      </c>
      <c r="D20" s="674">
        <v>532.06552999999997</v>
      </c>
      <c r="E20" s="674">
        <v>562.50548000000003</v>
      </c>
      <c r="F20" s="675"/>
      <c r="J20" s="410"/>
      <c r="K20" s="410"/>
    </row>
    <row r="21" spans="1:11" s="297" customFormat="1" ht="9.6" customHeight="1">
      <c r="A21" s="686" t="s">
        <v>502</v>
      </c>
      <c r="B21" s="687"/>
      <c r="C21" s="688">
        <v>566.63325000000009</v>
      </c>
      <c r="D21" s="688">
        <v>532.06552999999997</v>
      </c>
      <c r="E21" s="688">
        <v>562.50548000000003</v>
      </c>
      <c r="F21" s="689"/>
      <c r="J21" s="410"/>
      <c r="K21" s="410"/>
    </row>
    <row r="22" spans="1:11" s="297" customFormat="1" ht="9.6" customHeight="1">
      <c r="A22" s="685" t="s">
        <v>446</v>
      </c>
      <c r="B22" s="543" t="s">
        <v>450</v>
      </c>
      <c r="C22" s="674">
        <v>11.440560000000001</v>
      </c>
      <c r="D22" s="674">
        <v>0</v>
      </c>
      <c r="E22" s="674">
        <v>20.832709999999999</v>
      </c>
      <c r="F22" s="675"/>
      <c r="J22" s="410"/>
      <c r="K22" s="410"/>
    </row>
    <row r="23" spans="1:11" s="297" customFormat="1" ht="9.6" customHeight="1">
      <c r="A23" s="685"/>
      <c r="B23" s="543" t="s">
        <v>447</v>
      </c>
      <c r="C23" s="674">
        <v>4.0392999999999999</v>
      </c>
      <c r="D23" s="674">
        <v>5.2237299999999998</v>
      </c>
      <c r="E23" s="674">
        <v>6.4733700000000001</v>
      </c>
      <c r="F23" s="675">
        <f t="shared" si="0"/>
        <v>-0.22674027945548481</v>
      </c>
      <c r="J23" s="410"/>
      <c r="K23" s="410"/>
    </row>
    <row r="24" spans="1:11" s="297" customFormat="1" ht="9.6" customHeight="1">
      <c r="A24" s="686" t="s">
        <v>503</v>
      </c>
      <c r="B24" s="687"/>
      <c r="C24" s="688">
        <v>15.479860000000002</v>
      </c>
      <c r="D24" s="688">
        <v>5.2237299999999998</v>
      </c>
      <c r="E24" s="688">
        <v>27.306079999999998</v>
      </c>
      <c r="F24" s="689">
        <f t="shared" si="0"/>
        <v>1.9633729155220507</v>
      </c>
      <c r="J24" s="410"/>
      <c r="K24" s="410"/>
    </row>
    <row r="25" spans="1:11" s="297" customFormat="1" ht="9.6" customHeight="1">
      <c r="A25" s="685" t="s">
        <v>108</v>
      </c>
      <c r="B25" s="543" t="s">
        <v>66</v>
      </c>
      <c r="C25" s="674">
        <v>6.9508399999999995</v>
      </c>
      <c r="D25" s="674">
        <v>7.7729599999999994</v>
      </c>
      <c r="E25" s="674">
        <v>6.8293900000000001</v>
      </c>
      <c r="F25" s="675">
        <f t="shared" si="0"/>
        <v>-0.10576665774685579</v>
      </c>
      <c r="J25" s="410"/>
      <c r="K25" s="410"/>
    </row>
    <row r="26" spans="1:11" s="297" customFormat="1" ht="9.6" customHeight="1">
      <c r="A26" s="685"/>
      <c r="B26" s="543" t="s">
        <v>411</v>
      </c>
      <c r="C26" s="674">
        <v>6.0792900000000003</v>
      </c>
      <c r="D26" s="674">
        <v>11.74465</v>
      </c>
      <c r="E26" s="674">
        <v>20.386659999999999</v>
      </c>
      <c r="F26" s="675">
        <f t="shared" si="0"/>
        <v>-0.48237793378261584</v>
      </c>
      <c r="J26" s="410"/>
      <c r="K26" s="410"/>
    </row>
    <row r="27" spans="1:11" s="297" customFormat="1" ht="9.6" customHeight="1">
      <c r="A27" s="685"/>
      <c r="B27" s="543" t="s">
        <v>409</v>
      </c>
      <c r="C27" s="674">
        <v>6.8564499999999997</v>
      </c>
      <c r="D27" s="674">
        <v>14.352789999999999</v>
      </c>
      <c r="E27" s="674">
        <v>20.391100000000002</v>
      </c>
      <c r="F27" s="675">
        <f t="shared" si="0"/>
        <v>-0.52229148479145859</v>
      </c>
      <c r="J27" s="410"/>
      <c r="K27" s="410"/>
    </row>
    <row r="28" spans="1:11" s="297" customFormat="1" ht="9.6" customHeight="1">
      <c r="A28" s="685"/>
      <c r="B28" s="543" t="s">
        <v>410</v>
      </c>
      <c r="C28" s="674">
        <v>6.9119599999999997</v>
      </c>
      <c r="D28" s="674">
        <v>14.6746</v>
      </c>
      <c r="E28" s="674">
        <v>20.156399999999998</v>
      </c>
      <c r="F28" s="675">
        <f t="shared" si="0"/>
        <v>-0.52898477641639297</v>
      </c>
      <c r="J28" s="410"/>
      <c r="K28" s="410"/>
    </row>
    <row r="29" spans="1:11" s="297" customFormat="1" ht="9.6" customHeight="1">
      <c r="A29" s="686" t="s">
        <v>504</v>
      </c>
      <c r="B29" s="687"/>
      <c r="C29" s="688">
        <v>26.798539999999999</v>
      </c>
      <c r="D29" s="688">
        <v>48.544999999999995</v>
      </c>
      <c r="E29" s="688">
        <v>67.763550000000009</v>
      </c>
      <c r="F29" s="689">
        <f t="shared" si="0"/>
        <v>-0.4479649809455144</v>
      </c>
      <c r="J29" s="410"/>
      <c r="K29" s="410"/>
    </row>
    <row r="30" spans="1:11" s="297" customFormat="1" ht="9.6" customHeight="1">
      <c r="A30" s="685" t="s">
        <v>464</v>
      </c>
      <c r="B30" s="543" t="s">
        <v>473</v>
      </c>
      <c r="C30" s="674">
        <v>2.9041399999999999</v>
      </c>
      <c r="D30" s="674">
        <v>14.686999999999999</v>
      </c>
      <c r="E30" s="674">
        <v>5.8799999999999998E-3</v>
      </c>
      <c r="F30" s="675">
        <f t="shared" si="0"/>
        <v>-0.80226458773064613</v>
      </c>
      <c r="J30" s="410"/>
      <c r="K30" s="410"/>
    </row>
    <row r="31" spans="1:11" s="297" customFormat="1" ht="9.6" customHeight="1">
      <c r="A31" s="686" t="s">
        <v>505</v>
      </c>
      <c r="B31" s="687"/>
      <c r="C31" s="688">
        <v>2.9041399999999999</v>
      </c>
      <c r="D31" s="688">
        <v>14.686999999999999</v>
      </c>
      <c r="E31" s="688">
        <v>5.8799999999999998E-3</v>
      </c>
      <c r="F31" s="689">
        <f t="shared" si="0"/>
        <v>-0.80226458773064613</v>
      </c>
      <c r="J31" s="410"/>
      <c r="K31" s="410"/>
    </row>
    <row r="32" spans="1:11" s="297" customFormat="1" ht="9.6" customHeight="1">
      <c r="A32" s="685" t="s">
        <v>465</v>
      </c>
      <c r="B32" s="543" t="s">
        <v>474</v>
      </c>
      <c r="C32" s="674">
        <v>1.7532000000000001</v>
      </c>
      <c r="D32" s="674">
        <v>14.436</v>
      </c>
      <c r="E32" s="674">
        <v>1.1910000000000001</v>
      </c>
      <c r="F32" s="675">
        <f t="shared" si="0"/>
        <v>-0.87855361596009973</v>
      </c>
      <c r="J32" s="410"/>
      <c r="K32" s="410"/>
    </row>
    <row r="33" spans="1:11" s="297" customFormat="1" ht="9.6" customHeight="1">
      <c r="A33" s="686" t="s">
        <v>506</v>
      </c>
      <c r="B33" s="687"/>
      <c r="C33" s="688">
        <v>1.7532000000000001</v>
      </c>
      <c r="D33" s="688">
        <v>14.436</v>
      </c>
      <c r="E33" s="688">
        <v>1.1910000000000001</v>
      </c>
      <c r="F33" s="689">
        <f t="shared" si="0"/>
        <v>-0.87855361596009973</v>
      </c>
      <c r="J33" s="410"/>
      <c r="K33" s="410"/>
    </row>
    <row r="34" spans="1:11" s="297" customFormat="1" ht="9.6" customHeight="1">
      <c r="A34" s="685" t="s">
        <v>114</v>
      </c>
      <c r="B34" s="543" t="s">
        <v>74</v>
      </c>
      <c r="C34" s="674">
        <v>0</v>
      </c>
      <c r="D34" s="674">
        <v>0</v>
      </c>
      <c r="E34" s="674">
        <v>2.8</v>
      </c>
      <c r="F34" s="675" t="str">
        <f t="shared" si="0"/>
        <v/>
      </c>
      <c r="J34" s="410"/>
      <c r="K34" s="410"/>
    </row>
    <row r="35" spans="1:11" s="297" customFormat="1" ht="9.6" customHeight="1">
      <c r="A35" s="686" t="s">
        <v>507</v>
      </c>
      <c r="B35" s="687"/>
      <c r="C35" s="688">
        <v>0</v>
      </c>
      <c r="D35" s="688">
        <v>0</v>
      </c>
      <c r="E35" s="688">
        <v>2.8</v>
      </c>
      <c r="F35" s="689" t="str">
        <f t="shared" si="0"/>
        <v/>
      </c>
      <c r="J35" s="410"/>
      <c r="K35" s="410"/>
    </row>
    <row r="36" spans="1:11" s="297" customFormat="1" ht="9.6" customHeight="1">
      <c r="A36" s="685" t="s">
        <v>103</v>
      </c>
      <c r="B36" s="543" t="s">
        <v>319</v>
      </c>
      <c r="C36" s="674">
        <v>19.114570000000001</v>
      </c>
      <c r="D36" s="674">
        <v>9.4109499999999997</v>
      </c>
      <c r="E36" s="674">
        <v>19.016210000000001</v>
      </c>
      <c r="F36" s="675">
        <f t="shared" si="0"/>
        <v>1.0310988794967564</v>
      </c>
      <c r="J36" s="410"/>
      <c r="K36" s="410"/>
    </row>
    <row r="37" spans="1:11" s="297" customFormat="1" ht="9.6" customHeight="1">
      <c r="A37" s="686" t="s">
        <v>508</v>
      </c>
      <c r="B37" s="687"/>
      <c r="C37" s="688">
        <v>19.114570000000001</v>
      </c>
      <c r="D37" s="688">
        <v>9.4109499999999997</v>
      </c>
      <c r="E37" s="688">
        <v>19.016210000000001</v>
      </c>
      <c r="F37" s="689">
        <f t="shared" si="0"/>
        <v>1.0310988794967564</v>
      </c>
      <c r="J37" s="410"/>
      <c r="K37" s="410"/>
    </row>
    <row r="38" spans="1:11" s="543" customFormat="1" ht="18" customHeight="1">
      <c r="A38" s="685" t="s">
        <v>238</v>
      </c>
      <c r="B38" s="543" t="s">
        <v>59</v>
      </c>
      <c r="C38" s="674">
        <v>18.378430000000002</v>
      </c>
      <c r="D38" s="674">
        <v>18.412590000000002</v>
      </c>
      <c r="E38" s="674">
        <v>9.3076899999999991</v>
      </c>
      <c r="F38" s="675">
        <f t="shared" si="0"/>
        <v>-1.8552523029079504E-3</v>
      </c>
      <c r="J38" s="676"/>
      <c r="K38" s="676"/>
    </row>
    <row r="39" spans="1:11" s="297" customFormat="1" ht="9.6" customHeight="1">
      <c r="A39" s="686" t="s">
        <v>509</v>
      </c>
      <c r="B39" s="687"/>
      <c r="C39" s="688">
        <v>18.378430000000002</v>
      </c>
      <c r="D39" s="688">
        <v>18.412590000000002</v>
      </c>
      <c r="E39" s="688">
        <v>9.3076899999999991</v>
      </c>
      <c r="F39" s="689">
        <f t="shared" si="0"/>
        <v>-1.8552523029079504E-3</v>
      </c>
      <c r="J39" s="410"/>
      <c r="K39" s="410"/>
    </row>
    <row r="40" spans="1:11" s="297" customFormat="1" ht="9.6" customHeight="1">
      <c r="A40" s="685" t="s">
        <v>408</v>
      </c>
      <c r="B40" s="543" t="s">
        <v>453</v>
      </c>
      <c r="C40" s="674">
        <v>0.72</v>
      </c>
      <c r="D40" s="674">
        <v>0</v>
      </c>
      <c r="E40" s="674">
        <v>0</v>
      </c>
      <c r="F40" s="675" t="str">
        <f t="shared" si="0"/>
        <v/>
      </c>
      <c r="J40" s="410"/>
      <c r="K40" s="410"/>
    </row>
    <row r="41" spans="1:11" s="297" customFormat="1" ht="9.6" customHeight="1">
      <c r="A41" s="686" t="s">
        <v>510</v>
      </c>
      <c r="B41" s="687"/>
      <c r="C41" s="688">
        <v>0.72</v>
      </c>
      <c r="D41" s="688">
        <v>0</v>
      </c>
      <c r="E41" s="688">
        <v>0</v>
      </c>
      <c r="F41" s="689" t="str">
        <f t="shared" si="0"/>
        <v/>
      </c>
      <c r="J41" s="410"/>
      <c r="K41" s="410"/>
    </row>
    <row r="42" spans="1:11" s="297" customFormat="1" ht="9.6" customHeight="1">
      <c r="A42" s="685" t="s">
        <v>423</v>
      </c>
      <c r="B42" s="543" t="s">
        <v>427</v>
      </c>
      <c r="C42" s="674">
        <v>86.90379999999999</v>
      </c>
      <c r="D42" s="674">
        <v>90.555700000000002</v>
      </c>
      <c r="E42" s="674">
        <v>90.378320000000002</v>
      </c>
      <c r="F42" s="675">
        <f t="shared" si="0"/>
        <v>-4.0327665735011897E-2</v>
      </c>
      <c r="J42" s="410"/>
      <c r="K42" s="410"/>
    </row>
    <row r="43" spans="1:11" s="297" customFormat="1" ht="9.6" customHeight="1">
      <c r="A43" s="686" t="s">
        <v>511</v>
      </c>
      <c r="B43" s="687"/>
      <c r="C43" s="688">
        <v>86.90379999999999</v>
      </c>
      <c r="D43" s="688">
        <v>90.555700000000002</v>
      </c>
      <c r="E43" s="688">
        <v>90.378320000000002</v>
      </c>
      <c r="F43" s="689">
        <f t="shared" si="0"/>
        <v>-4.0327665735011897E-2</v>
      </c>
      <c r="J43" s="410"/>
      <c r="K43" s="410"/>
    </row>
    <row r="44" spans="1:11" s="297" customFormat="1" ht="19.95" customHeight="1">
      <c r="A44" s="673" t="s">
        <v>455</v>
      </c>
      <c r="B44" s="543" t="s">
        <v>460</v>
      </c>
      <c r="C44" s="674">
        <v>0</v>
      </c>
      <c r="D44" s="674">
        <v>16.0748</v>
      </c>
      <c r="E44" s="674">
        <v>19.462150000000001</v>
      </c>
      <c r="F44" s="675">
        <f t="shared" si="0"/>
        <v>-1</v>
      </c>
      <c r="J44" s="410"/>
      <c r="K44" s="410"/>
    </row>
    <row r="45" spans="1:11" s="297" customFormat="1" ht="11.4" customHeight="1">
      <c r="A45" s="686" t="s">
        <v>512</v>
      </c>
      <c r="B45" s="687"/>
      <c r="C45" s="688">
        <v>0</v>
      </c>
      <c r="D45" s="688">
        <v>16.0748</v>
      </c>
      <c r="E45" s="688">
        <v>19.462150000000001</v>
      </c>
      <c r="F45" s="689">
        <f t="shared" si="0"/>
        <v>-1</v>
      </c>
      <c r="J45" s="410"/>
      <c r="K45" s="410"/>
    </row>
    <row r="46" spans="1:11" s="297" customFormat="1" ht="11.4" customHeight="1">
      <c r="A46" s="685" t="s">
        <v>116</v>
      </c>
      <c r="B46" s="543" t="s">
        <v>321</v>
      </c>
      <c r="C46" s="674">
        <v>0</v>
      </c>
      <c r="D46" s="674">
        <v>0</v>
      </c>
      <c r="E46" s="674">
        <v>0</v>
      </c>
      <c r="F46" s="675" t="str">
        <f t="shared" si="0"/>
        <v/>
      </c>
      <c r="J46" s="410"/>
      <c r="K46" s="410"/>
    </row>
    <row r="47" spans="1:11" s="297" customFormat="1" ht="11.4" customHeight="1">
      <c r="A47" s="685"/>
      <c r="B47" s="543" t="s">
        <v>322</v>
      </c>
      <c r="C47" s="674">
        <v>0</v>
      </c>
      <c r="D47" s="674">
        <v>0</v>
      </c>
      <c r="E47" s="674">
        <v>0</v>
      </c>
      <c r="F47" s="675" t="str">
        <f t="shared" si="0"/>
        <v/>
      </c>
      <c r="J47" s="410"/>
      <c r="K47" s="410"/>
    </row>
    <row r="48" spans="1:11" s="297" customFormat="1" ht="11.4" customHeight="1">
      <c r="A48" s="686" t="s">
        <v>513</v>
      </c>
      <c r="B48" s="687"/>
      <c r="C48" s="688">
        <v>0</v>
      </c>
      <c r="D48" s="688">
        <v>0</v>
      </c>
      <c r="E48" s="688">
        <v>0</v>
      </c>
      <c r="F48" s="689" t="str">
        <f t="shared" si="0"/>
        <v/>
      </c>
      <c r="J48" s="410"/>
      <c r="K48" s="410"/>
    </row>
    <row r="49" spans="1:11" s="297" customFormat="1" ht="11.4" customHeight="1">
      <c r="A49" s="685" t="s">
        <v>406</v>
      </c>
      <c r="B49" s="543" t="s">
        <v>323</v>
      </c>
      <c r="C49" s="674">
        <v>170.37</v>
      </c>
      <c r="D49" s="674">
        <v>774.67083000000002</v>
      </c>
      <c r="E49" s="674">
        <v>786.88</v>
      </c>
      <c r="F49" s="675">
        <f t="shared" si="0"/>
        <v>-0.7800743317003429</v>
      </c>
      <c r="J49" s="410"/>
      <c r="K49" s="410"/>
    </row>
    <row r="50" spans="1:11" s="297" customFormat="1" ht="11.4" customHeight="1">
      <c r="A50" s="685"/>
      <c r="B50" s="543" t="s">
        <v>324</v>
      </c>
      <c r="C50" s="674">
        <v>0</v>
      </c>
      <c r="D50" s="674">
        <v>0</v>
      </c>
      <c r="E50" s="674">
        <v>104.8</v>
      </c>
      <c r="F50" s="675" t="str">
        <f t="shared" si="0"/>
        <v/>
      </c>
      <c r="J50" s="410"/>
      <c r="K50" s="410"/>
    </row>
    <row r="51" spans="1:11" s="297" customFormat="1" ht="11.4" customHeight="1">
      <c r="A51" s="685"/>
      <c r="B51" s="543" t="s">
        <v>425</v>
      </c>
      <c r="C51" s="674">
        <v>540.03</v>
      </c>
      <c r="D51" s="674">
        <v>393.43207000000001</v>
      </c>
      <c r="E51" s="674">
        <v>364.11</v>
      </c>
      <c r="F51" s="675">
        <f t="shared" si="0"/>
        <v>0.37261306634204971</v>
      </c>
      <c r="J51" s="410"/>
      <c r="K51" s="410"/>
    </row>
    <row r="52" spans="1:11" s="297" customFormat="1" ht="11.4" customHeight="1">
      <c r="A52" s="685"/>
      <c r="B52" s="543" t="s">
        <v>325</v>
      </c>
      <c r="C52" s="674">
        <v>5.56</v>
      </c>
      <c r="D52" s="674">
        <v>4.7443600000000004</v>
      </c>
      <c r="E52" s="674">
        <v>10.14</v>
      </c>
      <c r="F52" s="675">
        <f t="shared" si="0"/>
        <v>0.17191781399387884</v>
      </c>
      <c r="J52" s="410"/>
      <c r="K52" s="410"/>
    </row>
    <row r="53" spans="1:11" s="297" customFormat="1" ht="11.4" customHeight="1">
      <c r="A53" s="686" t="s">
        <v>514</v>
      </c>
      <c r="B53" s="687"/>
      <c r="C53" s="688">
        <v>715.95999999999992</v>
      </c>
      <c r="D53" s="688">
        <v>1172.84726</v>
      </c>
      <c r="E53" s="688">
        <v>1265.93</v>
      </c>
      <c r="F53" s="689">
        <f t="shared" si="0"/>
        <v>-0.38955393049219389</v>
      </c>
      <c r="J53" s="410"/>
      <c r="K53" s="410"/>
    </row>
    <row r="54" spans="1:11" s="297" customFormat="1" ht="11.4" customHeight="1">
      <c r="A54" s="685" t="s">
        <v>475</v>
      </c>
      <c r="B54" s="543" t="s">
        <v>571</v>
      </c>
      <c r="C54" s="674">
        <v>36.260019999999997</v>
      </c>
      <c r="D54" s="674">
        <v>53.137209999999996</v>
      </c>
      <c r="E54" s="674">
        <v>74.250879999999995</v>
      </c>
      <c r="F54" s="675">
        <f t="shared" si="0"/>
        <v>-0.31761528315092191</v>
      </c>
      <c r="J54" s="410"/>
      <c r="K54" s="410"/>
    </row>
    <row r="55" spans="1:11" s="297" customFormat="1" ht="11.4" customHeight="1">
      <c r="A55" s="686" t="s">
        <v>515</v>
      </c>
      <c r="B55" s="687"/>
      <c r="C55" s="688">
        <v>36.260019999999997</v>
      </c>
      <c r="D55" s="688">
        <v>53.137209999999996</v>
      </c>
      <c r="E55" s="688">
        <v>74.250879999999995</v>
      </c>
      <c r="F55" s="689">
        <f t="shared" si="0"/>
        <v>-0.31761528315092191</v>
      </c>
      <c r="J55" s="410"/>
      <c r="K55" s="410"/>
    </row>
    <row r="56" spans="1:11" s="297" customFormat="1" ht="11.4" customHeight="1">
      <c r="A56" s="685" t="s">
        <v>115</v>
      </c>
      <c r="B56" s="543" t="s">
        <v>72</v>
      </c>
      <c r="C56" s="674">
        <v>1.9670000000000001</v>
      </c>
      <c r="D56" s="674">
        <v>3.2687499999999998</v>
      </c>
      <c r="E56" s="674">
        <v>3.694</v>
      </c>
      <c r="F56" s="675">
        <f t="shared" si="0"/>
        <v>-0.39824091778202675</v>
      </c>
      <c r="J56" s="410"/>
      <c r="K56" s="410"/>
    </row>
    <row r="57" spans="1:11" s="297" customFormat="1" ht="11.4" customHeight="1">
      <c r="A57" s="686" t="s">
        <v>516</v>
      </c>
      <c r="B57" s="687"/>
      <c r="C57" s="688">
        <v>1.9670000000000001</v>
      </c>
      <c r="D57" s="688">
        <v>3.2687499999999998</v>
      </c>
      <c r="E57" s="688">
        <v>3.694</v>
      </c>
      <c r="F57" s="689">
        <f t="shared" si="0"/>
        <v>-0.39824091778202675</v>
      </c>
      <c r="J57" s="410"/>
      <c r="K57" s="410"/>
    </row>
    <row r="58" spans="1:11" s="297" customFormat="1" ht="11.4" customHeight="1">
      <c r="A58" s="685" t="s">
        <v>462</v>
      </c>
      <c r="B58" s="543" t="s">
        <v>231</v>
      </c>
      <c r="C58" s="674">
        <v>0</v>
      </c>
      <c r="D58" s="674">
        <v>0</v>
      </c>
      <c r="E58" s="674">
        <v>0</v>
      </c>
      <c r="F58" s="675" t="str">
        <f t="shared" si="0"/>
        <v/>
      </c>
      <c r="J58" s="410"/>
      <c r="K58" s="410"/>
    </row>
    <row r="59" spans="1:11" s="297" customFormat="1" ht="11.4" customHeight="1">
      <c r="A59" s="686" t="s">
        <v>517</v>
      </c>
      <c r="B59" s="687"/>
      <c r="C59" s="688">
        <v>0</v>
      </c>
      <c r="D59" s="688">
        <v>0</v>
      </c>
      <c r="E59" s="688">
        <v>0</v>
      </c>
      <c r="F59" s="689" t="str">
        <f t="shared" si="0"/>
        <v/>
      </c>
      <c r="J59" s="410"/>
      <c r="K59" s="410"/>
    </row>
    <row r="60" spans="1:11" s="297" customFormat="1" ht="11.4" customHeight="1">
      <c r="A60" s="685" t="s">
        <v>110</v>
      </c>
      <c r="B60" s="543" t="s">
        <v>81</v>
      </c>
      <c r="C60" s="674">
        <v>0</v>
      </c>
      <c r="D60" s="674">
        <v>0</v>
      </c>
      <c r="E60" s="674">
        <v>0</v>
      </c>
      <c r="F60" s="675" t="str">
        <f t="shared" si="0"/>
        <v/>
      </c>
      <c r="J60" s="410"/>
      <c r="K60" s="410"/>
    </row>
    <row r="61" spans="1:11" s="297" customFormat="1" ht="11.4" customHeight="1">
      <c r="A61" s="686" t="s">
        <v>518</v>
      </c>
      <c r="B61" s="687"/>
      <c r="C61" s="688">
        <v>0</v>
      </c>
      <c r="D61" s="688">
        <v>0</v>
      </c>
      <c r="E61" s="688">
        <v>0</v>
      </c>
      <c r="F61" s="689" t="str">
        <f t="shared" si="0"/>
        <v/>
      </c>
      <c r="J61" s="410"/>
      <c r="K61" s="410"/>
    </row>
    <row r="62" spans="1:11" s="297" customFormat="1" ht="11.4" customHeight="1">
      <c r="A62" s="685" t="s">
        <v>239</v>
      </c>
      <c r="B62" s="543" t="s">
        <v>71</v>
      </c>
      <c r="C62" s="674">
        <v>5.375</v>
      </c>
      <c r="D62" s="674">
        <v>5.5146199999999999</v>
      </c>
      <c r="E62" s="674">
        <v>5.5860000000000003</v>
      </c>
      <c r="F62" s="675">
        <f t="shared" si="0"/>
        <v>-2.5318154288056061E-2</v>
      </c>
      <c r="J62" s="410"/>
      <c r="K62" s="410"/>
    </row>
    <row r="63" spans="1:11" s="297" customFormat="1" ht="11.4" customHeight="1">
      <c r="A63" s="685"/>
      <c r="B63" s="543" t="s">
        <v>326</v>
      </c>
      <c r="C63" s="674">
        <v>132.00800000000001</v>
      </c>
      <c r="D63" s="674">
        <v>188.59374</v>
      </c>
      <c r="E63" s="674">
        <v>255.13400000000001</v>
      </c>
      <c r="F63" s="675">
        <f t="shared" si="0"/>
        <v>-0.30004039370553859</v>
      </c>
      <c r="J63" s="410"/>
      <c r="K63" s="410"/>
    </row>
    <row r="64" spans="1:11" s="297" customFormat="1" ht="11.4" customHeight="1">
      <c r="A64" s="685"/>
      <c r="B64" s="543" t="s">
        <v>327</v>
      </c>
      <c r="C64" s="674">
        <v>89.721999999999994</v>
      </c>
      <c r="D64" s="674">
        <v>90.767629999999997</v>
      </c>
      <c r="E64" s="674">
        <v>92.557000000000002</v>
      </c>
      <c r="F64" s="675">
        <f t="shared" si="0"/>
        <v>-1.1519855701861981E-2</v>
      </c>
      <c r="J64" s="410"/>
      <c r="K64" s="410"/>
    </row>
    <row r="65" spans="1:11" s="297" customFormat="1" ht="11.4" customHeight="1">
      <c r="A65" s="685"/>
      <c r="B65" s="543" t="s">
        <v>62</v>
      </c>
      <c r="C65" s="674">
        <v>9.9890000000000008</v>
      </c>
      <c r="D65" s="674">
        <v>9.9125800000000002</v>
      </c>
      <c r="E65" s="674">
        <v>9.7219999999999995</v>
      </c>
      <c r="F65" s="675">
        <f t="shared" si="0"/>
        <v>7.7093955357738775E-3</v>
      </c>
      <c r="J65" s="410"/>
      <c r="K65" s="410"/>
    </row>
    <row r="66" spans="1:11" s="297" customFormat="1" ht="11.4" customHeight="1">
      <c r="A66" s="686" t="s">
        <v>519</v>
      </c>
      <c r="B66" s="687"/>
      <c r="C66" s="688">
        <v>237.09400000000002</v>
      </c>
      <c r="D66" s="688">
        <v>294.78856999999999</v>
      </c>
      <c r="E66" s="688">
        <v>362.99900000000002</v>
      </c>
      <c r="F66" s="689">
        <f t="shared" si="0"/>
        <v>-0.19571508488270073</v>
      </c>
      <c r="J66" s="410"/>
      <c r="K66" s="410"/>
    </row>
    <row r="67" spans="1:11" s="297" customFormat="1" ht="11.4" customHeight="1">
      <c r="A67" s="685" t="s">
        <v>240</v>
      </c>
      <c r="B67" s="543" t="s">
        <v>78</v>
      </c>
      <c r="C67" s="674">
        <v>3.1380599999999998</v>
      </c>
      <c r="D67" s="674">
        <v>7.5153600000000003</v>
      </c>
      <c r="E67" s="674">
        <v>13.748060000000001</v>
      </c>
      <c r="F67" s="675">
        <f t="shared" si="0"/>
        <v>-0.58244714824040367</v>
      </c>
      <c r="J67" s="410"/>
      <c r="K67" s="410"/>
    </row>
    <row r="68" spans="1:11" s="297" customFormat="1" ht="11.4" customHeight="1">
      <c r="A68" s="686" t="s">
        <v>520</v>
      </c>
      <c r="B68" s="687"/>
      <c r="C68" s="688">
        <v>3.1380599999999998</v>
      </c>
      <c r="D68" s="688">
        <v>7.5153600000000003</v>
      </c>
      <c r="E68" s="688">
        <v>13.748060000000001</v>
      </c>
      <c r="F68" s="689">
        <f t="shared" si="0"/>
        <v>-0.58244714824040367</v>
      </c>
      <c r="J68" s="410"/>
      <c r="K68" s="410"/>
    </row>
    <row r="69" spans="1:11" s="297" customFormat="1" ht="11.4" customHeight="1">
      <c r="A69" s="685" t="s">
        <v>99</v>
      </c>
      <c r="B69" s="543" t="s">
        <v>76</v>
      </c>
      <c r="C69" s="674">
        <v>11.430680000000001</v>
      </c>
      <c r="D69" s="674">
        <v>14.34295</v>
      </c>
      <c r="E69" s="674">
        <v>43.980359999999997</v>
      </c>
      <c r="F69" s="675">
        <f t="shared" si="0"/>
        <v>-0.20304539861046711</v>
      </c>
      <c r="J69" s="410"/>
      <c r="K69" s="410"/>
    </row>
    <row r="70" spans="1:11" ht="11.4" customHeight="1">
      <c r="A70" s="686" t="s">
        <v>521</v>
      </c>
      <c r="B70" s="687"/>
      <c r="C70" s="688">
        <v>11.430680000000001</v>
      </c>
      <c r="D70" s="688">
        <v>14.34295</v>
      </c>
      <c r="E70" s="688">
        <v>43.980359999999997</v>
      </c>
      <c r="F70" s="689">
        <f t="shared" ref="F70" si="1">+IF(D70=0,"",C70/D70-1)</f>
        <v>-0.20304539861046711</v>
      </c>
    </row>
    <row r="71" spans="1:11">
      <c r="A71" s="272"/>
      <c r="B71" s="272"/>
      <c r="C71" s="272"/>
      <c r="D71" s="272"/>
      <c r="E71" s="272"/>
      <c r="F71" s="690"/>
    </row>
    <row r="72" spans="1:11">
      <c r="F72" s="638"/>
    </row>
    <row r="73" spans="1:11">
      <c r="F73" s="638"/>
    </row>
    <row r="74" spans="1:11">
      <c r="F74" s="638"/>
    </row>
    <row r="75" spans="1:11">
      <c r="F75" s="638"/>
    </row>
    <row r="76" spans="1:11">
      <c r="F76" s="638"/>
    </row>
  </sheetData>
  <mergeCells count="3">
    <mergeCell ref="A1:A4"/>
    <mergeCell ref="B1:B4"/>
    <mergeCell ref="C1:F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62"/>
  <sheetViews>
    <sheetView showGridLines="0" showWhiteSpace="0" view="pageBreakPreview" zoomScale="110" zoomScaleNormal="100" zoomScaleSheetLayoutView="110" zoomScalePageLayoutView="140" workbookViewId="0">
      <selection activeCell="R35" sqref="R35"/>
    </sheetView>
  </sheetViews>
  <sheetFormatPr baseColWidth="10" defaultColWidth="9.28515625" defaultRowHeight="9.6"/>
  <cols>
    <col min="1" max="1" width="27" style="268" customWidth="1"/>
    <col min="2" max="2" width="19.42578125" style="268" customWidth="1"/>
    <col min="3" max="3" width="16.42578125" style="268" customWidth="1"/>
    <col min="4" max="4" width="17.7109375" style="268" customWidth="1"/>
    <col min="5" max="5" width="15.140625" style="268" customWidth="1"/>
    <col min="6" max="6" width="12.85546875" style="268" customWidth="1"/>
    <col min="7" max="16384" width="9.28515625" style="268"/>
  </cols>
  <sheetData>
    <row r="1" spans="1:6" s="297" customFormat="1" ht="11.25" customHeight="1">
      <c r="A1" s="900" t="s">
        <v>248</v>
      </c>
      <c r="B1" s="902" t="s">
        <v>54</v>
      </c>
      <c r="C1" s="902" t="s">
        <v>351</v>
      </c>
      <c r="D1" s="902"/>
      <c r="E1" s="902"/>
      <c r="F1" s="904"/>
    </row>
    <row r="2" spans="1:6" s="297" customFormat="1" ht="11.25" customHeight="1">
      <c r="A2" s="894"/>
      <c r="B2" s="897"/>
      <c r="C2" s="388" t="str">
        <f>UPPER('1. Resumen'!Q4)&amp;" "&amp;'1. Resumen'!Q5</f>
        <v>MAYO 2022</v>
      </c>
      <c r="D2" s="389" t="str">
        <f>UPPER('1. Resumen'!Q4)&amp;" "&amp;'1. Resumen'!Q5-1</f>
        <v>MAYO 2021</v>
      </c>
      <c r="E2" s="389">
        <v>2022</v>
      </c>
      <c r="F2" s="509" t="s">
        <v>567</v>
      </c>
    </row>
    <row r="3" spans="1:6" s="297" customFormat="1" ht="11.25" customHeight="1">
      <c r="A3" s="894"/>
      <c r="B3" s="897"/>
      <c r="C3" s="390">
        <f>'21. ANEXOII-1'!C4</f>
        <v>44712.78125</v>
      </c>
      <c r="D3" s="390">
        <f>'21. ANEXOII-1'!D4</f>
        <v>44342.75</v>
      </c>
      <c r="E3" s="390">
        <f>'21. ANEXOII-1'!E4</f>
        <v>44614.822916666664</v>
      </c>
      <c r="F3" s="510" t="s">
        <v>348</v>
      </c>
    </row>
    <row r="4" spans="1:6" s="297" customFormat="1" ht="11.25" customHeight="1">
      <c r="A4" s="901"/>
      <c r="B4" s="903"/>
      <c r="C4" s="391">
        <f>+'8. Max Potencia'!D9</f>
        <v>44712.78125</v>
      </c>
      <c r="D4" s="391">
        <f>+'8. Max Potencia'!E9</f>
        <v>44342.75</v>
      </c>
      <c r="E4" s="391">
        <f>+'22. ANEXOII-2'!E4</f>
        <v>44614.822916666664</v>
      </c>
      <c r="F4" s="511" t="s">
        <v>349</v>
      </c>
    </row>
    <row r="5" spans="1:6" s="297" customFormat="1" ht="9" customHeight="1">
      <c r="A5" s="530" t="s">
        <v>107</v>
      </c>
      <c r="B5" s="297" t="s">
        <v>230</v>
      </c>
      <c r="C5" s="501">
        <v>0</v>
      </c>
      <c r="D5" s="501">
        <v>0</v>
      </c>
      <c r="E5" s="501">
        <v>0</v>
      </c>
      <c r="F5" s="637" t="str">
        <f t="shared" ref="F5:F54" si="0">+IF(D5=0,"",C5/D5-1)</f>
        <v/>
      </c>
    </row>
    <row r="6" spans="1:6" s="297" customFormat="1" ht="9" customHeight="1">
      <c r="A6" s="531" t="s">
        <v>522</v>
      </c>
      <c r="B6" s="399"/>
      <c r="C6" s="400">
        <v>0</v>
      </c>
      <c r="D6" s="400">
        <v>0</v>
      </c>
      <c r="E6" s="400">
        <v>0</v>
      </c>
      <c r="F6" s="636" t="str">
        <f t="shared" si="0"/>
        <v/>
      </c>
    </row>
    <row r="7" spans="1:6" s="297" customFormat="1" ht="9" customHeight="1">
      <c r="A7" s="530" t="s">
        <v>407</v>
      </c>
      <c r="B7" s="297" t="s">
        <v>85</v>
      </c>
      <c r="C7" s="501">
        <v>2.9012700000000002</v>
      </c>
      <c r="D7" s="501">
        <v>2.8522999999999996</v>
      </c>
      <c r="E7" s="501">
        <v>2.8462000000000001</v>
      </c>
      <c r="F7" s="637">
        <f t="shared" si="0"/>
        <v>1.7168600778319387E-2</v>
      </c>
    </row>
    <row r="8" spans="1:6" s="297" customFormat="1" ht="9" customHeight="1">
      <c r="A8" s="530"/>
      <c r="B8" s="297" t="s">
        <v>84</v>
      </c>
      <c r="C8" s="501">
        <v>3.0582799999999999</v>
      </c>
      <c r="D8" s="501">
        <v>3.1364000000000001</v>
      </c>
      <c r="E8" s="501">
        <v>2.911</v>
      </c>
      <c r="F8" s="637">
        <f t="shared" si="0"/>
        <v>-2.4907537303915372E-2</v>
      </c>
    </row>
    <row r="9" spans="1:6" s="297" customFormat="1" ht="9" customHeight="1">
      <c r="A9" s="530"/>
      <c r="B9" s="297" t="s">
        <v>422</v>
      </c>
      <c r="C9" s="501">
        <v>1.20025</v>
      </c>
      <c r="D9" s="501">
        <v>1.1971000000000001</v>
      </c>
      <c r="E9" s="501">
        <v>2.4030999999999998</v>
      </c>
      <c r="F9" s="637">
        <f t="shared" si="0"/>
        <v>2.6313591178681595E-3</v>
      </c>
    </row>
    <row r="10" spans="1:6" s="297" customFormat="1" ht="9" customHeight="1">
      <c r="A10" s="530"/>
      <c r="B10" s="297" t="s">
        <v>459</v>
      </c>
      <c r="C10" s="501">
        <v>1.20198</v>
      </c>
      <c r="D10" s="501">
        <v>2.4022000000000001</v>
      </c>
      <c r="E10" s="501">
        <v>2.1562999999999999</v>
      </c>
      <c r="F10" s="637">
        <f t="shared" si="0"/>
        <v>-0.49963366913662477</v>
      </c>
    </row>
    <row r="11" spans="1:6" s="297" customFormat="1" ht="9" customHeight="1">
      <c r="A11" s="531" t="s">
        <v>523</v>
      </c>
      <c r="B11" s="399"/>
      <c r="C11" s="400">
        <v>8.3617800000000013</v>
      </c>
      <c r="D11" s="400">
        <v>9.5879999999999992</v>
      </c>
      <c r="E11" s="400">
        <v>10.316599999999999</v>
      </c>
      <c r="F11" s="636">
        <f t="shared" si="0"/>
        <v>-0.12789111389236529</v>
      </c>
    </row>
    <row r="12" spans="1:6" s="297" customFormat="1" ht="9" customHeight="1">
      <c r="A12" s="530" t="s">
        <v>241</v>
      </c>
      <c r="B12" s="297" t="s">
        <v>328</v>
      </c>
      <c r="C12" s="501">
        <v>0</v>
      </c>
      <c r="D12" s="501">
        <v>0</v>
      </c>
      <c r="E12" s="501">
        <v>0</v>
      </c>
      <c r="F12" s="637" t="str">
        <f t="shared" si="0"/>
        <v/>
      </c>
    </row>
    <row r="13" spans="1:6" s="297" customFormat="1" ht="9" customHeight="1">
      <c r="A13" s="531" t="s">
        <v>524</v>
      </c>
      <c r="B13" s="399"/>
      <c r="C13" s="400">
        <v>0</v>
      </c>
      <c r="D13" s="400">
        <v>0</v>
      </c>
      <c r="E13" s="400">
        <v>0</v>
      </c>
      <c r="F13" s="636" t="str">
        <f t="shared" si="0"/>
        <v/>
      </c>
    </row>
    <row r="14" spans="1:6" s="297" customFormat="1" ht="9" customHeight="1">
      <c r="A14" s="530" t="s">
        <v>463</v>
      </c>
      <c r="B14" s="297" t="s">
        <v>82</v>
      </c>
      <c r="C14" s="501">
        <v>0</v>
      </c>
      <c r="D14" s="501">
        <v>0</v>
      </c>
      <c r="E14" s="501">
        <v>0</v>
      </c>
      <c r="F14" s="637" t="str">
        <f t="shared" si="0"/>
        <v/>
      </c>
    </row>
    <row r="15" spans="1:6" s="297" customFormat="1" ht="9" customHeight="1">
      <c r="A15" s="531" t="s">
        <v>525</v>
      </c>
      <c r="B15" s="399"/>
      <c r="C15" s="400">
        <v>0</v>
      </c>
      <c r="D15" s="400">
        <v>0</v>
      </c>
      <c r="E15" s="400">
        <v>0</v>
      </c>
      <c r="F15" s="636" t="str">
        <f t="shared" si="0"/>
        <v/>
      </c>
    </row>
    <row r="16" spans="1:6" s="297" customFormat="1" ht="9" customHeight="1">
      <c r="A16" s="530" t="s">
        <v>437</v>
      </c>
      <c r="B16" s="297" t="s">
        <v>448</v>
      </c>
      <c r="C16" s="501">
        <v>13.17625</v>
      </c>
      <c r="D16" s="501">
        <v>16.731850000000001</v>
      </c>
      <c r="E16" s="501">
        <v>19.959029999999998</v>
      </c>
      <c r="F16" s="637">
        <f t="shared" si="0"/>
        <v>-0.21250489336206102</v>
      </c>
    </row>
    <row r="17" spans="1:6" s="297" customFormat="1" ht="9" customHeight="1">
      <c r="A17" s="531" t="s">
        <v>526</v>
      </c>
      <c r="B17" s="399"/>
      <c r="C17" s="400">
        <v>13.17625</v>
      </c>
      <c r="D17" s="400">
        <v>16.731850000000001</v>
      </c>
      <c r="E17" s="400">
        <v>19.959029999999998</v>
      </c>
      <c r="F17" s="636">
        <f t="shared" si="0"/>
        <v>-0.21250489336206102</v>
      </c>
    </row>
    <row r="18" spans="1:6" s="297" customFormat="1" ht="9" customHeight="1">
      <c r="A18" s="530" t="s">
        <v>104</v>
      </c>
      <c r="B18" s="297" t="s">
        <v>61</v>
      </c>
      <c r="C18" s="501">
        <v>14.582840000000001</v>
      </c>
      <c r="D18" s="501">
        <v>18.26586</v>
      </c>
      <c r="E18" s="501">
        <v>18.51557</v>
      </c>
      <c r="F18" s="637">
        <f t="shared" si="0"/>
        <v>-0.20163408676076566</v>
      </c>
    </row>
    <row r="19" spans="1:6" s="297" customFormat="1" ht="9" customHeight="1">
      <c r="A19" s="531" t="s">
        <v>527</v>
      </c>
      <c r="B19" s="399"/>
      <c r="C19" s="400">
        <v>14.582840000000001</v>
      </c>
      <c r="D19" s="400">
        <v>18.26586</v>
      </c>
      <c r="E19" s="400">
        <v>18.51557</v>
      </c>
      <c r="F19" s="636">
        <f t="shared" si="0"/>
        <v>-0.20163408676076566</v>
      </c>
    </row>
    <row r="20" spans="1:6" s="297" customFormat="1" ht="9" customHeight="1">
      <c r="A20" s="530" t="s">
        <v>242</v>
      </c>
      <c r="B20" s="297" t="s">
        <v>329</v>
      </c>
      <c r="C20" s="501">
        <v>0</v>
      </c>
      <c r="D20" s="501">
        <v>0</v>
      </c>
      <c r="E20" s="501">
        <v>0</v>
      </c>
      <c r="F20" s="637" t="str">
        <f t="shared" si="0"/>
        <v/>
      </c>
    </row>
    <row r="21" spans="1:6" s="297" customFormat="1" ht="9" customHeight="1">
      <c r="A21" s="531" t="s">
        <v>528</v>
      </c>
      <c r="B21" s="399"/>
      <c r="C21" s="400">
        <v>0</v>
      </c>
      <c r="D21" s="400">
        <v>0</v>
      </c>
      <c r="E21" s="400">
        <v>0</v>
      </c>
      <c r="F21" s="636" t="str">
        <f t="shared" si="0"/>
        <v/>
      </c>
    </row>
    <row r="22" spans="1:6" s="297" customFormat="1" ht="9" customHeight="1">
      <c r="A22" s="530" t="s">
        <v>95</v>
      </c>
      <c r="B22" s="297" t="s">
        <v>330</v>
      </c>
      <c r="C22" s="501">
        <v>97.521780000000007</v>
      </c>
      <c r="D22" s="501">
        <v>108.01138</v>
      </c>
      <c r="E22" s="501">
        <v>108.54145</v>
      </c>
      <c r="F22" s="637">
        <f t="shared" si="0"/>
        <v>-9.7115692809405796E-2</v>
      </c>
    </row>
    <row r="23" spans="1:6" s="297" customFormat="1" ht="9" customHeight="1">
      <c r="A23" s="530"/>
      <c r="B23" s="297" t="s">
        <v>574</v>
      </c>
      <c r="C23" s="501">
        <v>0</v>
      </c>
      <c r="D23" s="501"/>
      <c r="E23" s="501">
        <v>2.1795900000000001</v>
      </c>
      <c r="F23" s="637"/>
    </row>
    <row r="24" spans="1:6" s="297" customFormat="1" ht="9" customHeight="1">
      <c r="A24" s="531" t="s">
        <v>529</v>
      </c>
      <c r="B24" s="399"/>
      <c r="C24" s="400">
        <v>97.521780000000007</v>
      </c>
      <c r="D24" s="400">
        <v>108.01138</v>
      </c>
      <c r="E24" s="400">
        <v>110.72104</v>
      </c>
      <c r="F24" s="636">
        <f t="shared" si="0"/>
        <v>-9.7115692809405796E-2</v>
      </c>
    </row>
    <row r="25" spans="1:6" s="297" customFormat="1" ht="9" customHeight="1">
      <c r="A25" s="530" t="s">
        <v>424</v>
      </c>
      <c r="B25" s="297" t="s">
        <v>454</v>
      </c>
      <c r="C25" s="501">
        <v>0</v>
      </c>
      <c r="D25" s="501">
        <v>5.915</v>
      </c>
      <c r="E25" s="501">
        <v>0</v>
      </c>
      <c r="F25" s="637">
        <f t="shared" si="0"/>
        <v>-1</v>
      </c>
    </row>
    <row r="26" spans="1:6" s="297" customFormat="1" ht="9" customHeight="1">
      <c r="A26" s="531" t="s">
        <v>530</v>
      </c>
      <c r="B26" s="399"/>
      <c r="C26" s="400">
        <v>0</v>
      </c>
      <c r="D26" s="400">
        <v>5.915</v>
      </c>
      <c r="E26" s="400">
        <v>0</v>
      </c>
      <c r="F26" s="636">
        <f t="shared" si="0"/>
        <v>-1</v>
      </c>
    </row>
    <row r="27" spans="1:6" s="297" customFormat="1" ht="9" customHeight="1">
      <c r="A27" s="530" t="s">
        <v>398</v>
      </c>
      <c r="B27" s="297" t="s">
        <v>402</v>
      </c>
      <c r="C27" s="501">
        <v>20.015000000000001</v>
      </c>
      <c r="D27" s="501">
        <v>19.994199999999999</v>
      </c>
      <c r="E27" s="501">
        <v>20.125959999999999</v>
      </c>
      <c r="F27" s="637">
        <f t="shared" si="0"/>
        <v>1.0403016874893645E-3</v>
      </c>
    </row>
    <row r="28" spans="1:6" s="297" customFormat="1" ht="9" customHeight="1">
      <c r="A28" s="531" t="s">
        <v>531</v>
      </c>
      <c r="B28" s="399"/>
      <c r="C28" s="400">
        <v>20.015000000000001</v>
      </c>
      <c r="D28" s="400">
        <v>19.994199999999999</v>
      </c>
      <c r="E28" s="400">
        <v>20.125959999999999</v>
      </c>
      <c r="F28" s="636">
        <f t="shared" si="0"/>
        <v>1.0403016874893645E-3</v>
      </c>
    </row>
    <row r="29" spans="1:6" s="297" customFormat="1" ht="9" customHeight="1">
      <c r="A29" s="530" t="s">
        <v>102</v>
      </c>
      <c r="B29" s="297" t="s">
        <v>331</v>
      </c>
      <c r="C29" s="501">
        <v>0</v>
      </c>
      <c r="D29" s="501">
        <v>0</v>
      </c>
      <c r="E29" s="501">
        <v>26.05641</v>
      </c>
      <c r="F29" s="637" t="str">
        <f t="shared" si="0"/>
        <v/>
      </c>
    </row>
    <row r="30" spans="1:6" s="297" customFormat="1" ht="9" customHeight="1">
      <c r="A30" s="531" t="s">
        <v>532</v>
      </c>
      <c r="B30" s="399"/>
      <c r="C30" s="400">
        <v>0</v>
      </c>
      <c r="D30" s="400">
        <v>0</v>
      </c>
      <c r="E30" s="400">
        <v>26.05641</v>
      </c>
      <c r="F30" s="636" t="str">
        <f t="shared" si="0"/>
        <v/>
      </c>
    </row>
    <row r="31" spans="1:6" s="297" customFormat="1" ht="9" customHeight="1">
      <c r="A31" s="530" t="s">
        <v>117</v>
      </c>
      <c r="B31" s="297" t="s">
        <v>332</v>
      </c>
      <c r="C31" s="501">
        <v>0</v>
      </c>
      <c r="D31" s="501">
        <v>0</v>
      </c>
      <c r="E31" s="501">
        <v>0</v>
      </c>
      <c r="F31" s="637" t="str">
        <f t="shared" si="0"/>
        <v/>
      </c>
    </row>
    <row r="32" spans="1:6" s="297" customFormat="1" ht="9" customHeight="1">
      <c r="A32" s="531" t="s">
        <v>533</v>
      </c>
      <c r="B32" s="399"/>
      <c r="C32" s="400">
        <v>0</v>
      </c>
      <c r="D32" s="400">
        <v>0</v>
      </c>
      <c r="E32" s="400">
        <v>0</v>
      </c>
      <c r="F32" s="636" t="str">
        <f t="shared" si="0"/>
        <v/>
      </c>
    </row>
    <row r="33" spans="1:6" s="297" customFormat="1" ht="9" customHeight="1">
      <c r="A33" s="530" t="s">
        <v>111</v>
      </c>
      <c r="B33" s="297" t="s">
        <v>449</v>
      </c>
      <c r="C33" s="501">
        <v>17.989289999999997</v>
      </c>
      <c r="D33" s="501">
        <v>19.044899999999998</v>
      </c>
      <c r="E33" s="501">
        <v>19.968820000000001</v>
      </c>
      <c r="F33" s="637">
        <f t="shared" si="0"/>
        <v>-5.5427437266669877E-2</v>
      </c>
    </row>
    <row r="34" spans="1:6" s="297" customFormat="1" ht="9" customHeight="1">
      <c r="A34" s="530"/>
      <c r="B34" s="297" t="s">
        <v>69</v>
      </c>
      <c r="C34" s="501">
        <v>7.92943</v>
      </c>
      <c r="D34" s="501">
        <v>6.6079699999999999</v>
      </c>
      <c r="E34" s="501">
        <v>7.4912200000000002</v>
      </c>
      <c r="F34" s="637">
        <f t="shared" si="0"/>
        <v>0.19997972145757315</v>
      </c>
    </row>
    <row r="35" spans="1:6" s="297" customFormat="1" ht="9" customHeight="1">
      <c r="A35" s="531" t="s">
        <v>534</v>
      </c>
      <c r="B35" s="399"/>
      <c r="C35" s="400">
        <v>25.918719999999997</v>
      </c>
      <c r="D35" s="400">
        <v>25.65287</v>
      </c>
      <c r="E35" s="400">
        <v>27.460039999999999</v>
      </c>
      <c r="F35" s="636">
        <f t="shared" si="0"/>
        <v>1.0363362851797842E-2</v>
      </c>
    </row>
    <row r="36" spans="1:6" s="297" customFormat="1" ht="9" customHeight="1">
      <c r="A36" s="530" t="s">
        <v>90</v>
      </c>
      <c r="B36" s="297" t="s">
        <v>333</v>
      </c>
      <c r="C36" s="501">
        <v>36.705569999999994</v>
      </c>
      <c r="D36" s="501">
        <v>21.890689999999999</v>
      </c>
      <c r="E36" s="501">
        <v>42.807389999999998</v>
      </c>
      <c r="F36" s="637">
        <f t="shared" si="0"/>
        <v>0.67676624172193733</v>
      </c>
    </row>
    <row r="37" spans="1:6" s="297" customFormat="1" ht="9" customHeight="1">
      <c r="A37" s="530"/>
      <c r="B37" s="297" t="s">
        <v>334</v>
      </c>
      <c r="C37" s="501">
        <v>43.709670000000003</v>
      </c>
      <c r="D37" s="501">
        <v>103.22845000000001</v>
      </c>
      <c r="E37" s="501">
        <v>169.51241999999999</v>
      </c>
      <c r="F37" s="637">
        <f t="shared" si="0"/>
        <v>-0.57657341556518582</v>
      </c>
    </row>
    <row r="38" spans="1:6" s="297" customFormat="1" ht="9" customHeight="1">
      <c r="A38" s="530"/>
      <c r="B38" s="297" t="s">
        <v>335</v>
      </c>
      <c r="C38" s="501">
        <v>13.877520000000001</v>
      </c>
      <c r="D38" s="501">
        <v>16.862829999999999</v>
      </c>
      <c r="E38" s="501">
        <v>31.3628</v>
      </c>
      <c r="F38" s="637">
        <f t="shared" si="0"/>
        <v>-0.17703493423108685</v>
      </c>
    </row>
    <row r="39" spans="1:6" s="297" customFormat="1" ht="9" customHeight="1">
      <c r="A39" s="530"/>
      <c r="B39" s="297" t="s">
        <v>336</v>
      </c>
      <c r="C39" s="501">
        <v>0.21597</v>
      </c>
      <c r="D39" s="501">
        <v>0.2233</v>
      </c>
      <c r="E39" s="501">
        <v>0.21573999999999999</v>
      </c>
      <c r="F39" s="637">
        <f t="shared" si="0"/>
        <v>-3.2825794894760452E-2</v>
      </c>
    </row>
    <row r="40" spans="1:6" s="297" customFormat="1" ht="9" customHeight="1">
      <c r="A40" s="530"/>
      <c r="B40" s="297" t="s">
        <v>337</v>
      </c>
      <c r="C40" s="501">
        <v>15.9407</v>
      </c>
      <c r="D40" s="501">
        <v>5.96183</v>
      </c>
      <c r="E40" s="501">
        <v>43.877959999999995</v>
      </c>
      <c r="F40" s="637">
        <f t="shared" si="0"/>
        <v>1.6737931138593352</v>
      </c>
    </row>
    <row r="41" spans="1:6" s="297" customFormat="1" ht="9" customHeight="1">
      <c r="A41" s="530"/>
      <c r="B41" s="297" t="s">
        <v>338</v>
      </c>
      <c r="C41" s="501">
        <v>3.1241599999999998</v>
      </c>
      <c r="D41" s="501">
        <v>3.2113399999999999</v>
      </c>
      <c r="E41" s="501">
        <v>3.8429899999999999</v>
      </c>
      <c r="F41" s="637">
        <f t="shared" si="0"/>
        <v>-2.7147545884272595E-2</v>
      </c>
    </row>
    <row r="42" spans="1:6" s="297" customFormat="1" ht="9" customHeight="1">
      <c r="A42" s="530"/>
      <c r="B42" s="297" t="s">
        <v>339</v>
      </c>
      <c r="C42" s="501">
        <v>6.8569199999999997</v>
      </c>
      <c r="D42" s="501">
        <v>4.7779199999999999</v>
      </c>
      <c r="E42" s="501">
        <v>8.15076</v>
      </c>
      <c r="F42" s="637">
        <f t="shared" si="0"/>
        <v>0.43512658227848089</v>
      </c>
    </row>
    <row r="43" spans="1:6" s="297" customFormat="1" ht="9" customHeight="1">
      <c r="A43" s="530"/>
      <c r="B43" s="297" t="s">
        <v>340</v>
      </c>
      <c r="C43" s="501">
        <v>2.2772199999999998</v>
      </c>
      <c r="D43" s="501">
        <v>0</v>
      </c>
      <c r="E43" s="501">
        <v>0</v>
      </c>
      <c r="F43" s="637" t="str">
        <f t="shared" si="0"/>
        <v/>
      </c>
    </row>
    <row r="44" spans="1:6" s="297" customFormat="1" ht="9" customHeight="1">
      <c r="A44" s="530"/>
      <c r="B44" s="297" t="s">
        <v>341</v>
      </c>
      <c r="C44" s="501">
        <v>2.9723800000000002</v>
      </c>
      <c r="D44" s="501">
        <v>4.3353600000000005</v>
      </c>
      <c r="E44" s="501">
        <v>3.6586699999999999</v>
      </c>
      <c r="F44" s="637">
        <f t="shared" si="0"/>
        <v>-0.31438680986123413</v>
      </c>
    </row>
    <row r="45" spans="1:6" s="297" customFormat="1" ht="9" customHeight="1">
      <c r="A45" s="530"/>
      <c r="B45" s="297" t="s">
        <v>342</v>
      </c>
      <c r="C45" s="501">
        <v>0.45297999999999999</v>
      </c>
      <c r="D45" s="501">
        <v>0.37728</v>
      </c>
      <c r="E45" s="501">
        <v>0.43784000000000001</v>
      </c>
      <c r="F45" s="637">
        <f t="shared" si="0"/>
        <v>0.2006467345207803</v>
      </c>
    </row>
    <row r="46" spans="1:6" s="297" customFormat="1" ht="9" customHeight="1">
      <c r="A46" s="530"/>
      <c r="B46" s="297" t="s">
        <v>343</v>
      </c>
      <c r="C46" s="501">
        <v>0.34290999999999999</v>
      </c>
      <c r="D46" s="501">
        <v>0.32203999999999999</v>
      </c>
      <c r="E46" s="501">
        <v>0.32530999999999999</v>
      </c>
      <c r="F46" s="637">
        <f t="shared" si="0"/>
        <v>6.4805614209414886E-2</v>
      </c>
    </row>
    <row r="47" spans="1:6" s="297" customFormat="1" ht="9" customHeight="1">
      <c r="A47" s="530"/>
      <c r="B47" s="297" t="s">
        <v>344</v>
      </c>
      <c r="C47" s="501">
        <v>105.35342</v>
      </c>
      <c r="D47" s="501">
        <v>106.87019000000001</v>
      </c>
      <c r="E47" s="501">
        <v>105.19221999999999</v>
      </c>
      <c r="F47" s="637">
        <f t="shared" si="0"/>
        <v>-1.4192638751741815E-2</v>
      </c>
    </row>
    <row r="48" spans="1:6" s="297" customFormat="1" ht="9" customHeight="1">
      <c r="A48" s="531" t="s">
        <v>535</v>
      </c>
      <c r="B48" s="399"/>
      <c r="C48" s="400">
        <v>231.82942000000003</v>
      </c>
      <c r="D48" s="400">
        <v>268.06123000000002</v>
      </c>
      <c r="E48" s="400">
        <v>409.38409999999988</v>
      </c>
      <c r="F48" s="636">
        <f t="shared" si="0"/>
        <v>-0.1351624403126106</v>
      </c>
    </row>
    <row r="49" spans="1:22" s="297" customFormat="1" ht="9" customHeight="1">
      <c r="A49" s="530" t="s">
        <v>109</v>
      </c>
      <c r="B49" s="297" t="s">
        <v>229</v>
      </c>
      <c r="C49" s="501">
        <v>0</v>
      </c>
      <c r="D49" s="501">
        <v>0</v>
      </c>
      <c r="E49" s="501">
        <v>0</v>
      </c>
      <c r="F49" s="637" t="str">
        <f t="shared" si="0"/>
        <v/>
      </c>
    </row>
    <row r="50" spans="1:22" s="297" customFormat="1" ht="9" customHeight="1">
      <c r="A50" s="531" t="s">
        <v>536</v>
      </c>
      <c r="B50" s="399"/>
      <c r="C50" s="400">
        <v>0</v>
      </c>
      <c r="D50" s="400">
        <v>0</v>
      </c>
      <c r="E50" s="400">
        <v>0</v>
      </c>
      <c r="F50" s="636" t="str">
        <f t="shared" si="0"/>
        <v/>
      </c>
    </row>
    <row r="51" spans="1:22" s="297" customFormat="1" ht="9" customHeight="1">
      <c r="A51" s="530" t="s">
        <v>100</v>
      </c>
      <c r="B51" s="297" t="s">
        <v>426</v>
      </c>
      <c r="C51" s="501">
        <v>197.02189000000001</v>
      </c>
      <c r="D51" s="501">
        <v>0</v>
      </c>
      <c r="E51" s="501">
        <v>282.49957000000001</v>
      </c>
      <c r="F51" s="637" t="str">
        <f t="shared" si="0"/>
        <v/>
      </c>
    </row>
    <row r="52" spans="1:22" s="297" customFormat="1" ht="9" customHeight="1">
      <c r="A52" s="531" t="s">
        <v>537</v>
      </c>
      <c r="B52" s="399"/>
      <c r="C52" s="400">
        <v>197.02189000000001</v>
      </c>
      <c r="D52" s="400">
        <v>0</v>
      </c>
      <c r="E52" s="400">
        <v>282.49957000000001</v>
      </c>
      <c r="F52" s="636" t="str">
        <f t="shared" si="0"/>
        <v/>
      </c>
    </row>
    <row r="53" spans="1:22" s="297" customFormat="1" ht="9" customHeight="1">
      <c r="A53" s="530" t="s">
        <v>105</v>
      </c>
      <c r="B53" s="297" t="s">
        <v>345</v>
      </c>
      <c r="C53" s="501">
        <v>86.416169999999994</v>
      </c>
      <c r="D53" s="501">
        <v>86.041039999999995</v>
      </c>
      <c r="E53" s="501">
        <v>0</v>
      </c>
      <c r="F53" s="637">
        <f t="shared" si="0"/>
        <v>4.3598961611808207E-3</v>
      </c>
    </row>
    <row r="54" spans="1:22" s="297" customFormat="1" ht="9" customHeight="1">
      <c r="A54" s="531" t="s">
        <v>538</v>
      </c>
      <c r="B54" s="399"/>
      <c r="C54" s="400">
        <v>86.416169999999994</v>
      </c>
      <c r="D54" s="400">
        <v>86.041039999999995</v>
      </c>
      <c r="E54" s="400">
        <v>0</v>
      </c>
      <c r="F54" s="636">
        <f t="shared" si="0"/>
        <v>4.3598961611808207E-3</v>
      </c>
    </row>
    <row r="55" spans="1:22" s="324" customFormat="1" ht="12" customHeight="1">
      <c r="A55" s="385" t="s">
        <v>400</v>
      </c>
      <c r="B55" s="394"/>
      <c r="C55" s="384">
        <v>6908.9537000000037</v>
      </c>
      <c r="D55" s="384">
        <v>6830.1017300000021</v>
      </c>
      <c r="E55" s="384">
        <v>7146.7645799999946</v>
      </c>
      <c r="F55" s="514">
        <f>+IF(D55=0,"",C55/D55-1)</f>
        <v>1.1544772408536463E-2</v>
      </c>
      <c r="G55" s="268"/>
      <c r="H55" s="268"/>
      <c r="I55" s="268"/>
      <c r="J55" s="268"/>
      <c r="K55" s="268"/>
      <c r="L55" s="268"/>
      <c r="M55" s="268"/>
      <c r="N55" s="268"/>
      <c r="O55" s="268"/>
      <c r="P55" s="268"/>
      <c r="Q55" s="268"/>
      <c r="R55" s="268"/>
      <c r="S55" s="268"/>
      <c r="T55" s="268"/>
      <c r="U55" s="268"/>
      <c r="V55" s="268"/>
    </row>
    <row r="56" spans="1:22" s="324" customFormat="1" ht="12" customHeight="1">
      <c r="A56" s="394" t="s">
        <v>346</v>
      </c>
      <c r="B56" s="385"/>
      <c r="C56" s="384">
        <f>+'8. Max Potencia'!D16</f>
        <v>52.414000000000001</v>
      </c>
      <c r="D56" s="384">
        <f>+'8. Max Potencia'!E16</f>
        <v>39.607999999999997</v>
      </c>
      <c r="E56" s="387">
        <v>0</v>
      </c>
      <c r="F56" s="515">
        <v>0</v>
      </c>
      <c r="G56" s="268"/>
      <c r="H56" s="268"/>
      <c r="I56" s="268"/>
      <c r="J56" s="268"/>
      <c r="K56" s="268"/>
      <c r="L56" s="268"/>
      <c r="M56" s="268"/>
      <c r="N56" s="268"/>
      <c r="O56" s="268"/>
      <c r="P56" s="268"/>
      <c r="Q56" s="268"/>
      <c r="R56" s="268"/>
      <c r="S56" s="268"/>
      <c r="T56" s="268"/>
      <c r="U56" s="268"/>
      <c r="V56" s="268"/>
    </row>
    <row r="57" spans="1:22" s="324" customFormat="1" ht="12" customHeight="1">
      <c r="A57" s="516" t="s">
        <v>347</v>
      </c>
      <c r="B57" s="516"/>
      <c r="C57" s="384">
        <v>0</v>
      </c>
      <c r="D57" s="384">
        <v>0</v>
      </c>
      <c r="E57" s="387">
        <v>0</v>
      </c>
      <c r="F57" s="515">
        <v>0</v>
      </c>
      <c r="G57" s="268"/>
      <c r="H57" s="268"/>
      <c r="I57" s="268"/>
      <c r="J57" s="268"/>
      <c r="K57" s="268"/>
      <c r="L57" s="268"/>
      <c r="M57" s="268"/>
      <c r="N57" s="268"/>
      <c r="O57" s="268"/>
      <c r="P57" s="268"/>
      <c r="Q57" s="268"/>
      <c r="R57" s="268"/>
      <c r="S57" s="268"/>
      <c r="T57" s="268"/>
      <c r="U57" s="268"/>
      <c r="V57" s="268"/>
    </row>
    <row r="58" spans="1:22" ht="12" customHeight="1">
      <c r="A58" s="553" t="s">
        <v>443</v>
      </c>
      <c r="B58" s="516"/>
      <c r="C58" s="384">
        <f>+C55+C56-C57</f>
        <v>6961.3677000000034</v>
      </c>
      <c r="D58" s="384">
        <f>+D55+D56-D57</f>
        <v>6869.7097300000023</v>
      </c>
      <c r="E58" s="384">
        <f>+E55+E56-E57</f>
        <v>7146.7645799999946</v>
      </c>
      <c r="F58" s="514">
        <f>+IF(D58=0,"",C58/D58-1)</f>
        <v>1.3342335208099243E-2</v>
      </c>
    </row>
    <row r="59" spans="1:22" ht="7.2" customHeight="1">
      <c r="A59" s="297"/>
    </row>
    <row r="60" spans="1:22" ht="27.75" customHeight="1">
      <c r="A60" s="892" t="s">
        <v>547</v>
      </c>
      <c r="B60" s="892"/>
      <c r="C60" s="892"/>
      <c r="D60" s="892"/>
      <c r="E60" s="892"/>
      <c r="F60" s="892"/>
    </row>
    <row r="61" spans="1:22" ht="7.95" customHeight="1">
      <c r="A61" s="905"/>
      <c r="B61" s="905"/>
      <c r="C61" s="905"/>
      <c r="D61" s="905"/>
      <c r="E61" s="905"/>
      <c r="F61" s="905"/>
      <c r="G61" s="543"/>
    </row>
    <row r="62" spans="1:22" ht="10.199999999999999" customHeight="1">
      <c r="A62" s="756" t="s">
        <v>575</v>
      </c>
      <c r="B62" s="732"/>
      <c r="C62" s="732"/>
      <c r="D62" s="732"/>
      <c r="E62" s="732"/>
      <c r="F62" s="732"/>
      <c r="G62" s="543"/>
    </row>
  </sheetData>
  <mergeCells count="5">
    <mergeCell ref="A1:A4"/>
    <mergeCell ref="B1:B4"/>
    <mergeCell ref="C1:F1"/>
    <mergeCell ref="A60:F60"/>
    <mergeCell ref="A61:F61"/>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56"/>
  <sheetViews>
    <sheetView showGridLines="0" view="pageBreakPreview" zoomScaleNormal="100" zoomScaleSheetLayoutView="100" workbookViewId="0">
      <selection activeCell="R35" sqref="R35"/>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1" t="s">
        <v>359</v>
      </c>
      <c r="B3" s="269"/>
    </row>
    <row r="4" spans="1:13" ht="11.25" customHeight="1">
      <c r="B4" s="269"/>
    </row>
    <row r="5" spans="1:13" ht="11.25" customHeight="1">
      <c r="A5" s="270" t="s">
        <v>405</v>
      </c>
      <c r="C5" s="269">
        <v>6961.3677799999996</v>
      </c>
    </row>
    <row r="6" spans="1:13" ht="11.25" customHeight="1">
      <c r="A6" s="270" t="s">
        <v>360</v>
      </c>
      <c r="C6" s="269" t="s">
        <v>647</v>
      </c>
    </row>
    <row r="7" spans="1:13" ht="11.25" customHeight="1">
      <c r="A7" s="270" t="s">
        <v>361</v>
      </c>
      <c r="C7" s="269" t="s">
        <v>588</v>
      </c>
    </row>
    <row r="8" spans="1:13" ht="11.25" customHeight="1"/>
    <row r="9" spans="1:13" ht="14.25" customHeight="1">
      <c r="A9" s="906" t="s">
        <v>352</v>
      </c>
      <c r="B9" s="909" t="s">
        <v>353</v>
      </c>
      <c r="C9" s="910"/>
      <c r="D9" s="910"/>
      <c r="E9" s="910"/>
      <c r="F9" s="911"/>
      <c r="G9" s="909" t="s">
        <v>354</v>
      </c>
      <c r="H9" s="910"/>
      <c r="I9" s="910"/>
      <c r="J9" s="910"/>
      <c r="K9" s="911"/>
    </row>
    <row r="10" spans="1:13" ht="26.25" customHeight="1">
      <c r="A10" s="907"/>
      <c r="B10" s="392" t="s">
        <v>355</v>
      </c>
      <c r="C10" s="392" t="s">
        <v>197</v>
      </c>
      <c r="D10" s="392" t="s">
        <v>346</v>
      </c>
      <c r="E10" s="392" t="s">
        <v>347</v>
      </c>
      <c r="F10" s="393" t="s">
        <v>358</v>
      </c>
      <c r="G10" s="392" t="s">
        <v>355</v>
      </c>
      <c r="H10" s="392" t="s">
        <v>197</v>
      </c>
      <c r="I10" s="392" t="s">
        <v>346</v>
      </c>
      <c r="J10" s="392" t="s">
        <v>347</v>
      </c>
      <c r="K10" s="393" t="s">
        <v>358</v>
      </c>
      <c r="L10" s="36"/>
      <c r="M10" s="46"/>
    </row>
    <row r="11" spans="1:13" ht="11.25" customHeight="1">
      <c r="A11" s="908"/>
      <c r="B11" s="392" t="s">
        <v>356</v>
      </c>
      <c r="C11" s="392" t="s">
        <v>357</v>
      </c>
      <c r="D11" s="392" t="s">
        <v>357</v>
      </c>
      <c r="E11" s="392" t="s">
        <v>357</v>
      </c>
      <c r="F11" s="392" t="s">
        <v>357</v>
      </c>
      <c r="G11" s="392" t="s">
        <v>356</v>
      </c>
      <c r="H11" s="392" t="s">
        <v>357</v>
      </c>
      <c r="I11" s="392" t="s">
        <v>357</v>
      </c>
      <c r="J11" s="392" t="s">
        <v>357</v>
      </c>
      <c r="K11" s="392" t="s">
        <v>357</v>
      </c>
      <c r="L11" s="36"/>
      <c r="M11" s="46"/>
    </row>
    <row r="12" spans="1:13" ht="14.25" customHeight="1">
      <c r="A12" s="778" t="s">
        <v>648</v>
      </c>
      <c r="B12" s="779" t="s">
        <v>649</v>
      </c>
      <c r="C12" s="779">
        <v>5743.1355199999998</v>
      </c>
      <c r="D12" s="779">
        <v>0</v>
      </c>
      <c r="E12" s="779">
        <v>0</v>
      </c>
      <c r="F12" s="779">
        <v>5743.1355199999998</v>
      </c>
      <c r="G12" s="779" t="s">
        <v>441</v>
      </c>
      <c r="H12" s="779">
        <v>6302.3562700000002</v>
      </c>
      <c r="I12" s="779">
        <v>0</v>
      </c>
      <c r="J12" s="779">
        <v>0</v>
      </c>
      <c r="K12" s="779">
        <v>6302.3562700000002</v>
      </c>
      <c r="L12" s="203"/>
      <c r="M12" s="46"/>
    </row>
    <row r="13" spans="1:13" ht="14.25" customHeight="1">
      <c r="A13" s="778" t="s">
        <v>650</v>
      </c>
      <c r="B13" s="779" t="s">
        <v>458</v>
      </c>
      <c r="C13" s="779">
        <v>6676.1226500000002</v>
      </c>
      <c r="D13" s="779">
        <v>0</v>
      </c>
      <c r="E13" s="779">
        <v>0</v>
      </c>
      <c r="F13" s="779">
        <v>6676.1226500000002</v>
      </c>
      <c r="G13" s="779" t="s">
        <v>586</v>
      </c>
      <c r="H13" s="779">
        <v>6818.3359</v>
      </c>
      <c r="I13" s="779">
        <v>0</v>
      </c>
      <c r="J13" s="779">
        <v>0</v>
      </c>
      <c r="K13" s="779">
        <v>6818.3359</v>
      </c>
      <c r="L13" s="5"/>
    </row>
    <row r="14" spans="1:13" ht="14.25" customHeight="1">
      <c r="A14" s="778" t="s">
        <v>651</v>
      </c>
      <c r="B14" s="779" t="s">
        <v>458</v>
      </c>
      <c r="C14" s="779">
        <v>6818.4611299999997</v>
      </c>
      <c r="D14" s="779">
        <v>46.612000000000002</v>
      </c>
      <c r="E14" s="779">
        <v>0</v>
      </c>
      <c r="F14" s="779">
        <v>6865.0731299999998</v>
      </c>
      <c r="G14" s="779" t="s">
        <v>586</v>
      </c>
      <c r="H14" s="779">
        <v>6778.4181600000002</v>
      </c>
      <c r="I14" s="779">
        <v>58.816000000000003</v>
      </c>
      <c r="J14" s="779">
        <v>0</v>
      </c>
      <c r="K14" s="779">
        <v>6837.23416</v>
      </c>
      <c r="L14" s="15"/>
    </row>
    <row r="15" spans="1:13" ht="14.25" customHeight="1">
      <c r="A15" s="778" t="s">
        <v>652</v>
      </c>
      <c r="B15" s="779" t="s">
        <v>456</v>
      </c>
      <c r="C15" s="779">
        <v>6891.7832500000004</v>
      </c>
      <c r="D15" s="779">
        <v>0</v>
      </c>
      <c r="E15" s="779">
        <v>0</v>
      </c>
      <c r="F15" s="779">
        <v>6891.7832500000004</v>
      </c>
      <c r="G15" s="779" t="s">
        <v>590</v>
      </c>
      <c r="H15" s="779">
        <v>6807.3370100000002</v>
      </c>
      <c r="I15" s="779">
        <v>0</v>
      </c>
      <c r="J15" s="779">
        <v>0</v>
      </c>
      <c r="K15" s="779">
        <v>6807.3370100000002</v>
      </c>
      <c r="L15" s="12"/>
    </row>
    <row r="16" spans="1:13" ht="14.25" customHeight="1">
      <c r="A16" s="778" t="s">
        <v>653</v>
      </c>
      <c r="B16" s="779" t="s">
        <v>456</v>
      </c>
      <c r="C16" s="779">
        <v>6738.4447600000003</v>
      </c>
      <c r="D16" s="779">
        <v>45.44632</v>
      </c>
      <c r="E16" s="779">
        <v>0</v>
      </c>
      <c r="F16" s="779">
        <v>6783.8910800000003</v>
      </c>
      <c r="G16" s="779" t="s">
        <v>586</v>
      </c>
      <c r="H16" s="779">
        <v>6794.2438899999997</v>
      </c>
      <c r="I16" s="779">
        <v>57.263280000000002</v>
      </c>
      <c r="J16" s="779">
        <v>0</v>
      </c>
      <c r="K16" s="779">
        <v>6851.5071699999999</v>
      </c>
      <c r="L16" s="22"/>
    </row>
    <row r="17" spans="1:12" ht="14.25" customHeight="1">
      <c r="A17" s="778" t="s">
        <v>654</v>
      </c>
      <c r="B17" s="779" t="s">
        <v>583</v>
      </c>
      <c r="C17" s="779">
        <v>6768.1559299999999</v>
      </c>
      <c r="D17" s="779">
        <v>0</v>
      </c>
      <c r="E17" s="779">
        <v>0</v>
      </c>
      <c r="F17" s="779">
        <v>6768.1559299999999</v>
      </c>
      <c r="G17" s="779" t="s">
        <v>588</v>
      </c>
      <c r="H17" s="779">
        <v>6705.0420700000004</v>
      </c>
      <c r="I17" s="779">
        <v>0</v>
      </c>
      <c r="J17" s="779">
        <v>0</v>
      </c>
      <c r="K17" s="779">
        <v>6705.0420700000004</v>
      </c>
      <c r="L17" s="22"/>
    </row>
    <row r="18" spans="1:12" ht="14.25" customHeight="1">
      <c r="A18" s="778" t="s">
        <v>655</v>
      </c>
      <c r="B18" s="779" t="s">
        <v>476</v>
      </c>
      <c r="C18" s="779">
        <v>6594.0786900000003</v>
      </c>
      <c r="D18" s="779">
        <v>0</v>
      </c>
      <c r="E18" s="779">
        <v>0</v>
      </c>
      <c r="F18" s="779">
        <v>6594.0786900000003</v>
      </c>
      <c r="G18" s="779" t="s">
        <v>588</v>
      </c>
      <c r="H18" s="779">
        <v>6688.2823799999996</v>
      </c>
      <c r="I18" s="779">
        <v>0</v>
      </c>
      <c r="J18" s="779">
        <v>0</v>
      </c>
      <c r="K18" s="779">
        <v>6688.2823799999996</v>
      </c>
      <c r="L18" s="22"/>
    </row>
    <row r="19" spans="1:12" ht="14.25" customHeight="1">
      <c r="A19" s="778" t="s">
        <v>656</v>
      </c>
      <c r="B19" s="779" t="s">
        <v>456</v>
      </c>
      <c r="C19" s="779">
        <v>5780.5052599999999</v>
      </c>
      <c r="D19" s="779">
        <v>0</v>
      </c>
      <c r="E19" s="779">
        <v>0</v>
      </c>
      <c r="F19" s="779">
        <v>5780.5052599999999</v>
      </c>
      <c r="G19" s="779" t="s">
        <v>590</v>
      </c>
      <c r="H19" s="779">
        <v>6276.3072599999996</v>
      </c>
      <c r="I19" s="779">
        <v>0</v>
      </c>
      <c r="J19" s="779">
        <v>0</v>
      </c>
      <c r="K19" s="779">
        <v>6276.3072599999996</v>
      </c>
      <c r="L19" s="22"/>
    </row>
    <row r="20" spans="1:12" ht="14.25" customHeight="1">
      <c r="A20" s="778" t="s">
        <v>657</v>
      </c>
      <c r="B20" s="779" t="s">
        <v>458</v>
      </c>
      <c r="C20" s="779">
        <v>6817.79313</v>
      </c>
      <c r="D20" s="779">
        <v>0</v>
      </c>
      <c r="E20" s="779">
        <v>0</v>
      </c>
      <c r="F20" s="779">
        <v>6817.79313</v>
      </c>
      <c r="G20" s="779" t="s">
        <v>586</v>
      </c>
      <c r="H20" s="779">
        <v>6849.08961</v>
      </c>
      <c r="I20" s="779">
        <v>49.384</v>
      </c>
      <c r="J20" s="779">
        <v>0</v>
      </c>
      <c r="K20" s="779">
        <v>6898.47361</v>
      </c>
      <c r="L20" s="24"/>
    </row>
    <row r="21" spans="1:12" ht="14.25" customHeight="1">
      <c r="A21" s="778" t="s">
        <v>658</v>
      </c>
      <c r="B21" s="779" t="s">
        <v>476</v>
      </c>
      <c r="C21" s="779">
        <v>6886.8681299999998</v>
      </c>
      <c r="D21" s="779">
        <v>0</v>
      </c>
      <c r="E21" s="779">
        <v>0</v>
      </c>
      <c r="F21" s="779">
        <v>6886.8681299999998</v>
      </c>
      <c r="G21" s="779" t="s">
        <v>540</v>
      </c>
      <c r="H21" s="779">
        <v>6815.6063999999997</v>
      </c>
      <c r="I21" s="779">
        <v>47.856000000000002</v>
      </c>
      <c r="J21" s="779">
        <v>0</v>
      </c>
      <c r="K21" s="779">
        <v>6863.4624000000003</v>
      </c>
      <c r="L21" s="22"/>
    </row>
    <row r="22" spans="1:12" ht="14.25" customHeight="1">
      <c r="A22" s="778" t="s">
        <v>659</v>
      </c>
      <c r="B22" s="779" t="s">
        <v>476</v>
      </c>
      <c r="C22" s="779">
        <v>6969.0603600000004</v>
      </c>
      <c r="D22" s="779">
        <v>46.332079999999998</v>
      </c>
      <c r="E22" s="779">
        <v>0</v>
      </c>
      <c r="F22" s="779">
        <v>7015.3924399999996</v>
      </c>
      <c r="G22" s="779" t="s">
        <v>588</v>
      </c>
      <c r="H22" s="779">
        <v>6877.9435199999998</v>
      </c>
      <c r="I22" s="779">
        <v>49.079639999999998</v>
      </c>
      <c r="J22" s="779">
        <v>0</v>
      </c>
      <c r="K22" s="779">
        <v>6927.0231599999997</v>
      </c>
      <c r="L22" s="22"/>
    </row>
    <row r="23" spans="1:12" ht="14.25" customHeight="1">
      <c r="A23" s="778" t="s">
        <v>660</v>
      </c>
      <c r="B23" s="779" t="s">
        <v>458</v>
      </c>
      <c r="C23" s="779">
        <v>6869.7336500000001</v>
      </c>
      <c r="D23" s="779">
        <v>46.168239999999997</v>
      </c>
      <c r="E23" s="779">
        <v>0</v>
      </c>
      <c r="F23" s="779">
        <v>6915.9018900000001</v>
      </c>
      <c r="G23" s="779" t="s">
        <v>588</v>
      </c>
      <c r="H23" s="779">
        <v>6874.8784599999999</v>
      </c>
      <c r="I23" s="779">
        <v>49.562240000000003</v>
      </c>
      <c r="J23" s="779">
        <v>0</v>
      </c>
      <c r="K23" s="779">
        <v>6924.4407000000001</v>
      </c>
      <c r="L23" s="22"/>
    </row>
    <row r="24" spans="1:12" ht="14.25" customHeight="1">
      <c r="A24" s="778" t="s">
        <v>661</v>
      </c>
      <c r="B24" s="779" t="s">
        <v>476</v>
      </c>
      <c r="C24" s="779">
        <v>6848.9368899999999</v>
      </c>
      <c r="D24" s="779">
        <v>45.851759999999999</v>
      </c>
      <c r="E24" s="779">
        <v>0</v>
      </c>
      <c r="F24" s="779">
        <v>6894.7886500000004</v>
      </c>
      <c r="G24" s="779" t="s">
        <v>588</v>
      </c>
      <c r="H24" s="779">
        <v>6831.9273000000003</v>
      </c>
      <c r="I24" s="779">
        <v>50.857959999999999</v>
      </c>
      <c r="J24" s="779">
        <v>0</v>
      </c>
      <c r="K24" s="779">
        <v>6882.7852599999997</v>
      </c>
      <c r="L24" s="22"/>
    </row>
    <row r="25" spans="1:12" ht="14.25" customHeight="1">
      <c r="A25" s="778" t="s">
        <v>662</v>
      </c>
      <c r="B25" s="779" t="s">
        <v>476</v>
      </c>
      <c r="C25" s="779">
        <v>6806.60772</v>
      </c>
      <c r="D25" s="779">
        <v>0</v>
      </c>
      <c r="E25" s="779">
        <v>0</v>
      </c>
      <c r="F25" s="779">
        <v>6806.60772</v>
      </c>
      <c r="G25" s="779" t="s">
        <v>552</v>
      </c>
      <c r="H25" s="779">
        <v>6794.9653399999997</v>
      </c>
      <c r="I25" s="779">
        <v>0</v>
      </c>
      <c r="J25" s="779">
        <v>0</v>
      </c>
      <c r="K25" s="779">
        <v>6794.9653399999997</v>
      </c>
      <c r="L25" s="22"/>
    </row>
    <row r="26" spans="1:12" ht="14.25" customHeight="1">
      <c r="A26" s="778" t="s">
        <v>663</v>
      </c>
      <c r="B26" s="779" t="s">
        <v>457</v>
      </c>
      <c r="C26" s="779">
        <v>5989.0073199999997</v>
      </c>
      <c r="D26" s="779">
        <v>0</v>
      </c>
      <c r="E26" s="779">
        <v>0</v>
      </c>
      <c r="F26" s="779">
        <v>5989.0073199999997</v>
      </c>
      <c r="G26" s="779" t="s">
        <v>664</v>
      </c>
      <c r="H26" s="779">
        <v>6611.0994799999999</v>
      </c>
      <c r="I26" s="779">
        <v>0</v>
      </c>
      <c r="J26" s="779">
        <v>0</v>
      </c>
      <c r="K26" s="779">
        <v>6611.0994799999999</v>
      </c>
      <c r="L26" s="22"/>
    </row>
    <row r="27" spans="1:12" ht="14.25" customHeight="1">
      <c r="A27" s="778" t="s">
        <v>665</v>
      </c>
      <c r="B27" s="779" t="s">
        <v>458</v>
      </c>
      <c r="C27" s="779">
        <v>6828.4255899999998</v>
      </c>
      <c r="D27" s="779">
        <v>0</v>
      </c>
      <c r="E27" s="779">
        <v>0</v>
      </c>
      <c r="F27" s="779">
        <v>6828.4255899999998</v>
      </c>
      <c r="G27" s="779" t="s">
        <v>586</v>
      </c>
      <c r="H27" s="779">
        <v>6884.3705300000001</v>
      </c>
      <c r="I27" s="779">
        <v>0</v>
      </c>
      <c r="J27" s="779">
        <v>0</v>
      </c>
      <c r="K27" s="779">
        <v>6884.3705300000001</v>
      </c>
      <c r="L27" s="22"/>
    </row>
    <row r="28" spans="1:12" ht="14.25" customHeight="1">
      <c r="A28" s="778" t="s">
        <v>666</v>
      </c>
      <c r="B28" s="779" t="s">
        <v>476</v>
      </c>
      <c r="C28" s="779">
        <v>6705.0571900000004</v>
      </c>
      <c r="D28" s="779">
        <v>43.682160000000003</v>
      </c>
      <c r="E28" s="779">
        <v>0</v>
      </c>
      <c r="F28" s="779">
        <v>6748.7393499999998</v>
      </c>
      <c r="G28" s="779" t="s">
        <v>588</v>
      </c>
      <c r="H28" s="779">
        <v>6749.4483499999997</v>
      </c>
      <c r="I28" s="779">
        <v>57.265479999999997</v>
      </c>
      <c r="J28" s="779">
        <v>0</v>
      </c>
      <c r="K28" s="779">
        <v>6806.7138299999997</v>
      </c>
      <c r="L28" s="22"/>
    </row>
    <row r="29" spans="1:12" ht="14.25" customHeight="1">
      <c r="A29" s="778" t="s">
        <v>667</v>
      </c>
      <c r="B29" s="779" t="s">
        <v>476</v>
      </c>
      <c r="C29" s="779">
        <v>6702.1972500000002</v>
      </c>
      <c r="D29" s="779">
        <v>44.456000000000003</v>
      </c>
      <c r="E29" s="779">
        <v>0</v>
      </c>
      <c r="F29" s="779">
        <v>6746.6532500000003</v>
      </c>
      <c r="G29" s="779" t="s">
        <v>586</v>
      </c>
      <c r="H29" s="779">
        <v>6728.8015400000004</v>
      </c>
      <c r="I29" s="779">
        <v>57.276000000000003</v>
      </c>
      <c r="J29" s="779">
        <v>0</v>
      </c>
      <c r="K29" s="779">
        <v>6786.0775400000002</v>
      </c>
      <c r="L29" s="22"/>
    </row>
    <row r="30" spans="1:12" ht="14.25" customHeight="1">
      <c r="A30" s="778" t="s">
        <v>668</v>
      </c>
      <c r="B30" s="779" t="s">
        <v>458</v>
      </c>
      <c r="C30" s="779">
        <v>6655.3040199999996</v>
      </c>
      <c r="D30" s="779">
        <v>0</v>
      </c>
      <c r="E30" s="779">
        <v>0</v>
      </c>
      <c r="F30" s="779">
        <v>6655.3040199999996</v>
      </c>
      <c r="G30" s="779" t="s">
        <v>588</v>
      </c>
      <c r="H30" s="779">
        <v>6794.8003399999998</v>
      </c>
      <c r="I30" s="779">
        <v>0</v>
      </c>
      <c r="J30" s="779">
        <v>0</v>
      </c>
      <c r="K30" s="779">
        <v>6794.8003399999998</v>
      </c>
      <c r="L30" s="22"/>
    </row>
    <row r="31" spans="1:12" ht="14.25" customHeight="1">
      <c r="A31" s="778" t="s">
        <v>669</v>
      </c>
      <c r="B31" s="779" t="s">
        <v>458</v>
      </c>
      <c r="C31" s="779">
        <v>6749.9120899999998</v>
      </c>
      <c r="D31" s="779">
        <v>0</v>
      </c>
      <c r="E31" s="779">
        <v>0</v>
      </c>
      <c r="F31" s="779">
        <v>6749.9120899999998</v>
      </c>
      <c r="G31" s="779" t="s">
        <v>588</v>
      </c>
      <c r="H31" s="779">
        <v>6737.1873599999999</v>
      </c>
      <c r="I31" s="779">
        <v>0</v>
      </c>
      <c r="J31" s="779">
        <v>0</v>
      </c>
      <c r="K31" s="779">
        <v>6737.1873599999999</v>
      </c>
      <c r="L31" s="30"/>
    </row>
    <row r="32" spans="1:12" ht="14.25" customHeight="1">
      <c r="A32" s="778" t="s">
        <v>670</v>
      </c>
      <c r="B32" s="779" t="s">
        <v>458</v>
      </c>
      <c r="C32" s="779">
        <v>6795.0058399999998</v>
      </c>
      <c r="D32" s="779">
        <v>0</v>
      </c>
      <c r="E32" s="779">
        <v>0</v>
      </c>
      <c r="F32" s="779">
        <v>6795.0058399999998</v>
      </c>
      <c r="G32" s="779" t="s">
        <v>588</v>
      </c>
      <c r="H32" s="779">
        <v>6754.6438200000002</v>
      </c>
      <c r="I32" s="779">
        <v>0</v>
      </c>
      <c r="J32" s="779">
        <v>0</v>
      </c>
      <c r="K32" s="779">
        <v>6754.6438200000002</v>
      </c>
      <c r="L32" s="22"/>
    </row>
    <row r="33" spans="1:12" ht="14.25" customHeight="1">
      <c r="A33" s="778" t="s">
        <v>671</v>
      </c>
      <c r="B33" s="779" t="s">
        <v>457</v>
      </c>
      <c r="C33" s="779">
        <v>5876.8016399999997</v>
      </c>
      <c r="D33" s="779">
        <v>0</v>
      </c>
      <c r="E33" s="779">
        <v>0</v>
      </c>
      <c r="F33" s="779">
        <v>5876.8016399999997</v>
      </c>
      <c r="G33" s="779" t="s">
        <v>552</v>
      </c>
      <c r="H33" s="779">
        <v>6659.9841699999997</v>
      </c>
      <c r="I33" s="779">
        <v>49.700839999999999</v>
      </c>
      <c r="J33" s="779">
        <v>0</v>
      </c>
      <c r="K33" s="779">
        <v>6709.6850100000001</v>
      </c>
      <c r="L33" s="22"/>
    </row>
    <row r="34" spans="1:12" ht="14.25" customHeight="1">
      <c r="A34" s="778" t="s">
        <v>672</v>
      </c>
      <c r="B34" s="779" t="s">
        <v>458</v>
      </c>
      <c r="C34" s="779">
        <v>6678.1787100000001</v>
      </c>
      <c r="D34" s="779">
        <v>50.116</v>
      </c>
      <c r="E34" s="779">
        <v>0</v>
      </c>
      <c r="F34" s="779">
        <v>6728.2947100000001</v>
      </c>
      <c r="G34" s="779" t="s">
        <v>441</v>
      </c>
      <c r="H34" s="779">
        <v>6638.5254400000003</v>
      </c>
      <c r="I34" s="779">
        <v>49.42</v>
      </c>
      <c r="J34" s="779">
        <v>0</v>
      </c>
      <c r="K34" s="779">
        <v>6687.9454400000004</v>
      </c>
      <c r="L34" s="15"/>
    </row>
    <row r="35" spans="1:12" ht="14.25" customHeight="1">
      <c r="A35" s="778" t="s">
        <v>673</v>
      </c>
      <c r="B35" s="779" t="s">
        <v>458</v>
      </c>
      <c r="C35" s="779">
        <v>6696.14444</v>
      </c>
      <c r="D35" s="779">
        <v>49.128</v>
      </c>
      <c r="E35" s="779">
        <v>0</v>
      </c>
      <c r="F35" s="779">
        <v>6745.2724399999997</v>
      </c>
      <c r="G35" s="779" t="s">
        <v>588</v>
      </c>
      <c r="H35" s="779">
        <v>6845.0796399999999</v>
      </c>
      <c r="I35" s="779">
        <v>46.752000000000002</v>
      </c>
      <c r="J35" s="779">
        <v>0</v>
      </c>
      <c r="K35" s="779">
        <v>6891.8316400000003</v>
      </c>
      <c r="L35" s="16"/>
    </row>
    <row r="36" spans="1:12" ht="14.25" customHeight="1">
      <c r="A36" s="778" t="s">
        <v>674</v>
      </c>
      <c r="B36" s="779" t="s">
        <v>456</v>
      </c>
      <c r="C36" s="779">
        <v>6833.0794500000002</v>
      </c>
      <c r="D36" s="779">
        <v>44.79204</v>
      </c>
      <c r="E36" s="779">
        <v>0</v>
      </c>
      <c r="F36" s="779">
        <v>6877.8714900000004</v>
      </c>
      <c r="G36" s="779" t="s">
        <v>441</v>
      </c>
      <c r="H36" s="779">
        <v>6778.6370999999999</v>
      </c>
      <c r="I36" s="779">
        <v>46.878120000000003</v>
      </c>
      <c r="J36" s="779">
        <v>0</v>
      </c>
      <c r="K36" s="779">
        <v>6825.5152200000002</v>
      </c>
      <c r="L36" s="15"/>
    </row>
    <row r="37" spans="1:12" ht="14.25" customHeight="1">
      <c r="A37" s="778" t="s">
        <v>675</v>
      </c>
      <c r="B37" s="779" t="s">
        <v>676</v>
      </c>
      <c r="C37" s="779">
        <v>6684.6278899999998</v>
      </c>
      <c r="D37" s="779">
        <v>45.641480000000001</v>
      </c>
      <c r="E37" s="779">
        <v>0</v>
      </c>
      <c r="F37" s="779">
        <v>6730.26937</v>
      </c>
      <c r="G37" s="779" t="s">
        <v>677</v>
      </c>
      <c r="H37" s="779">
        <v>6841.2618300000004</v>
      </c>
      <c r="I37" s="779">
        <v>45.427520000000001</v>
      </c>
      <c r="J37" s="779">
        <v>0</v>
      </c>
      <c r="K37" s="779">
        <v>6886.6893499999996</v>
      </c>
      <c r="L37" s="15"/>
    </row>
    <row r="38" spans="1:12" ht="14.25" customHeight="1">
      <c r="A38" s="778" t="s">
        <v>678</v>
      </c>
      <c r="B38" s="779" t="s">
        <v>476</v>
      </c>
      <c r="C38" s="779">
        <v>6859.77927</v>
      </c>
      <c r="D38" s="779">
        <v>42.444479999999999</v>
      </c>
      <c r="E38" s="779">
        <v>0</v>
      </c>
      <c r="F38" s="779">
        <v>6902.2237500000001</v>
      </c>
      <c r="G38" s="779" t="s">
        <v>588</v>
      </c>
      <c r="H38" s="779">
        <v>6830.7996800000001</v>
      </c>
      <c r="I38" s="779">
        <v>47.514479999999999</v>
      </c>
      <c r="J38" s="779">
        <v>0</v>
      </c>
      <c r="K38" s="779">
        <v>6878.3141599999999</v>
      </c>
      <c r="L38" s="15"/>
    </row>
    <row r="39" spans="1:12" ht="14.25" customHeight="1">
      <c r="A39" s="778" t="s">
        <v>679</v>
      </c>
      <c r="B39" s="779" t="s">
        <v>456</v>
      </c>
      <c r="C39" s="779">
        <v>6781.7695800000001</v>
      </c>
      <c r="D39" s="779">
        <v>0</v>
      </c>
      <c r="E39" s="779">
        <v>0</v>
      </c>
      <c r="F39" s="779">
        <v>6781.7695800000001</v>
      </c>
      <c r="G39" s="779" t="s">
        <v>586</v>
      </c>
      <c r="H39" s="779">
        <v>6919.1288000000004</v>
      </c>
      <c r="I39" s="779">
        <v>0</v>
      </c>
      <c r="J39" s="779">
        <v>0</v>
      </c>
      <c r="K39" s="779">
        <v>6919.1288000000004</v>
      </c>
      <c r="L39" s="15"/>
    </row>
    <row r="40" spans="1:12" ht="14.25" customHeight="1">
      <c r="A40" s="778" t="s">
        <v>680</v>
      </c>
      <c r="B40" s="779" t="s">
        <v>457</v>
      </c>
      <c r="C40" s="779">
        <v>5954.2448100000001</v>
      </c>
      <c r="D40" s="779">
        <v>0</v>
      </c>
      <c r="E40" s="779">
        <v>0</v>
      </c>
      <c r="F40" s="779">
        <v>5954.2448100000001</v>
      </c>
      <c r="G40" s="779" t="s">
        <v>587</v>
      </c>
      <c r="H40" s="779">
        <v>6770.8293100000001</v>
      </c>
      <c r="I40" s="779">
        <v>0</v>
      </c>
      <c r="J40" s="779">
        <v>0</v>
      </c>
      <c r="K40" s="779">
        <v>6770.8293100000001</v>
      </c>
    </row>
    <row r="41" spans="1:12" ht="14.25" customHeight="1">
      <c r="A41" s="778" t="s">
        <v>681</v>
      </c>
      <c r="B41" s="779" t="s">
        <v>458</v>
      </c>
      <c r="C41" s="779">
        <v>6874.8770999999997</v>
      </c>
      <c r="D41" s="779">
        <v>0</v>
      </c>
      <c r="E41" s="779">
        <v>0</v>
      </c>
      <c r="F41" s="779">
        <v>6874.8770999999997</v>
      </c>
      <c r="G41" s="779" t="s">
        <v>588</v>
      </c>
      <c r="H41" s="779">
        <v>6955.1066799999999</v>
      </c>
      <c r="I41" s="779">
        <v>0</v>
      </c>
      <c r="J41" s="779">
        <v>0</v>
      </c>
      <c r="K41" s="779">
        <v>6955.1066799999999</v>
      </c>
    </row>
    <row r="42" spans="1:12" ht="14.25" customHeight="1">
      <c r="A42" s="778" t="s">
        <v>647</v>
      </c>
      <c r="B42" s="780" t="s">
        <v>476</v>
      </c>
      <c r="C42" s="780">
        <v>7038.2726499999999</v>
      </c>
      <c r="D42" s="780">
        <v>42.902720000000002</v>
      </c>
      <c r="E42" s="780">
        <v>0</v>
      </c>
      <c r="F42" s="780">
        <v>7081.1753699999999</v>
      </c>
      <c r="G42" s="780" t="s">
        <v>588</v>
      </c>
      <c r="H42" s="780">
        <v>6908.9537</v>
      </c>
      <c r="I42" s="780">
        <v>52.414079999999998</v>
      </c>
      <c r="J42" s="780">
        <v>0</v>
      </c>
      <c r="K42" s="780">
        <v>6961.3677799999996</v>
      </c>
    </row>
    <row r="43" spans="1:12" ht="13.2">
      <c r="A43" s="194"/>
      <c r="B43" s="194"/>
      <c r="C43" s="194"/>
      <c r="D43" s="194"/>
      <c r="E43" s="194"/>
      <c r="F43" s="194"/>
      <c r="G43" s="194"/>
      <c r="H43" s="194"/>
      <c r="I43" s="194"/>
      <c r="J43" s="194"/>
      <c r="K43" s="196"/>
    </row>
    <row r="44" spans="1:12" ht="13.2">
      <c r="A44" s="194"/>
      <c r="B44" s="194"/>
      <c r="C44" s="194"/>
      <c r="D44" s="194"/>
      <c r="E44" s="194"/>
      <c r="F44" s="194"/>
      <c r="G44" s="194"/>
      <c r="H44" s="194"/>
      <c r="I44" s="194"/>
      <c r="J44" s="194"/>
      <c r="K44" s="196"/>
    </row>
    <row r="45" spans="1:12" ht="13.2">
      <c r="A45" s="194"/>
      <c r="B45" s="194"/>
      <c r="C45" s="194"/>
      <c r="D45" s="194"/>
      <c r="E45" s="194"/>
      <c r="F45" s="194"/>
      <c r="G45" s="194"/>
      <c r="H45" s="194"/>
      <c r="I45" s="194"/>
      <c r="J45" s="194"/>
      <c r="K45" s="196"/>
    </row>
    <row r="46" spans="1:12" ht="13.2">
      <c r="A46" s="194"/>
      <c r="B46" s="111"/>
      <c r="C46" s="111"/>
      <c r="D46" s="111"/>
      <c r="E46" s="111"/>
      <c r="F46" s="111"/>
      <c r="G46" s="111"/>
      <c r="H46" s="111"/>
      <c r="I46" s="111"/>
      <c r="J46" s="111"/>
      <c r="K46" s="196"/>
    </row>
    <row r="47" spans="1:12" ht="13.2">
      <c r="A47" s="194"/>
      <c r="B47" s="111"/>
      <c r="C47" s="111"/>
      <c r="D47" s="111"/>
      <c r="E47" s="111"/>
      <c r="F47" s="111"/>
      <c r="G47" s="111"/>
      <c r="H47" s="111"/>
      <c r="I47" s="111"/>
      <c r="J47" s="111"/>
      <c r="K47" s="196"/>
    </row>
    <row r="48" spans="1:12" ht="13.2">
      <c r="A48" s="194"/>
      <c r="B48" s="111"/>
      <c r="C48" s="111"/>
      <c r="D48" s="111"/>
      <c r="E48" s="111"/>
      <c r="F48" s="111"/>
      <c r="G48" s="111"/>
      <c r="H48" s="111"/>
      <c r="I48" s="111"/>
      <c r="J48" s="111"/>
      <c r="K48" s="196"/>
    </row>
    <row r="49" spans="1:11" ht="13.2">
      <c r="A49" s="194"/>
      <c r="B49" s="111"/>
      <c r="C49" s="111"/>
      <c r="D49" s="111"/>
      <c r="E49" s="111"/>
      <c r="F49" s="111"/>
      <c r="G49" s="111"/>
      <c r="H49" s="111"/>
      <c r="I49" s="111"/>
      <c r="J49" s="111"/>
      <c r="K49" s="196"/>
    </row>
    <row r="50" spans="1:11" ht="13.2">
      <c r="A50" s="194"/>
      <c r="B50" s="111"/>
      <c r="C50" s="111"/>
      <c r="D50" s="111"/>
      <c r="E50" s="111"/>
      <c r="F50" s="111"/>
      <c r="G50" s="111"/>
      <c r="H50" s="111"/>
      <c r="I50" s="111"/>
      <c r="J50" s="111"/>
      <c r="K50" s="196"/>
    </row>
    <row r="51" spans="1:11" ht="13.2">
      <c r="A51" s="194"/>
      <c r="B51" s="195"/>
      <c r="C51" s="195"/>
      <c r="D51" s="195"/>
      <c r="E51" s="195"/>
      <c r="F51" s="195"/>
      <c r="G51" s="195"/>
      <c r="H51" s="195"/>
      <c r="I51" s="195"/>
      <c r="J51" s="195"/>
      <c r="K51" s="196"/>
    </row>
    <row r="52" spans="1:11" ht="13.2">
      <c r="A52" s="194"/>
      <c r="B52" s="195"/>
      <c r="C52" s="195"/>
      <c r="D52" s="195"/>
      <c r="E52" s="195"/>
      <c r="F52" s="195"/>
      <c r="G52" s="195"/>
      <c r="H52" s="195"/>
      <c r="I52" s="195"/>
      <c r="J52" s="195"/>
      <c r="K52" s="196"/>
    </row>
    <row r="53" spans="1:11" ht="13.2">
      <c r="A53" s="194"/>
      <c r="B53" s="198"/>
      <c r="C53" s="196"/>
      <c r="D53" s="196"/>
      <c r="E53" s="196"/>
      <c r="F53" s="196"/>
      <c r="G53" s="195"/>
      <c r="H53" s="195"/>
      <c r="I53" s="195"/>
      <c r="J53" s="195"/>
      <c r="K53" s="196"/>
    </row>
    <row r="54" spans="1:11" ht="13.2">
      <c r="A54" s="199"/>
      <c r="B54" s="200"/>
      <c r="C54" s="200"/>
      <c r="D54" s="200"/>
      <c r="E54" s="200"/>
      <c r="F54" s="200"/>
      <c r="G54" s="200"/>
      <c r="H54" s="195"/>
      <c r="I54" s="195"/>
      <c r="J54" s="195"/>
      <c r="K54" s="196"/>
    </row>
    <row r="55" spans="1:11" ht="13.2">
      <c r="A55" s="199"/>
      <c r="B55" s="200"/>
      <c r="C55" s="200"/>
      <c r="D55" s="200"/>
      <c r="E55" s="200"/>
      <c r="F55" s="200"/>
      <c r="G55" s="200"/>
      <c r="H55" s="195"/>
      <c r="I55" s="195"/>
      <c r="J55" s="195"/>
      <c r="K55" s="195"/>
    </row>
    <row r="56" spans="1:11" ht="13.2">
      <c r="A56" s="199"/>
      <c r="B56" s="200"/>
      <c r="C56" s="200"/>
      <c r="D56" s="200"/>
      <c r="E56" s="200"/>
      <c r="F56" s="200"/>
      <c r="G56" s="200"/>
      <c r="H56" s="195"/>
      <c r="I56" s="195"/>
      <c r="J56" s="195"/>
      <c r="K56" s="195"/>
    </row>
  </sheetData>
  <mergeCells count="3">
    <mergeCell ref="A9:A11"/>
    <mergeCell ref="B9:F9"/>
    <mergeCell ref="G9:K9"/>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89"/>
  <sheetViews>
    <sheetView showGridLines="0" view="pageBreakPreview" zoomScale="115" zoomScaleNormal="100" zoomScaleSheetLayoutView="115" zoomScalePageLayoutView="150" workbookViewId="0">
      <selection activeCell="D4" sqref="D4"/>
    </sheetView>
  </sheetViews>
  <sheetFormatPr baseColWidth="10" defaultColWidth="9.28515625" defaultRowHeight="9.6"/>
  <cols>
    <col min="1" max="1" width="15.28515625" style="568" customWidth="1"/>
    <col min="2" max="2" width="17.7109375" style="568" customWidth="1"/>
    <col min="3" max="3" width="12.85546875" style="568" bestFit="1" customWidth="1"/>
    <col min="4" max="4" width="52" style="568" customWidth="1"/>
    <col min="5" max="5" width="11.28515625" style="568" customWidth="1"/>
    <col min="6" max="6" width="10.42578125" style="568" customWidth="1"/>
    <col min="7" max="8" width="9.28515625" style="568" customWidth="1"/>
    <col min="9" max="16384" width="9.28515625" style="568"/>
  </cols>
  <sheetData>
    <row r="1" spans="1:9" ht="11.25" customHeight="1">
      <c r="A1" s="566" t="s">
        <v>362</v>
      </c>
      <c r="B1" s="567"/>
      <c r="C1" s="567"/>
      <c r="D1" s="567"/>
      <c r="E1" s="567"/>
      <c r="F1" s="567"/>
    </row>
    <row r="2" spans="1:9" ht="30" customHeight="1">
      <c r="A2" s="569" t="s">
        <v>248</v>
      </c>
      <c r="B2" s="570" t="s">
        <v>363</v>
      </c>
      <c r="C2" s="569" t="s">
        <v>352</v>
      </c>
      <c r="D2" s="571" t="s">
        <v>364</v>
      </c>
      <c r="E2" s="572" t="s">
        <v>365</v>
      </c>
      <c r="F2" s="572" t="s">
        <v>366</v>
      </c>
      <c r="G2" s="573"/>
      <c r="H2" s="574"/>
      <c r="I2" s="575"/>
    </row>
    <row r="3" spans="1:9" ht="57" customHeight="1">
      <c r="A3" s="578" t="s">
        <v>461</v>
      </c>
      <c r="B3" s="578" t="s">
        <v>591</v>
      </c>
      <c r="C3" s="576">
        <v>44682.097222222219</v>
      </c>
      <c r="D3" s="577" t="s">
        <v>610</v>
      </c>
      <c r="E3" s="578">
        <v>8.8000000000000007</v>
      </c>
      <c r="F3" s="578"/>
      <c r="H3" s="573"/>
      <c r="I3" s="575"/>
    </row>
    <row r="4" spans="1:9" ht="63" customHeight="1">
      <c r="A4" s="578" t="s">
        <v>581</v>
      </c>
      <c r="B4" s="578" t="s">
        <v>611</v>
      </c>
      <c r="C4" s="576">
        <v>44684.122916666667</v>
      </c>
      <c r="D4" s="577" t="s">
        <v>612</v>
      </c>
      <c r="E4" s="578">
        <v>11.63</v>
      </c>
      <c r="F4" s="578"/>
      <c r="G4" s="579"/>
      <c r="H4" s="579"/>
      <c r="I4" s="580"/>
    </row>
    <row r="5" spans="1:9" ht="67.5" customHeight="1">
      <c r="A5" s="578" t="s">
        <v>613</v>
      </c>
      <c r="B5" s="578" t="s">
        <v>614</v>
      </c>
      <c r="C5" s="576">
        <v>44684.665972222225</v>
      </c>
      <c r="D5" s="577" t="s">
        <v>615</v>
      </c>
      <c r="E5" s="578">
        <v>6.4</v>
      </c>
      <c r="F5" s="578"/>
      <c r="G5" s="579"/>
      <c r="H5" s="579"/>
      <c r="I5" s="581"/>
    </row>
    <row r="6" spans="1:9" ht="54.6" customHeight="1">
      <c r="A6" s="578" t="s">
        <v>616</v>
      </c>
      <c r="B6" s="578" t="s">
        <v>617</v>
      </c>
      <c r="C6" s="576">
        <v>44686.216666666667</v>
      </c>
      <c r="D6" s="577" t="s">
        <v>618</v>
      </c>
      <c r="E6" s="578">
        <v>2.4</v>
      </c>
      <c r="F6" s="578"/>
      <c r="G6" s="579"/>
      <c r="H6" s="579"/>
      <c r="I6" s="582"/>
    </row>
    <row r="7" spans="1:9" ht="54" customHeight="1">
      <c r="A7" s="578" t="s">
        <v>616</v>
      </c>
      <c r="B7" s="578" t="s">
        <v>617</v>
      </c>
      <c r="C7" s="576">
        <v>44686.902777777781</v>
      </c>
      <c r="D7" s="577" t="s">
        <v>619</v>
      </c>
      <c r="E7" s="578">
        <v>3.87</v>
      </c>
      <c r="F7" s="578"/>
      <c r="G7" s="579"/>
      <c r="H7" s="579"/>
      <c r="I7" s="583"/>
    </row>
    <row r="8" spans="1:9" ht="57" customHeight="1">
      <c r="A8" s="578" t="s">
        <v>616</v>
      </c>
      <c r="B8" s="578" t="s">
        <v>617</v>
      </c>
      <c r="C8" s="576">
        <v>44686.919444444444</v>
      </c>
      <c r="D8" s="577" t="s">
        <v>620</v>
      </c>
      <c r="E8" s="578">
        <v>3.87</v>
      </c>
      <c r="F8" s="578"/>
      <c r="G8" s="579"/>
      <c r="H8" s="579"/>
      <c r="I8" s="582"/>
    </row>
    <row r="9" spans="1:9" ht="59.4" customHeight="1">
      <c r="A9" s="578" t="s">
        <v>593</v>
      </c>
      <c r="B9" s="578" t="s">
        <v>594</v>
      </c>
      <c r="C9" s="576">
        <v>44692.536805555559</v>
      </c>
      <c r="D9" s="577" t="s">
        <v>621</v>
      </c>
      <c r="E9" s="584">
        <v>11.84</v>
      </c>
      <c r="F9" s="584"/>
      <c r="G9" s="579"/>
      <c r="H9" s="579"/>
      <c r="I9" s="582"/>
    </row>
    <row r="10" spans="1:9" ht="60" customHeight="1">
      <c r="A10" s="578" t="s">
        <v>469</v>
      </c>
      <c r="B10" s="578" t="s">
        <v>589</v>
      </c>
      <c r="C10" s="576">
        <v>44692.73541666667</v>
      </c>
      <c r="D10" s="577" t="s">
        <v>622</v>
      </c>
      <c r="E10" s="584">
        <v>0.56999999999999995</v>
      </c>
      <c r="F10" s="584"/>
      <c r="G10" s="579"/>
      <c r="H10" s="579"/>
      <c r="I10" s="582"/>
    </row>
    <row r="11" spans="1:9" ht="54.75" customHeight="1">
      <c r="A11" s="578" t="s">
        <v>469</v>
      </c>
      <c r="B11" s="578" t="s">
        <v>623</v>
      </c>
      <c r="C11" s="576">
        <v>44693.080555555556</v>
      </c>
      <c r="D11" s="577" t="s">
        <v>624</v>
      </c>
      <c r="E11" s="584">
        <v>6.5</v>
      </c>
      <c r="F11" s="584">
        <v>16.8</v>
      </c>
      <c r="G11" s="579"/>
      <c r="H11" s="579"/>
      <c r="I11" s="582"/>
    </row>
    <row r="12" spans="1:9" ht="97.5" customHeight="1">
      <c r="A12" s="691" t="s">
        <v>592</v>
      </c>
      <c r="B12" s="691" t="s">
        <v>625</v>
      </c>
      <c r="C12" s="692">
        <v>44696.324305555558</v>
      </c>
      <c r="D12" s="693" t="s">
        <v>626</v>
      </c>
      <c r="E12" s="694">
        <v>6.54</v>
      </c>
      <c r="F12" s="694"/>
    </row>
    <row r="13" spans="1:9" ht="78" customHeight="1">
      <c r="A13" s="691" t="s">
        <v>461</v>
      </c>
      <c r="B13" s="691" t="s">
        <v>627</v>
      </c>
      <c r="C13" s="692">
        <v>44698.424305555556</v>
      </c>
      <c r="D13" s="693" t="s">
        <v>628</v>
      </c>
      <c r="E13" s="694">
        <v>10</v>
      </c>
      <c r="F13" s="694">
        <v>5</v>
      </c>
    </row>
    <row r="14" spans="1:9">
      <c r="E14" s="585"/>
      <c r="F14" s="585"/>
    </row>
    <row r="15" spans="1:9">
      <c r="E15" s="585"/>
      <c r="F15" s="585"/>
    </row>
    <row r="16" spans="1:9">
      <c r="E16" s="585"/>
      <c r="F16" s="585"/>
    </row>
    <row r="17" spans="5:6">
      <c r="E17" s="585"/>
      <c r="F17" s="585"/>
    </row>
    <row r="18" spans="5:6">
      <c r="E18" s="585"/>
      <c r="F18" s="585"/>
    </row>
    <row r="19" spans="5:6">
      <c r="E19" s="585"/>
      <c r="F19" s="585"/>
    </row>
    <row r="20" spans="5:6">
      <c r="E20" s="585"/>
      <c r="F20" s="585"/>
    </row>
    <row r="21" spans="5:6">
      <c r="E21" s="585"/>
      <c r="F21" s="585"/>
    </row>
    <row r="22" spans="5:6">
      <c r="E22" s="585"/>
      <c r="F22" s="585"/>
    </row>
    <row r="23" spans="5:6">
      <c r="E23" s="585"/>
      <c r="F23" s="585"/>
    </row>
    <row r="24" spans="5:6">
      <c r="E24" s="585"/>
      <c r="F24" s="585"/>
    </row>
    <row r="25" spans="5:6">
      <c r="E25" s="585"/>
      <c r="F25" s="585"/>
    </row>
    <row r="26" spans="5:6">
      <c r="E26" s="585"/>
      <c r="F26" s="585"/>
    </row>
    <row r="27" spans="5:6">
      <c r="E27" s="585"/>
      <c r="F27" s="585"/>
    </row>
    <row r="28" spans="5:6">
      <c r="E28" s="585"/>
      <c r="F28" s="585"/>
    </row>
    <row r="29" spans="5:6">
      <c r="E29" s="585"/>
      <c r="F29" s="585"/>
    </row>
    <row r="30" spans="5:6">
      <c r="E30" s="585"/>
      <c r="F30" s="585"/>
    </row>
    <row r="31" spans="5:6">
      <c r="E31" s="585"/>
      <c r="F31" s="585"/>
    </row>
    <row r="32" spans="5:6">
      <c r="E32" s="585"/>
      <c r="F32" s="585"/>
    </row>
    <row r="33" spans="5:6">
      <c r="E33" s="585"/>
      <c r="F33" s="585"/>
    </row>
    <row r="34" spans="5:6">
      <c r="E34" s="585"/>
      <c r="F34" s="585"/>
    </row>
    <row r="35" spans="5:6">
      <c r="E35" s="585"/>
      <c r="F35" s="585"/>
    </row>
    <row r="36" spans="5:6">
      <c r="E36" s="585"/>
      <c r="F36" s="585"/>
    </row>
    <row r="37" spans="5:6">
      <c r="E37" s="585"/>
      <c r="F37" s="585"/>
    </row>
    <row r="38" spans="5:6">
      <c r="E38" s="585"/>
      <c r="F38" s="585"/>
    </row>
    <row r="39" spans="5:6">
      <c r="E39" s="585"/>
      <c r="F39" s="585"/>
    </row>
    <row r="40" spans="5:6">
      <c r="E40" s="585"/>
      <c r="F40" s="585"/>
    </row>
    <row r="41" spans="5:6">
      <c r="E41" s="585"/>
      <c r="F41" s="585"/>
    </row>
    <row r="42" spans="5:6">
      <c r="E42" s="585"/>
      <c r="F42" s="585"/>
    </row>
    <row r="43" spans="5:6">
      <c r="E43" s="585"/>
      <c r="F43" s="585"/>
    </row>
    <row r="44" spans="5:6">
      <c r="E44" s="585"/>
      <c r="F44" s="585"/>
    </row>
    <row r="45" spans="5:6">
      <c r="E45" s="585"/>
      <c r="F45" s="585"/>
    </row>
    <row r="46" spans="5:6">
      <c r="E46" s="585"/>
      <c r="F46" s="585"/>
    </row>
    <row r="47" spans="5:6">
      <c r="E47" s="585"/>
      <c r="F47" s="585"/>
    </row>
    <row r="48" spans="5:6">
      <c r="E48" s="585"/>
      <c r="F48" s="585"/>
    </row>
    <row r="49" spans="5:6">
      <c r="E49" s="585"/>
      <c r="F49" s="585"/>
    </row>
    <row r="50" spans="5:6">
      <c r="E50" s="585"/>
      <c r="F50" s="585"/>
    </row>
    <row r="51" spans="5:6">
      <c r="E51" s="585"/>
      <c r="F51" s="585"/>
    </row>
    <row r="52" spans="5:6">
      <c r="E52" s="585"/>
      <c r="F52" s="585"/>
    </row>
    <row r="53" spans="5:6">
      <c r="E53" s="585"/>
      <c r="F53" s="585"/>
    </row>
    <row r="54" spans="5:6">
      <c r="E54" s="585"/>
      <c r="F54" s="585"/>
    </row>
    <row r="55" spans="5:6">
      <c r="E55" s="585"/>
      <c r="F55" s="585"/>
    </row>
    <row r="56" spans="5:6">
      <c r="E56" s="585"/>
      <c r="F56" s="585"/>
    </row>
    <row r="57" spans="5:6">
      <c r="E57" s="585"/>
      <c r="F57" s="585"/>
    </row>
    <row r="58" spans="5:6">
      <c r="E58" s="585"/>
      <c r="F58" s="585"/>
    </row>
    <row r="59" spans="5:6">
      <c r="E59" s="585"/>
      <c r="F59" s="585"/>
    </row>
    <row r="60" spans="5:6">
      <c r="E60" s="585"/>
      <c r="F60" s="585"/>
    </row>
    <row r="61" spans="5:6">
      <c r="E61" s="585"/>
      <c r="F61" s="585"/>
    </row>
    <row r="62" spans="5:6">
      <c r="E62" s="585"/>
      <c r="F62" s="585"/>
    </row>
    <row r="63" spans="5:6">
      <c r="E63" s="585"/>
      <c r="F63" s="585"/>
    </row>
    <row r="64" spans="5:6">
      <c r="E64" s="585"/>
      <c r="F64" s="585"/>
    </row>
    <row r="65" spans="5:6">
      <c r="E65" s="585"/>
      <c r="F65" s="585"/>
    </row>
    <row r="66" spans="5:6">
      <c r="E66" s="585"/>
      <c r="F66" s="585"/>
    </row>
    <row r="67" spans="5:6">
      <c r="E67" s="585"/>
      <c r="F67" s="585"/>
    </row>
    <row r="68" spans="5:6">
      <c r="E68" s="585"/>
      <c r="F68" s="585"/>
    </row>
    <row r="69" spans="5:6">
      <c r="E69" s="585"/>
      <c r="F69" s="585"/>
    </row>
    <row r="70" spans="5:6">
      <c r="E70" s="585"/>
      <c r="F70" s="585"/>
    </row>
    <row r="71" spans="5:6">
      <c r="E71" s="585"/>
      <c r="F71" s="585"/>
    </row>
    <row r="72" spans="5:6">
      <c r="E72" s="585"/>
      <c r="F72" s="585"/>
    </row>
    <row r="73" spans="5:6">
      <c r="E73" s="585"/>
      <c r="F73" s="585"/>
    </row>
    <row r="74" spans="5:6">
      <c r="E74" s="585"/>
      <c r="F74" s="585"/>
    </row>
    <row r="75" spans="5:6">
      <c r="E75" s="585"/>
      <c r="F75" s="585"/>
    </row>
    <row r="76" spans="5:6">
      <c r="E76" s="585"/>
      <c r="F76" s="585"/>
    </row>
    <row r="77" spans="5:6">
      <c r="E77" s="585"/>
      <c r="F77" s="585"/>
    </row>
    <row r="78" spans="5:6">
      <c r="E78" s="585"/>
      <c r="F78" s="585"/>
    </row>
    <row r="79" spans="5:6">
      <c r="E79" s="585"/>
      <c r="F79" s="585"/>
    </row>
    <row r="80" spans="5:6">
      <c r="E80" s="585"/>
      <c r="F80" s="585"/>
    </row>
    <row r="81" spans="5:6">
      <c r="E81" s="585"/>
      <c r="F81" s="585"/>
    </row>
    <row r="82" spans="5:6">
      <c r="E82" s="585"/>
      <c r="F82" s="585"/>
    </row>
    <row r="83" spans="5:6">
      <c r="E83" s="585"/>
      <c r="F83" s="585"/>
    </row>
    <row r="84" spans="5:6">
      <c r="E84" s="585"/>
      <c r="F84" s="585"/>
    </row>
    <row r="85" spans="5:6">
      <c r="E85" s="585"/>
      <c r="F85" s="585"/>
    </row>
    <row r="86" spans="5:6">
      <c r="E86" s="585"/>
      <c r="F86" s="585"/>
    </row>
    <row r="87" spans="5:6">
      <c r="E87" s="585"/>
      <c r="F87" s="585"/>
    </row>
    <row r="88" spans="5:6">
      <c r="E88" s="585"/>
      <c r="F88" s="585"/>
    </row>
    <row r="89" spans="5:6">
      <c r="E89" s="585"/>
      <c r="F89" s="585"/>
    </row>
  </sheetData>
  <pageMargins left="0.59055118110236227" right="0.39370078740157483" top="0.91779513888888886" bottom="0.62992125984251968" header="0.31496062992125984" footer="0.31496062992125984"/>
  <pageSetup paperSize="9" scale="93"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68"/>
  <sheetViews>
    <sheetView showGridLines="0" view="pageBreakPreview" zoomScale="120" zoomScaleNormal="100" zoomScaleSheetLayoutView="120" zoomScalePageLayoutView="145" workbookViewId="0">
      <selection activeCell="R35" sqref="R35"/>
    </sheetView>
  </sheetViews>
  <sheetFormatPr baseColWidth="10" defaultColWidth="9.28515625" defaultRowHeight="9.6"/>
  <cols>
    <col min="1" max="1" width="16.140625" style="568" customWidth="1"/>
    <col min="2" max="2" width="19.7109375" style="568" customWidth="1"/>
    <col min="3" max="3" width="12.85546875" style="568" bestFit="1" customWidth="1"/>
    <col min="4" max="4" width="51.85546875" style="568" customWidth="1"/>
    <col min="5" max="5" width="10.85546875" style="568" customWidth="1"/>
    <col min="6" max="6" width="10.140625" style="568" customWidth="1"/>
    <col min="7" max="8" width="9.28515625" style="568" customWidth="1"/>
    <col min="9" max="16384" width="9.28515625" style="568"/>
  </cols>
  <sheetData>
    <row r="1" spans="1:9" ht="11.25" customHeight="1">
      <c r="A1" s="566" t="s">
        <v>362</v>
      </c>
      <c r="B1" s="567"/>
      <c r="C1" s="567"/>
      <c r="D1" s="567"/>
      <c r="E1" s="567"/>
      <c r="F1" s="567"/>
    </row>
    <row r="2" spans="1:9" ht="30" customHeight="1">
      <c r="A2" s="569" t="s">
        <v>248</v>
      </c>
      <c r="B2" s="570" t="s">
        <v>363</v>
      </c>
      <c r="C2" s="569" t="s">
        <v>352</v>
      </c>
      <c r="D2" s="571" t="s">
        <v>364</v>
      </c>
      <c r="E2" s="572" t="s">
        <v>365</v>
      </c>
      <c r="F2" s="572" t="s">
        <v>366</v>
      </c>
      <c r="G2" s="573"/>
      <c r="H2" s="574"/>
      <c r="I2" s="575"/>
    </row>
    <row r="3" spans="1:9" ht="69" customHeight="1">
      <c r="A3" s="578" t="s">
        <v>581</v>
      </c>
      <c r="B3" s="578" t="s">
        <v>629</v>
      </c>
      <c r="C3" s="576">
        <v>44698.727083333331</v>
      </c>
      <c r="D3" s="577" t="s">
        <v>630</v>
      </c>
      <c r="E3" s="578">
        <v>0.9</v>
      </c>
      <c r="F3" s="578"/>
      <c r="G3" s="579"/>
      <c r="H3" s="579"/>
      <c r="I3" s="581"/>
    </row>
    <row r="4" spans="1:9" ht="69" customHeight="1">
      <c r="A4" s="578" t="s">
        <v>631</v>
      </c>
      <c r="B4" s="578" t="s">
        <v>632</v>
      </c>
      <c r="C4" s="576">
        <v>44698.945833333331</v>
      </c>
      <c r="D4" s="577" t="s">
        <v>633</v>
      </c>
      <c r="E4" s="578">
        <v>18.3</v>
      </c>
      <c r="F4" s="578">
        <v>10.5</v>
      </c>
      <c r="G4" s="579"/>
      <c r="H4" s="579"/>
      <c r="I4" s="582"/>
    </row>
    <row r="5" spans="1:9" ht="70.2" customHeight="1">
      <c r="A5" s="578" t="s">
        <v>111</v>
      </c>
      <c r="B5" s="578" t="s">
        <v>634</v>
      </c>
      <c r="C5" s="576">
        <v>44703.756944444445</v>
      </c>
      <c r="D5" s="577" t="s">
        <v>635</v>
      </c>
      <c r="E5" s="578">
        <v>9.1</v>
      </c>
      <c r="F5" s="578"/>
      <c r="G5" s="579"/>
      <c r="H5" s="579"/>
      <c r="I5" s="583"/>
    </row>
    <row r="6" spans="1:9" ht="57.75" customHeight="1">
      <c r="A6" s="578" t="s">
        <v>636</v>
      </c>
      <c r="B6" s="578" t="s">
        <v>637</v>
      </c>
      <c r="C6" s="576">
        <v>44708.609722222223</v>
      </c>
      <c r="D6" s="577" t="s">
        <v>638</v>
      </c>
      <c r="E6" s="578">
        <v>5.4</v>
      </c>
      <c r="F6" s="578"/>
      <c r="G6" s="579"/>
      <c r="H6" s="579"/>
      <c r="I6" s="582"/>
    </row>
    <row r="7" spans="1:9" ht="74.400000000000006" customHeight="1">
      <c r="A7" s="578" t="s">
        <v>101</v>
      </c>
      <c r="B7" s="578" t="s">
        <v>639</v>
      </c>
      <c r="C7" s="576">
        <v>44709.311111111114</v>
      </c>
      <c r="D7" s="577" t="s">
        <v>640</v>
      </c>
      <c r="E7" s="578">
        <v>0.9</v>
      </c>
      <c r="F7" s="578"/>
      <c r="G7" s="579"/>
      <c r="H7" s="579"/>
      <c r="I7" s="582"/>
    </row>
    <row r="8" spans="1:9" ht="54" customHeight="1">
      <c r="A8" s="578" t="s">
        <v>641</v>
      </c>
      <c r="B8" s="578" t="s">
        <v>642</v>
      </c>
      <c r="C8" s="576">
        <v>44709.842361111114</v>
      </c>
      <c r="D8" s="577" t="s">
        <v>643</v>
      </c>
      <c r="E8" s="578">
        <v>12</v>
      </c>
      <c r="F8" s="578"/>
      <c r="G8" s="579"/>
      <c r="H8" s="579"/>
      <c r="I8" s="582"/>
    </row>
    <row r="9" spans="1:9" ht="104.25" customHeight="1">
      <c r="A9" s="578" t="s">
        <v>636</v>
      </c>
      <c r="B9" s="578" t="s">
        <v>644</v>
      </c>
      <c r="C9" s="576">
        <v>44710.749305555553</v>
      </c>
      <c r="D9" s="577" t="s">
        <v>645</v>
      </c>
      <c r="E9" s="578">
        <v>3</v>
      </c>
      <c r="F9" s="578"/>
      <c r="G9" s="579"/>
      <c r="H9" s="579"/>
      <c r="I9" s="582"/>
    </row>
    <row r="10" spans="1:9" ht="75.75" customHeight="1">
      <c r="A10" s="578" t="s">
        <v>581</v>
      </c>
      <c r="B10" s="578" t="s">
        <v>611</v>
      </c>
      <c r="C10" s="576">
        <v>44711.374305555553</v>
      </c>
      <c r="D10" s="577" t="s">
        <v>646</v>
      </c>
      <c r="E10" s="578">
        <v>17.190000000000001</v>
      </c>
      <c r="F10" s="578"/>
    </row>
    <row r="11" spans="1:9">
      <c r="E11" s="585"/>
      <c r="F11" s="585"/>
    </row>
    <row r="12" spans="1:9">
      <c r="E12" s="585"/>
      <c r="F12" s="585"/>
    </row>
    <row r="13" spans="1:9">
      <c r="E13" s="585"/>
      <c r="F13" s="585"/>
    </row>
    <row r="14" spans="1:9">
      <c r="E14" s="585"/>
      <c r="F14" s="585"/>
    </row>
    <row r="15" spans="1:9">
      <c r="E15" s="585"/>
      <c r="F15" s="585"/>
    </row>
    <row r="16" spans="1:9">
      <c r="E16" s="585"/>
      <c r="F16" s="585"/>
    </row>
    <row r="17" spans="5:6">
      <c r="E17" s="585"/>
      <c r="F17" s="585"/>
    </row>
    <row r="18" spans="5:6">
      <c r="E18" s="585"/>
      <c r="F18" s="585"/>
    </row>
    <row r="19" spans="5:6">
      <c r="E19" s="585"/>
      <c r="F19" s="585"/>
    </row>
    <row r="20" spans="5:6">
      <c r="E20" s="585"/>
      <c r="F20" s="585"/>
    </row>
    <row r="21" spans="5:6">
      <c r="E21" s="585"/>
      <c r="F21" s="585"/>
    </row>
    <row r="22" spans="5:6">
      <c r="E22" s="585"/>
      <c r="F22" s="585"/>
    </row>
    <row r="23" spans="5:6">
      <c r="E23" s="585"/>
      <c r="F23" s="585"/>
    </row>
    <row r="24" spans="5:6">
      <c r="E24" s="585"/>
      <c r="F24" s="585"/>
    </row>
    <row r="25" spans="5:6">
      <c r="E25" s="585"/>
      <c r="F25" s="585"/>
    </row>
    <row r="26" spans="5:6">
      <c r="E26" s="585"/>
      <c r="F26" s="585"/>
    </row>
    <row r="27" spans="5:6">
      <c r="E27" s="585"/>
      <c r="F27" s="585"/>
    </row>
    <row r="28" spans="5:6">
      <c r="E28" s="585"/>
      <c r="F28" s="585"/>
    </row>
    <row r="29" spans="5:6">
      <c r="E29" s="585"/>
      <c r="F29" s="585"/>
    </row>
    <row r="30" spans="5:6">
      <c r="E30" s="585"/>
      <c r="F30" s="585"/>
    </row>
    <row r="31" spans="5:6">
      <c r="E31" s="585"/>
      <c r="F31" s="585"/>
    </row>
    <row r="32" spans="5:6">
      <c r="E32" s="585"/>
      <c r="F32" s="585"/>
    </row>
    <row r="33" spans="5:6">
      <c r="E33" s="585"/>
      <c r="F33" s="585"/>
    </row>
    <row r="34" spans="5:6">
      <c r="E34" s="585"/>
      <c r="F34" s="585"/>
    </row>
    <row r="35" spans="5:6">
      <c r="E35" s="585"/>
      <c r="F35" s="585"/>
    </row>
    <row r="36" spans="5:6">
      <c r="E36" s="585"/>
      <c r="F36" s="585"/>
    </row>
    <row r="37" spans="5:6">
      <c r="E37" s="585"/>
      <c r="F37" s="585"/>
    </row>
    <row r="38" spans="5:6">
      <c r="E38" s="585"/>
      <c r="F38" s="585"/>
    </row>
    <row r="39" spans="5:6">
      <c r="E39" s="585"/>
      <c r="F39" s="585"/>
    </row>
    <row r="40" spans="5:6">
      <c r="E40" s="585"/>
      <c r="F40" s="585"/>
    </row>
    <row r="41" spans="5:6">
      <c r="E41" s="585"/>
      <c r="F41" s="585"/>
    </row>
    <row r="42" spans="5:6">
      <c r="E42" s="585"/>
      <c r="F42" s="585"/>
    </row>
    <row r="43" spans="5:6">
      <c r="E43" s="585"/>
      <c r="F43" s="585"/>
    </row>
    <row r="44" spans="5:6">
      <c r="E44" s="585"/>
      <c r="F44" s="585"/>
    </row>
    <row r="45" spans="5:6">
      <c r="E45" s="585"/>
      <c r="F45" s="585"/>
    </row>
    <row r="46" spans="5:6">
      <c r="E46" s="585"/>
      <c r="F46" s="585"/>
    </row>
    <row r="47" spans="5:6">
      <c r="E47" s="585"/>
      <c r="F47" s="585"/>
    </row>
    <row r="48" spans="5:6">
      <c r="E48" s="585"/>
      <c r="F48" s="585"/>
    </row>
    <row r="49" spans="5:6">
      <c r="E49" s="585"/>
      <c r="F49" s="585"/>
    </row>
    <row r="50" spans="5:6">
      <c r="E50" s="585"/>
      <c r="F50" s="585"/>
    </row>
    <row r="51" spans="5:6">
      <c r="E51" s="585"/>
      <c r="F51" s="585"/>
    </row>
    <row r="52" spans="5:6">
      <c r="E52" s="585"/>
      <c r="F52" s="585"/>
    </row>
    <row r="53" spans="5:6">
      <c r="E53" s="585"/>
      <c r="F53" s="585"/>
    </row>
    <row r="54" spans="5:6">
      <c r="E54" s="585"/>
      <c r="F54" s="585"/>
    </row>
    <row r="55" spans="5:6">
      <c r="E55" s="585"/>
      <c r="F55" s="585"/>
    </row>
    <row r="56" spans="5:6">
      <c r="E56" s="585"/>
      <c r="F56" s="585"/>
    </row>
    <row r="57" spans="5:6">
      <c r="E57" s="585"/>
      <c r="F57" s="585"/>
    </row>
    <row r="58" spans="5:6">
      <c r="E58" s="585"/>
      <c r="F58" s="585"/>
    </row>
    <row r="59" spans="5:6">
      <c r="E59" s="585"/>
      <c r="F59" s="585"/>
    </row>
    <row r="60" spans="5:6">
      <c r="E60" s="585"/>
      <c r="F60" s="585"/>
    </row>
    <row r="61" spans="5:6">
      <c r="E61" s="585"/>
      <c r="F61" s="585"/>
    </row>
    <row r="62" spans="5:6">
      <c r="E62" s="585"/>
      <c r="F62" s="585"/>
    </row>
    <row r="63" spans="5:6">
      <c r="E63" s="585"/>
      <c r="F63" s="585"/>
    </row>
    <row r="64" spans="5:6">
      <c r="E64" s="585"/>
      <c r="F64" s="585"/>
    </row>
    <row r="65" spans="5:6">
      <c r="E65" s="585"/>
      <c r="F65" s="585"/>
    </row>
    <row r="66" spans="5:6">
      <c r="E66" s="585"/>
      <c r="F66" s="585"/>
    </row>
    <row r="67" spans="5:6">
      <c r="E67" s="585"/>
      <c r="F67" s="585"/>
    </row>
    <row r="68" spans="5:6">
      <c r="E68" s="585"/>
      <c r="F68" s="585"/>
    </row>
  </sheetData>
  <pageMargins left="0.59055118110236227" right="0.39370078740157483" top="0.87801724137931036"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Normal="100" zoomScaleSheetLayoutView="100" workbookViewId="0">
      <selection activeCell="R35" sqref="R35"/>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5"/>
      <c r="C7" s="25"/>
      <c r="D7" s="25"/>
      <c r="E7" s="25"/>
      <c r="F7" s="25"/>
      <c r="G7" s="25"/>
      <c r="H7" s="25"/>
      <c r="I7" s="25"/>
      <c r="J7" s="25"/>
      <c r="K7" s="25"/>
      <c r="L7" s="25"/>
      <c r="M7" s="25"/>
      <c r="N7" s="25"/>
      <c r="O7" s="25"/>
    </row>
    <row r="8" spans="2:15">
      <c r="B8" s="215"/>
      <c r="C8" s="25"/>
      <c r="D8" s="25"/>
      <c r="E8" s="25"/>
      <c r="F8" s="25"/>
      <c r="G8" s="25"/>
      <c r="H8" s="25"/>
      <c r="I8" s="25"/>
      <c r="J8" s="25"/>
      <c r="K8" s="25"/>
      <c r="L8" s="25"/>
      <c r="M8" s="25"/>
      <c r="N8" s="25"/>
      <c r="O8" s="25"/>
    </row>
    <row r="9" spans="2:15">
      <c r="B9" s="215"/>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3"/>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69"/>
  <sheetViews>
    <sheetView showGridLines="0" view="pageBreakPreview" zoomScale="130" zoomScaleNormal="100" zoomScaleSheetLayoutView="130" zoomScalePageLayoutView="85" workbookViewId="0">
      <selection activeCell="R35" sqref="R35"/>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4"/>
    <col min="15" max="16" width="10.140625" style="274" bestFit="1" customWidth="1"/>
    <col min="17" max="17" width="11.42578125" style="274" customWidth="1"/>
    <col min="18" max="18" width="9.28515625" style="274"/>
    <col min="19" max="22" width="9.28515625" style="684"/>
    <col min="23" max="23" width="9.28515625" style="294"/>
    <col min="24" max="16384" width="9.28515625" style="46"/>
  </cols>
  <sheetData>
    <row r="1" spans="1:17" ht="27.75" customHeight="1">
      <c r="A1" s="789" t="s">
        <v>22</v>
      </c>
      <c r="B1" s="789"/>
      <c r="C1" s="789"/>
      <c r="D1" s="789"/>
      <c r="E1" s="789"/>
      <c r="F1" s="789"/>
      <c r="G1" s="789"/>
      <c r="H1" s="789"/>
      <c r="I1" s="789"/>
      <c r="J1" s="789"/>
      <c r="K1" s="789"/>
      <c r="L1" s="789"/>
      <c r="M1" s="789"/>
      <c r="N1" s="695"/>
      <c r="O1" s="695"/>
      <c r="P1" s="695"/>
      <c r="Q1" s="695"/>
    </row>
    <row r="2" spans="1:17" ht="11.25" customHeight="1">
      <c r="A2" s="41"/>
      <c r="B2" s="40"/>
      <c r="C2" s="65"/>
      <c r="D2" s="65"/>
      <c r="E2" s="65"/>
      <c r="F2" s="65"/>
      <c r="G2" s="65"/>
      <c r="H2" s="65"/>
      <c r="I2" s="65"/>
      <c r="J2" s="65"/>
      <c r="K2" s="40"/>
      <c r="L2" s="40"/>
      <c r="M2" s="40"/>
      <c r="N2" s="695"/>
      <c r="O2" s="695"/>
      <c r="P2" s="695"/>
      <c r="Q2" s="695"/>
    </row>
    <row r="3" spans="1:17" ht="21.75" customHeight="1">
      <c r="A3" s="40"/>
      <c r="B3" s="42"/>
      <c r="C3" s="795" t="str">
        <f>+UPPER(Q4)&amp;" "&amp;Q5</f>
        <v>MAYO 2022</v>
      </c>
      <c r="D3" s="789"/>
      <c r="E3" s="789"/>
      <c r="F3" s="789"/>
      <c r="G3" s="789"/>
      <c r="H3" s="789"/>
      <c r="I3" s="789"/>
      <c r="J3" s="789"/>
      <c r="K3" s="40"/>
      <c r="L3" s="40"/>
      <c r="M3" s="40"/>
      <c r="N3" s="695"/>
      <c r="O3" s="695"/>
      <c r="P3" s="695"/>
      <c r="Q3" s="695"/>
    </row>
    <row r="4" spans="1:17" ht="11.25" customHeight="1">
      <c r="A4" s="40"/>
      <c r="B4" s="42"/>
      <c r="C4" s="40"/>
      <c r="D4" s="40"/>
      <c r="E4" s="40"/>
      <c r="F4" s="40"/>
      <c r="G4" s="40"/>
      <c r="H4" s="40"/>
      <c r="I4" s="40"/>
      <c r="J4" s="40"/>
      <c r="K4" s="40"/>
      <c r="L4" s="40"/>
      <c r="M4" s="40"/>
      <c r="N4" s="696"/>
      <c r="O4" s="696"/>
      <c r="P4" s="695" t="s">
        <v>210</v>
      </c>
      <c r="Q4" s="697" t="s">
        <v>596</v>
      </c>
    </row>
    <row r="5" spans="1:17" ht="11.25" customHeight="1">
      <c r="A5" s="47"/>
      <c r="B5" s="48"/>
      <c r="C5" s="49"/>
      <c r="D5" s="49"/>
      <c r="E5" s="49"/>
      <c r="F5" s="49"/>
      <c r="G5" s="49"/>
      <c r="H5" s="49"/>
      <c r="I5" s="49"/>
      <c r="J5" s="49"/>
      <c r="K5" s="49"/>
      <c r="L5" s="49"/>
      <c r="M5" s="40"/>
      <c r="N5" s="696"/>
      <c r="O5" s="696"/>
      <c r="P5" s="695" t="s">
        <v>211</v>
      </c>
      <c r="Q5" s="696">
        <v>2022</v>
      </c>
    </row>
    <row r="6" spans="1:17" ht="17.25" customHeight="1">
      <c r="A6" s="60" t="s">
        <v>397</v>
      </c>
      <c r="B6" s="40"/>
      <c r="C6" s="40"/>
      <c r="D6" s="40"/>
      <c r="E6" s="40"/>
      <c r="F6" s="40"/>
      <c r="G6" s="40"/>
      <c r="H6" s="40"/>
      <c r="I6" s="40"/>
      <c r="J6" s="40"/>
      <c r="K6" s="40"/>
      <c r="L6" s="40"/>
      <c r="M6" s="40"/>
      <c r="N6" s="695"/>
      <c r="O6" s="695"/>
      <c r="P6" s="695"/>
      <c r="Q6" s="698">
        <v>44682</v>
      </c>
    </row>
    <row r="7" spans="1:17" ht="11.25" customHeight="1">
      <c r="A7" s="40"/>
      <c r="B7" s="40"/>
      <c r="C7" s="40"/>
      <c r="D7" s="40"/>
      <c r="E7" s="40"/>
      <c r="F7" s="40"/>
      <c r="G7" s="40"/>
      <c r="H7" s="40"/>
      <c r="I7" s="40"/>
      <c r="J7" s="40"/>
      <c r="K7" s="40"/>
      <c r="L7" s="40"/>
      <c r="M7" s="40"/>
      <c r="N7" s="695"/>
      <c r="O7" s="695"/>
      <c r="P7" s="695"/>
      <c r="Q7" s="695">
        <v>31</v>
      </c>
    </row>
    <row r="8" spans="1:17" ht="11.25" customHeight="1">
      <c r="A8" s="43"/>
      <c r="B8" s="43"/>
      <c r="C8" s="43"/>
      <c r="D8" s="43"/>
      <c r="E8" s="43"/>
      <c r="F8" s="43"/>
      <c r="G8" s="43"/>
      <c r="H8" s="43"/>
      <c r="I8" s="43"/>
      <c r="J8" s="43"/>
      <c r="K8" s="43"/>
      <c r="L8" s="43"/>
      <c r="M8" s="43"/>
      <c r="N8" s="699"/>
      <c r="O8" s="699"/>
      <c r="P8" s="699"/>
      <c r="Q8" s="699"/>
    </row>
    <row r="9" spans="1:17" ht="14.25" customHeight="1">
      <c r="A9" s="40" t="str">
        <f>"1.1. Producción de energía eléctrica en "&amp;LOWER(Q4)&amp;" "&amp;Q5&amp;" en comparación al mismo mes del año anterior"</f>
        <v>1.1. Producción de energía eléctrica en mayo 2022 en comparación al mismo mes del año anterior</v>
      </c>
      <c r="B9" s="40"/>
      <c r="C9" s="40"/>
      <c r="D9" s="40"/>
      <c r="E9" s="40"/>
      <c r="F9" s="40"/>
      <c r="G9" s="40"/>
      <c r="H9" s="40"/>
      <c r="I9" s="40"/>
      <c r="J9" s="40"/>
      <c r="K9" s="40"/>
      <c r="L9" s="40"/>
      <c r="M9" s="40"/>
      <c r="N9" s="695"/>
      <c r="O9" s="695"/>
      <c r="P9" s="695"/>
      <c r="Q9" s="695"/>
    </row>
    <row r="10" spans="1:17" ht="11.25" customHeight="1">
      <c r="A10" s="47"/>
      <c r="B10" s="44"/>
      <c r="C10" s="44"/>
      <c r="D10" s="44"/>
      <c r="E10" s="44"/>
      <c r="F10" s="44"/>
      <c r="G10" s="44"/>
      <c r="H10" s="44"/>
      <c r="I10" s="44"/>
      <c r="J10" s="44"/>
      <c r="K10" s="44"/>
      <c r="L10" s="44"/>
      <c r="M10" s="44"/>
      <c r="N10" s="696"/>
      <c r="O10" s="696"/>
      <c r="P10" s="696"/>
      <c r="Q10" s="696"/>
    </row>
    <row r="11" spans="1:17" ht="11.25" customHeight="1">
      <c r="A11" s="50"/>
      <c r="B11" s="50"/>
      <c r="C11" s="50"/>
      <c r="D11" s="50"/>
      <c r="E11" s="50"/>
      <c r="F11" s="50"/>
      <c r="G11" s="50"/>
      <c r="H11" s="50"/>
      <c r="I11" s="50"/>
      <c r="J11" s="50"/>
      <c r="K11" s="50"/>
      <c r="L11" s="50"/>
      <c r="M11" s="50"/>
      <c r="N11" s="700"/>
      <c r="O11" s="700"/>
      <c r="P11" s="700"/>
      <c r="Q11" s="700"/>
    </row>
    <row r="12" spans="1:17" ht="27" customHeight="1">
      <c r="A12" s="62" t="s">
        <v>23</v>
      </c>
      <c r="B12" s="794" t="s">
        <v>600</v>
      </c>
      <c r="C12" s="794"/>
      <c r="D12" s="794"/>
      <c r="E12" s="794"/>
      <c r="F12" s="794"/>
      <c r="G12" s="794"/>
      <c r="H12" s="794"/>
      <c r="I12" s="794"/>
      <c r="J12" s="794"/>
      <c r="K12" s="794"/>
      <c r="L12" s="794"/>
      <c r="M12" s="794"/>
      <c r="N12" s="696"/>
      <c r="O12" s="696"/>
      <c r="P12" s="696"/>
      <c r="Q12" s="696"/>
    </row>
    <row r="13" spans="1:17" ht="12.75" customHeight="1">
      <c r="A13" s="40"/>
      <c r="B13" s="64"/>
      <c r="C13" s="64"/>
      <c r="D13" s="64"/>
      <c r="E13" s="64"/>
      <c r="F13" s="64"/>
      <c r="G13" s="64"/>
      <c r="H13" s="64"/>
      <c r="I13" s="64"/>
      <c r="J13" s="64"/>
      <c r="K13" s="64"/>
      <c r="L13" s="64"/>
      <c r="M13" s="44"/>
      <c r="N13" s="696"/>
      <c r="O13" s="696"/>
      <c r="P13" s="696"/>
      <c r="Q13" s="696"/>
    </row>
    <row r="14" spans="1:17" ht="28.5" customHeight="1">
      <c r="A14" s="62" t="s">
        <v>23</v>
      </c>
      <c r="B14" s="794" t="s">
        <v>597</v>
      </c>
      <c r="C14" s="794"/>
      <c r="D14" s="794"/>
      <c r="E14" s="794"/>
      <c r="F14" s="794"/>
      <c r="G14" s="794"/>
      <c r="H14" s="794"/>
      <c r="I14" s="794"/>
      <c r="J14" s="794"/>
      <c r="K14" s="794"/>
      <c r="L14" s="794"/>
      <c r="M14" s="794"/>
      <c r="N14" s="696"/>
      <c r="O14" s="696"/>
      <c r="P14" s="696"/>
      <c r="Q14" s="696"/>
    </row>
    <row r="15" spans="1:17" ht="15" customHeight="1">
      <c r="A15" s="63"/>
      <c r="B15" s="64"/>
      <c r="C15" s="64"/>
      <c r="D15" s="64"/>
      <c r="E15" s="64"/>
      <c r="F15" s="64"/>
      <c r="G15" s="64"/>
      <c r="H15" s="64"/>
      <c r="I15" s="64"/>
      <c r="J15" s="64"/>
      <c r="K15" s="64"/>
      <c r="L15" s="64"/>
      <c r="M15" s="44"/>
      <c r="N15" s="696"/>
      <c r="O15" s="696"/>
      <c r="P15" s="696"/>
      <c r="Q15" s="696"/>
    </row>
    <row r="16" spans="1:17" ht="59.25" customHeight="1">
      <c r="A16" s="62" t="s">
        <v>23</v>
      </c>
      <c r="B16" s="794" t="s">
        <v>598</v>
      </c>
      <c r="C16" s="794"/>
      <c r="D16" s="794"/>
      <c r="E16" s="794"/>
      <c r="F16" s="794"/>
      <c r="G16" s="794"/>
      <c r="H16" s="794"/>
      <c r="I16" s="794"/>
      <c r="J16" s="794"/>
      <c r="K16" s="794"/>
      <c r="L16" s="794"/>
      <c r="M16" s="794"/>
      <c r="N16" s="696"/>
      <c r="O16" s="696"/>
      <c r="P16" s="696"/>
      <c r="Q16" s="696"/>
    </row>
    <row r="17" spans="1:18" ht="17.25" customHeight="1">
      <c r="A17" s="44"/>
      <c r="B17" s="44"/>
      <c r="C17" s="44"/>
      <c r="D17" s="44"/>
      <c r="E17" s="44"/>
      <c r="F17" s="44"/>
      <c r="G17" s="44"/>
      <c r="H17" s="44"/>
      <c r="I17" s="44"/>
      <c r="J17" s="44"/>
      <c r="K17" s="44"/>
      <c r="L17" s="44"/>
      <c r="M17" s="44"/>
      <c r="N17" s="696"/>
      <c r="O17" s="696"/>
      <c r="P17" s="696"/>
      <c r="Q17" s="696"/>
    </row>
    <row r="18" spans="1:18" ht="25.5" customHeight="1">
      <c r="A18" s="61" t="s">
        <v>23</v>
      </c>
      <c r="B18" s="793" t="s">
        <v>599</v>
      </c>
      <c r="C18" s="793"/>
      <c r="D18" s="793"/>
      <c r="E18" s="793"/>
      <c r="F18" s="793"/>
      <c r="G18" s="793"/>
      <c r="H18" s="793"/>
      <c r="I18" s="793"/>
      <c r="J18" s="793"/>
      <c r="K18" s="793"/>
      <c r="L18" s="793"/>
      <c r="M18" s="793"/>
      <c r="N18" s="696"/>
      <c r="O18" s="696"/>
      <c r="P18" s="696"/>
      <c r="Q18" s="696"/>
    </row>
    <row r="19" spans="1:18" ht="11.25" customHeight="1">
      <c r="A19" s="44"/>
      <c r="B19" s="44"/>
      <c r="C19" s="44"/>
      <c r="D19" s="44"/>
      <c r="E19" s="44"/>
      <c r="F19" s="44"/>
      <c r="G19" s="44"/>
      <c r="H19" s="44"/>
      <c r="I19" s="44"/>
      <c r="J19" s="44"/>
      <c r="K19" s="44"/>
      <c r="L19" s="44"/>
      <c r="M19" s="44"/>
      <c r="N19" s="696"/>
      <c r="O19" s="696"/>
      <c r="P19" s="696"/>
      <c r="Q19" s="696"/>
    </row>
    <row r="20" spans="1:18" ht="15.75" customHeight="1">
      <c r="A20" s="44"/>
      <c r="B20" s="44"/>
      <c r="C20" s="796" t="str">
        <f>+UPPER(Q4)&amp;" "&amp;Q5</f>
        <v>MAYO 2022</v>
      </c>
      <c r="D20" s="796"/>
      <c r="E20" s="796"/>
      <c r="F20" s="40"/>
      <c r="G20" s="40"/>
      <c r="H20" s="40"/>
      <c r="I20" s="796" t="str">
        <f>+UPPER(Q4)&amp;" "&amp;Q5-1</f>
        <v>MAYO 2021</v>
      </c>
      <c r="J20" s="796"/>
      <c r="K20" s="796"/>
      <c r="L20" s="796"/>
      <c r="M20" s="44"/>
      <c r="Q20" s="696"/>
    </row>
    <row r="21" spans="1:18" ht="11.25" customHeight="1">
      <c r="A21" s="44"/>
      <c r="B21" s="44"/>
      <c r="C21" s="44"/>
      <c r="D21" s="44"/>
      <c r="E21" s="44"/>
      <c r="F21" s="44"/>
      <c r="G21" s="44"/>
      <c r="H21" s="44"/>
      <c r="I21" s="44"/>
      <c r="J21" s="44"/>
      <c r="K21" s="44"/>
      <c r="L21" s="44"/>
      <c r="M21" s="44"/>
      <c r="Q21" s="696"/>
    </row>
    <row r="22" spans="1:18" ht="11.25" customHeight="1">
      <c r="A22" s="51"/>
      <c r="B22" s="52"/>
      <c r="C22" s="52"/>
      <c r="D22" s="52"/>
      <c r="E22" s="52"/>
      <c r="F22" s="52"/>
      <c r="G22" s="52"/>
      <c r="H22" s="52"/>
      <c r="I22" s="52"/>
      <c r="J22" s="52"/>
      <c r="K22" s="52"/>
      <c r="L22" s="52"/>
      <c r="M22" s="52"/>
      <c r="N22" s="701" t="s">
        <v>31</v>
      </c>
      <c r="O22" s="702"/>
      <c r="P22" s="702"/>
    </row>
    <row r="23" spans="1:18" ht="11.25" customHeight="1">
      <c r="A23" s="51"/>
      <c r="B23" s="52"/>
      <c r="C23" s="52"/>
      <c r="D23" s="52"/>
      <c r="E23" s="52"/>
      <c r="F23" s="52"/>
      <c r="G23" s="52"/>
      <c r="H23" s="52"/>
      <c r="I23" s="52"/>
      <c r="J23" s="52"/>
      <c r="K23" s="52"/>
      <c r="L23" s="52"/>
      <c r="M23" s="52"/>
      <c r="N23" s="701" t="s">
        <v>24</v>
      </c>
      <c r="O23" s="703">
        <v>2616.8815129024993</v>
      </c>
      <c r="P23" s="703">
        <v>2602.1822321374998</v>
      </c>
      <c r="Q23" s="704"/>
    </row>
    <row r="24" spans="1:18" ht="11.25" customHeight="1">
      <c r="A24" s="44"/>
      <c r="B24" s="44"/>
      <c r="C24" s="44"/>
      <c r="D24" s="44"/>
      <c r="E24" s="43"/>
      <c r="F24" s="44"/>
      <c r="G24" s="44"/>
      <c r="H24" s="44"/>
      <c r="I24" s="44"/>
      <c r="J24" s="44"/>
      <c r="K24" s="44"/>
      <c r="L24" s="44"/>
      <c r="M24" s="43"/>
      <c r="N24" s="704" t="s">
        <v>25</v>
      </c>
      <c r="O24" s="705">
        <v>1717.6699561725002</v>
      </c>
      <c r="P24" s="705">
        <v>1676.0198478275004</v>
      </c>
      <c r="Q24" s="706"/>
      <c r="R24" s="706"/>
    </row>
    <row r="25" spans="1:18" ht="11.25" customHeight="1">
      <c r="A25" s="44"/>
      <c r="B25" s="44"/>
      <c r="C25" s="44"/>
      <c r="D25" s="44"/>
      <c r="E25" s="44"/>
      <c r="F25" s="44"/>
      <c r="G25" s="44"/>
      <c r="H25" s="44"/>
      <c r="I25" s="44"/>
      <c r="J25" s="53"/>
      <c r="K25" s="53"/>
      <c r="L25" s="44"/>
      <c r="M25" s="44"/>
      <c r="N25" s="704" t="s">
        <v>26</v>
      </c>
      <c r="O25" s="705">
        <v>0</v>
      </c>
      <c r="P25" s="705">
        <v>5.7304631749999997</v>
      </c>
      <c r="Q25" s="701"/>
    </row>
    <row r="26" spans="1:18" ht="11.25" customHeight="1">
      <c r="A26" s="44"/>
      <c r="B26" s="44"/>
      <c r="C26" s="44"/>
      <c r="D26" s="44"/>
      <c r="E26" s="44"/>
      <c r="F26" s="44"/>
      <c r="G26" s="44"/>
      <c r="H26" s="44"/>
      <c r="I26" s="44"/>
      <c r="J26" s="53"/>
      <c r="K26" s="53"/>
      <c r="L26" s="44"/>
      <c r="M26" s="44"/>
      <c r="N26" s="701" t="s">
        <v>27</v>
      </c>
      <c r="O26" s="703">
        <v>1.9145844374999998</v>
      </c>
      <c r="P26" s="703">
        <v>4.3108132800000005</v>
      </c>
      <c r="Q26" s="701"/>
    </row>
    <row r="27" spans="1:18" ht="11.25" customHeight="1">
      <c r="A27" s="44"/>
      <c r="B27" s="44"/>
      <c r="C27" s="44"/>
      <c r="D27" s="44"/>
      <c r="E27" s="44"/>
      <c r="F27" s="44"/>
      <c r="G27" s="44"/>
      <c r="H27" s="44"/>
      <c r="I27" s="44"/>
      <c r="J27" s="53"/>
      <c r="K27" s="44"/>
      <c r="L27" s="44"/>
      <c r="M27" s="44"/>
      <c r="N27" s="701" t="s">
        <v>28</v>
      </c>
      <c r="O27" s="703">
        <v>24.512633592500002</v>
      </c>
      <c r="P27" s="703">
        <v>23.917403714999999</v>
      </c>
      <c r="Q27" s="701"/>
    </row>
    <row r="28" spans="1:18" ht="11.25" customHeight="1">
      <c r="A28" s="44"/>
      <c r="B28" s="44"/>
      <c r="C28" s="53"/>
      <c r="D28" s="53"/>
      <c r="E28" s="53"/>
      <c r="F28" s="53"/>
      <c r="G28" s="53"/>
      <c r="H28" s="53"/>
      <c r="I28" s="53"/>
      <c r="J28" s="53"/>
      <c r="K28" s="53"/>
      <c r="L28" s="44"/>
      <c r="M28" s="44"/>
      <c r="N28" s="701" t="s">
        <v>29</v>
      </c>
      <c r="O28" s="703">
        <v>171.76328389</v>
      </c>
      <c r="P28" s="703">
        <v>159.5248791475</v>
      </c>
      <c r="Q28" s="701"/>
    </row>
    <row r="29" spans="1:18" ht="11.25" customHeight="1">
      <c r="A29" s="44"/>
      <c r="B29" s="44"/>
      <c r="C29" s="53"/>
      <c r="D29" s="53"/>
      <c r="E29" s="53"/>
      <c r="F29" s="53"/>
      <c r="G29" s="53"/>
      <c r="H29" s="53"/>
      <c r="I29" s="53"/>
      <c r="J29" s="53"/>
      <c r="K29" s="53"/>
      <c r="L29" s="44"/>
      <c r="M29" s="44"/>
      <c r="N29" s="701" t="s">
        <v>30</v>
      </c>
      <c r="O29" s="703">
        <v>62.212973372500002</v>
      </c>
      <c r="P29" s="703">
        <v>57.124060049999997</v>
      </c>
      <c r="Q29" s="701"/>
    </row>
    <row r="30" spans="1:18" ht="11.25" customHeight="1">
      <c r="A30" s="44"/>
      <c r="B30" s="44"/>
      <c r="C30" s="53"/>
      <c r="D30" s="53"/>
      <c r="E30" s="53"/>
      <c r="F30" s="53"/>
      <c r="G30" s="53"/>
      <c r="H30" s="53"/>
      <c r="I30" s="53"/>
      <c r="J30" s="53"/>
      <c r="K30" s="53"/>
      <c r="L30" s="44"/>
      <c r="M30" s="44"/>
      <c r="N30" s="701"/>
      <c r="O30" s="701"/>
      <c r="P30" s="701"/>
      <c r="Q30" s="701"/>
    </row>
    <row r="31" spans="1:18" ht="11.25" customHeight="1">
      <c r="A31" s="44"/>
      <c r="B31" s="44"/>
      <c r="C31" s="53"/>
      <c r="D31" s="53"/>
      <c r="E31" s="53"/>
      <c r="F31" s="53"/>
      <c r="G31" s="53"/>
      <c r="H31" s="53"/>
      <c r="I31" s="53"/>
      <c r="J31" s="53"/>
      <c r="K31" s="53"/>
      <c r="L31" s="44"/>
      <c r="M31" s="44"/>
      <c r="O31" s="634"/>
      <c r="P31" s="634"/>
      <c r="Q31" s="707"/>
    </row>
    <row r="32" spans="1:18" ht="11.25" customHeight="1">
      <c r="A32" s="44"/>
      <c r="B32" s="44"/>
      <c r="C32" s="53"/>
      <c r="D32" s="53"/>
      <c r="E32" s="53"/>
      <c r="F32" s="53"/>
      <c r="G32" s="53"/>
      <c r="H32" s="53"/>
      <c r="I32" s="53"/>
      <c r="J32" s="53"/>
      <c r="K32" s="53"/>
      <c r="L32" s="44"/>
      <c r="M32" s="44"/>
      <c r="Q32" s="696"/>
    </row>
    <row r="33" spans="1:17" ht="11.25" customHeight="1">
      <c r="A33" s="44"/>
      <c r="B33" s="44"/>
      <c r="C33" s="53"/>
      <c r="D33" s="53"/>
      <c r="E33" s="53"/>
      <c r="F33" s="53"/>
      <c r="G33" s="53"/>
      <c r="H33" s="53"/>
      <c r="I33" s="53"/>
      <c r="J33" s="53"/>
      <c r="K33" s="53"/>
      <c r="L33" s="44"/>
      <c r="M33" s="44"/>
      <c r="Q33" s="696"/>
    </row>
    <row r="34" spans="1:17" ht="11.25" customHeight="1">
      <c r="A34" s="44"/>
      <c r="B34" s="44"/>
      <c r="C34" s="53"/>
      <c r="D34" s="53"/>
      <c r="E34" s="53"/>
      <c r="F34" s="53"/>
      <c r="G34" s="53"/>
      <c r="H34" s="53"/>
      <c r="I34" s="53"/>
      <c r="J34" s="53"/>
      <c r="K34" s="53"/>
      <c r="L34" s="44"/>
      <c r="M34" s="44"/>
      <c r="Q34" s="696"/>
    </row>
    <row r="35" spans="1:17" ht="11.25" customHeight="1">
      <c r="A35" s="54"/>
      <c r="B35" s="54"/>
      <c r="C35" s="55"/>
      <c r="D35" s="55"/>
      <c r="E35" s="55"/>
      <c r="F35" s="55"/>
      <c r="G35" s="55"/>
      <c r="H35" s="55"/>
      <c r="I35" s="55"/>
      <c r="J35" s="54"/>
      <c r="K35" s="54"/>
      <c r="L35" s="54"/>
      <c r="M35" s="54"/>
      <c r="Q35" s="696"/>
    </row>
    <row r="36" spans="1:17" ht="11.25" customHeight="1">
      <c r="A36" s="54"/>
      <c r="B36" s="54"/>
      <c r="C36" s="55"/>
      <c r="D36" s="55"/>
      <c r="E36" s="55"/>
      <c r="F36" s="55"/>
      <c r="G36" s="55"/>
      <c r="H36" s="55"/>
      <c r="I36" s="55"/>
      <c r="J36" s="54"/>
      <c r="K36" s="54"/>
      <c r="L36" s="54"/>
      <c r="M36" s="54"/>
      <c r="Q36" s="696"/>
    </row>
    <row r="37" spans="1:17" ht="11.25" customHeight="1">
      <c r="A37" s="54"/>
      <c r="B37" s="54"/>
      <c r="C37" s="55"/>
      <c r="D37" s="55"/>
      <c r="E37" s="55"/>
      <c r="F37" s="55"/>
      <c r="G37" s="55"/>
      <c r="H37" s="55"/>
      <c r="I37" s="55"/>
      <c r="J37" s="54"/>
      <c r="K37" s="54"/>
      <c r="L37" s="54"/>
      <c r="M37" s="54"/>
      <c r="N37" s="696"/>
      <c r="O37" s="696"/>
      <c r="P37" s="696"/>
      <c r="Q37" s="696"/>
    </row>
    <row r="38" spans="1:17" ht="11.25" customHeight="1">
      <c r="A38" s="54"/>
      <c r="B38" s="54"/>
      <c r="C38" s="55"/>
      <c r="D38" s="55"/>
      <c r="E38" s="55"/>
      <c r="F38" s="55"/>
      <c r="G38" s="55"/>
      <c r="H38" s="55"/>
      <c r="I38" s="55"/>
      <c r="J38" s="54"/>
      <c r="K38" s="54"/>
      <c r="L38" s="54"/>
      <c r="M38" s="54"/>
      <c r="N38" s="696"/>
      <c r="O38" s="696"/>
      <c r="P38" s="696"/>
      <c r="Q38" s="696"/>
    </row>
    <row r="39" spans="1:17" ht="11.25" customHeight="1">
      <c r="A39" s="54"/>
      <c r="B39" s="54"/>
      <c r="C39" s="55"/>
      <c r="D39" s="55"/>
      <c r="E39" s="55"/>
      <c r="F39" s="55"/>
      <c r="G39" s="55"/>
      <c r="H39" s="55"/>
      <c r="I39" s="55"/>
      <c r="J39" s="54"/>
      <c r="K39" s="54"/>
      <c r="L39" s="54"/>
      <c r="M39" s="54"/>
      <c r="N39" s="696"/>
      <c r="O39" s="696"/>
      <c r="P39" s="696"/>
      <c r="Q39" s="696"/>
    </row>
    <row r="40" spans="1:17" ht="11.25" customHeight="1">
      <c r="A40" s="54"/>
      <c r="B40" s="54"/>
      <c r="C40" s="55"/>
      <c r="D40" s="55"/>
      <c r="E40" s="55"/>
      <c r="F40" s="55"/>
      <c r="G40" s="55"/>
      <c r="H40" s="55"/>
      <c r="I40" s="55"/>
      <c r="J40" s="54"/>
      <c r="K40" s="54"/>
      <c r="L40" s="54"/>
      <c r="M40" s="54"/>
      <c r="N40" s="696"/>
      <c r="O40" s="696"/>
      <c r="P40" s="696"/>
      <c r="Q40" s="696"/>
    </row>
    <row r="41" spans="1:17" ht="11.25" customHeight="1">
      <c r="A41" s="54"/>
      <c r="B41" s="54"/>
      <c r="C41" s="54"/>
      <c r="D41" s="55"/>
      <c r="E41" s="55"/>
      <c r="F41" s="55"/>
      <c r="G41" s="55"/>
      <c r="H41" s="54"/>
      <c r="I41" s="54"/>
      <c r="J41" s="54"/>
      <c r="K41" s="54"/>
      <c r="L41" s="54"/>
      <c r="M41" s="54"/>
      <c r="N41" s="696"/>
      <c r="O41" s="696"/>
      <c r="P41" s="696"/>
      <c r="Q41" s="696"/>
    </row>
    <row r="42" spans="1:17" ht="11.25" customHeight="1">
      <c r="A42" s="54"/>
      <c r="B42" s="54"/>
      <c r="C42" s="55"/>
      <c r="D42" s="55"/>
      <c r="E42" s="55"/>
      <c r="F42" s="55"/>
      <c r="G42" s="55"/>
      <c r="H42" s="55"/>
      <c r="I42" s="55"/>
      <c r="J42" s="54"/>
      <c r="K42" s="54"/>
      <c r="L42" s="54"/>
      <c r="M42" s="54"/>
      <c r="N42" s="696"/>
      <c r="O42" s="696"/>
      <c r="P42" s="696"/>
      <c r="Q42" s="696"/>
    </row>
    <row r="43" spans="1:17" ht="11.25" customHeight="1">
      <c r="A43" s="54"/>
      <c r="B43" s="54"/>
      <c r="C43" s="55"/>
      <c r="D43" s="55"/>
      <c r="E43" s="55"/>
      <c r="F43" s="55"/>
      <c r="G43" s="55"/>
      <c r="H43" s="55"/>
      <c r="I43" s="55"/>
      <c r="J43" s="54"/>
      <c r="K43" s="54"/>
      <c r="L43" s="54"/>
      <c r="M43" s="54"/>
      <c r="N43" s="696"/>
      <c r="O43" s="696"/>
      <c r="P43" s="696"/>
      <c r="Q43" s="696"/>
    </row>
    <row r="44" spans="1:17" ht="11.25" customHeight="1">
      <c r="A44" s="54"/>
      <c r="B44" s="54"/>
      <c r="C44" s="55"/>
      <c r="D44" s="55"/>
      <c r="E44" s="55"/>
      <c r="F44" s="55"/>
      <c r="G44" s="55"/>
      <c r="H44" s="55"/>
      <c r="I44" s="55"/>
      <c r="J44" s="54"/>
      <c r="K44" s="54"/>
      <c r="L44" s="54"/>
      <c r="M44" s="54"/>
      <c r="N44" s="696"/>
      <c r="O44" s="696"/>
      <c r="P44" s="696"/>
      <c r="Q44" s="696"/>
    </row>
    <row r="45" spans="1:17" ht="11.25" customHeight="1">
      <c r="A45" s="54"/>
      <c r="B45" s="54"/>
      <c r="C45" s="55"/>
      <c r="D45" s="55"/>
      <c r="E45" s="55"/>
      <c r="F45" s="55"/>
      <c r="G45" s="55"/>
      <c r="H45" s="55"/>
      <c r="I45" s="55"/>
      <c r="J45" s="54"/>
      <c r="K45" s="54"/>
      <c r="L45" s="54"/>
      <c r="M45" s="54"/>
      <c r="N45" s="696"/>
      <c r="O45" s="696"/>
      <c r="P45" s="696"/>
      <c r="Q45" s="696"/>
    </row>
    <row r="46" spans="1:17" ht="11.25" customHeight="1">
      <c r="A46" s="54"/>
      <c r="B46" s="54"/>
      <c r="C46" s="54"/>
      <c r="D46" s="54"/>
      <c r="E46" s="54"/>
      <c r="F46" s="54"/>
      <c r="G46" s="54"/>
      <c r="H46" s="54"/>
      <c r="I46" s="54"/>
      <c r="J46" s="54"/>
      <c r="K46" s="54"/>
      <c r="L46" s="54"/>
      <c r="M46" s="54"/>
      <c r="N46" s="696"/>
      <c r="O46" s="696"/>
      <c r="P46" s="696"/>
      <c r="Q46" s="696"/>
    </row>
    <row r="47" spans="1:17" ht="16.5" customHeight="1">
      <c r="A47" s="54"/>
      <c r="B47" s="792" t="str">
        <f>"Total = "&amp;TEXT(ROUND(SUM(O23:O29),2),"0 000,00")&amp;" GWh"</f>
        <v>Total = 4 594,95 GWh</v>
      </c>
      <c r="C47" s="792"/>
      <c r="D47" s="792"/>
      <c r="E47" s="792"/>
      <c r="F47" s="54"/>
      <c r="G47" s="54"/>
      <c r="H47" s="791" t="str">
        <f>"Total = "&amp;TEXT(ROUND(SUM(P23:P29),2),"0 000,00")&amp;" GWh"</f>
        <v>Total = 4 528,81 GWh</v>
      </c>
      <c r="I47" s="791"/>
      <c r="J47" s="791"/>
      <c r="K47" s="791"/>
      <c r="L47" s="54"/>
      <c r="M47" s="54"/>
      <c r="N47" s="696"/>
      <c r="O47" s="696"/>
      <c r="P47" s="696"/>
      <c r="Q47" s="696"/>
    </row>
    <row r="48" spans="1:17" ht="11.25" customHeight="1">
      <c r="H48" s="54"/>
      <c r="I48" s="54"/>
      <c r="J48" s="54"/>
      <c r="K48" s="54"/>
      <c r="L48" s="54"/>
      <c r="M48" s="54"/>
      <c r="N48" s="696"/>
      <c r="O48" s="696"/>
      <c r="P48" s="696"/>
      <c r="Q48" s="696"/>
    </row>
    <row r="49" spans="1:17" ht="11.25" customHeight="1">
      <c r="B49" s="790" t="str">
        <f>"Gráfico 1: Comparación de producción mensual de electricidad en "&amp;Q4&amp;" por tipo de recurso energético."</f>
        <v>Gráfico 1: Comparación de producción mensual de electricidad en mayo por tipo de recurso energético.</v>
      </c>
      <c r="C49" s="790"/>
      <c r="D49" s="790"/>
      <c r="E49" s="790"/>
      <c r="F49" s="790"/>
      <c r="G49" s="790"/>
      <c r="H49" s="790"/>
      <c r="I49" s="790"/>
      <c r="J49" s="790"/>
      <c r="K49" s="790"/>
      <c r="L49" s="790"/>
      <c r="M49" s="225"/>
      <c r="N49" s="708"/>
      <c r="O49" s="696"/>
      <c r="P49" s="696"/>
      <c r="Q49" s="696"/>
    </row>
    <row r="50" spans="1:17" ht="11.25" customHeight="1">
      <c r="B50" s="565"/>
      <c r="C50" s="565"/>
      <c r="D50" s="565"/>
      <c r="E50" s="565"/>
      <c r="F50" s="565"/>
      <c r="G50" s="565"/>
      <c r="H50" s="565"/>
      <c r="I50" s="565"/>
      <c r="J50" s="565"/>
      <c r="K50" s="565"/>
      <c r="L50" s="565"/>
      <c r="M50" s="225"/>
      <c r="N50" s="708"/>
      <c r="O50" s="696"/>
      <c r="P50" s="696"/>
      <c r="Q50" s="696"/>
    </row>
    <row r="51" spans="1:17" ht="21.75" customHeight="1">
      <c r="B51" s="787"/>
      <c r="C51" s="788"/>
      <c r="D51" s="788"/>
      <c r="E51" s="788"/>
      <c r="F51" s="788"/>
      <c r="G51" s="788"/>
      <c r="H51" s="788"/>
      <c r="I51" s="788"/>
      <c r="J51" s="788"/>
      <c r="K51" s="788"/>
      <c r="L51" s="788"/>
      <c r="M51" s="788"/>
      <c r="N51" s="708"/>
      <c r="O51" s="696"/>
      <c r="P51" s="696"/>
      <c r="Q51" s="696"/>
    </row>
    <row r="52" spans="1:17" ht="11.25" customHeight="1">
      <c r="A52" s="54"/>
      <c r="B52" s="54"/>
      <c r="C52" s="45"/>
      <c r="D52" s="45"/>
      <c r="E52" s="54"/>
      <c r="F52" s="54"/>
      <c r="G52" s="54"/>
      <c r="H52" s="54"/>
      <c r="I52" s="54"/>
      <c r="J52" s="54"/>
      <c r="K52" s="54"/>
      <c r="L52" s="54"/>
      <c r="M52" s="54"/>
      <c r="N52" s="696"/>
      <c r="O52" s="696"/>
      <c r="P52" s="696"/>
      <c r="Q52" s="696"/>
    </row>
    <row r="53" spans="1:17" ht="11.25" customHeight="1">
      <c r="A53" s="54"/>
      <c r="B53" s="54"/>
      <c r="C53" s="54"/>
      <c r="D53" s="54"/>
      <c r="E53" s="54"/>
      <c r="F53" s="54"/>
      <c r="G53" s="54"/>
      <c r="H53" s="54"/>
      <c r="I53" s="54"/>
      <c r="J53" s="54"/>
      <c r="K53" s="54"/>
      <c r="L53" s="54"/>
      <c r="M53" s="54"/>
      <c r="N53" s="696"/>
      <c r="O53" s="696"/>
      <c r="P53" s="696"/>
      <c r="Q53" s="696"/>
    </row>
    <row r="54" spans="1:17" ht="11.25" customHeight="1">
      <c r="A54" s="54"/>
      <c r="B54" s="54"/>
      <c r="C54" s="54"/>
      <c r="D54" s="54"/>
      <c r="E54" s="54"/>
      <c r="F54" s="54"/>
      <c r="G54" s="54"/>
      <c r="H54" s="54"/>
      <c r="I54" s="54"/>
      <c r="J54" s="54"/>
      <c r="K54" s="54"/>
      <c r="L54" s="54"/>
      <c r="M54" s="54"/>
      <c r="N54" s="696"/>
      <c r="O54" s="696"/>
      <c r="P54" s="696"/>
      <c r="Q54" s="696"/>
    </row>
    <row r="55" spans="1:17" ht="11.25" customHeight="1">
      <c r="A55" s="54"/>
      <c r="B55" s="54"/>
      <c r="C55" s="54"/>
      <c r="D55" s="54"/>
      <c r="E55" s="54"/>
      <c r="F55" s="54"/>
      <c r="G55" s="54"/>
      <c r="H55" s="54"/>
      <c r="I55" s="54"/>
      <c r="J55" s="54"/>
      <c r="K55" s="54"/>
      <c r="L55" s="54"/>
      <c r="M55" s="54"/>
      <c r="N55" s="696"/>
      <c r="O55" s="696"/>
      <c r="P55" s="696"/>
      <c r="Q55" s="696"/>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B18:M18"/>
    <mergeCell ref="B12:M12"/>
    <mergeCell ref="B14:M14"/>
    <mergeCell ref="B16:M16"/>
    <mergeCell ref="C3:J3"/>
    <mergeCell ref="C20:E20"/>
    <mergeCell ref="I20:L20"/>
  </mergeCells>
  <pageMargins left="0.41605392156862747" right="0.24963235294117647"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56"/>
  <sheetViews>
    <sheetView showGridLines="0" view="pageBreakPreview" zoomScale="90" zoomScaleNormal="100" zoomScaleSheetLayoutView="90" zoomScalePageLayoutView="85" workbookViewId="0">
      <selection activeCell="H9" sqref="H9"/>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84"/>
    <col min="12" max="12" width="18.7109375" style="274" bestFit="1" customWidth="1"/>
    <col min="13" max="14" width="9.28515625" style="274"/>
    <col min="15" max="16" width="9.28515625" style="684"/>
    <col min="17" max="17" width="9.28515625" style="678"/>
    <col min="18" max="16384" width="9.28515625" style="46"/>
  </cols>
  <sheetData>
    <row r="2" spans="1:17" ht="16.5" customHeight="1">
      <c r="A2" s="801" t="s">
        <v>566</v>
      </c>
      <c r="B2" s="801"/>
      <c r="C2" s="801"/>
      <c r="D2" s="801"/>
      <c r="E2" s="801"/>
      <c r="F2" s="801"/>
      <c r="G2" s="801"/>
      <c r="H2" s="801"/>
      <c r="I2" s="801"/>
      <c r="J2" s="801"/>
      <c r="K2" s="709"/>
    </row>
    <row r="3" spans="1:17" ht="12" customHeight="1">
      <c r="A3" s="137"/>
      <c r="B3" s="206"/>
      <c r="C3" s="216"/>
      <c r="D3" s="217"/>
      <c r="E3" s="217"/>
      <c r="F3" s="218"/>
      <c r="G3" s="219"/>
      <c r="H3" s="219"/>
      <c r="I3" s="170"/>
      <c r="J3" s="218"/>
    </row>
    <row r="4" spans="1:17" ht="11.25" customHeight="1">
      <c r="A4" s="185" t="s">
        <v>439</v>
      </c>
      <c r="B4" s="206"/>
      <c r="C4" s="216"/>
      <c r="D4" s="217"/>
      <c r="E4" s="217"/>
      <c r="F4" s="218"/>
      <c r="G4" s="219"/>
      <c r="H4" s="219"/>
      <c r="I4" s="170"/>
      <c r="J4" s="218"/>
      <c r="K4" s="683"/>
    </row>
    <row r="5" spans="1:17" ht="11.25" customHeight="1">
      <c r="A5" s="185"/>
      <c r="B5" s="206"/>
      <c r="C5" s="216"/>
      <c r="D5" s="217"/>
      <c r="E5" s="217"/>
      <c r="F5" s="218"/>
      <c r="G5" s="219"/>
      <c r="H5" s="219"/>
      <c r="I5" s="170"/>
      <c r="J5" s="218"/>
      <c r="K5" s="683"/>
    </row>
    <row r="6" spans="1:17" ht="22.5" customHeight="1">
      <c r="A6" s="137" t="s">
        <v>601</v>
      </c>
      <c r="B6" s="206"/>
      <c r="C6" s="216"/>
      <c r="D6" s="217"/>
      <c r="E6" s="217"/>
      <c r="F6" s="218"/>
      <c r="G6" s="219"/>
      <c r="H6" s="219"/>
      <c r="I6" s="170"/>
      <c r="J6" s="218"/>
      <c r="K6" s="683"/>
    </row>
    <row r="7" spans="1:17" ht="21.75" customHeight="1">
      <c r="B7" s="206"/>
      <c r="C7" s="216"/>
      <c r="D7" s="217"/>
      <c r="E7" s="217"/>
      <c r="F7" s="218"/>
      <c r="G7" s="219"/>
      <c r="H7" s="219"/>
      <c r="I7" s="170"/>
      <c r="J7" s="218"/>
      <c r="K7" s="683"/>
    </row>
    <row r="8" spans="1:17" s="220" customFormat="1" ht="13.2" customHeight="1">
      <c r="H8" s="659"/>
      <c r="I8" s="659"/>
      <c r="J8" s="660"/>
      <c r="K8" s="710"/>
      <c r="L8" s="677"/>
      <c r="M8" s="677"/>
      <c r="N8" s="677"/>
      <c r="O8" s="711"/>
      <c r="P8" s="711"/>
      <c r="Q8" s="679"/>
    </row>
    <row r="9" spans="1:17" s="220" customFormat="1" ht="13.2" customHeight="1">
      <c r="H9" s="659"/>
      <c r="I9" s="659"/>
      <c r="J9" s="660"/>
      <c r="K9" s="710"/>
      <c r="L9" s="677"/>
      <c r="M9" s="677"/>
      <c r="N9" s="677"/>
      <c r="O9" s="711"/>
      <c r="P9" s="711"/>
      <c r="Q9" s="679"/>
    </row>
    <row r="10" spans="1:17" s="220" customFormat="1" ht="10.199999999999999" customHeight="1">
      <c r="A10" s="185" t="s">
        <v>541</v>
      </c>
      <c r="B10" s="560"/>
      <c r="C10" s="560"/>
      <c r="D10" s="560"/>
      <c r="E10" s="560"/>
      <c r="F10" s="561"/>
      <c r="G10" s="562"/>
      <c r="H10" s="563"/>
      <c r="I10" s="563"/>
      <c r="J10" s="564"/>
      <c r="K10" s="710"/>
      <c r="L10" s="677"/>
      <c r="M10" s="677"/>
      <c r="N10" s="677"/>
      <c r="O10" s="711"/>
      <c r="P10" s="711"/>
      <c r="Q10" s="679"/>
    </row>
    <row r="11" spans="1:17" s="220" customFormat="1" ht="10.199999999999999" customHeight="1">
      <c r="A11" s="559"/>
      <c r="B11" s="560"/>
      <c r="C11" s="560"/>
      <c r="D11" s="560"/>
      <c r="E11" s="560"/>
      <c r="F11" s="561"/>
      <c r="G11" s="562"/>
      <c r="H11" s="563"/>
      <c r="I11" s="563"/>
      <c r="J11" s="564"/>
      <c r="K11" s="710"/>
      <c r="L11" s="677"/>
      <c r="M11" s="677"/>
      <c r="N11" s="677"/>
      <c r="O11" s="711"/>
      <c r="P11" s="711"/>
      <c r="Q11" s="679"/>
    </row>
    <row r="12" spans="1:17" s="220" customFormat="1" ht="27.6" customHeight="1">
      <c r="A12" s="137" t="s">
        <v>602</v>
      </c>
      <c r="B12" s="560"/>
      <c r="C12" s="560"/>
      <c r="D12" s="560"/>
      <c r="E12" s="560"/>
      <c r="F12" s="561"/>
      <c r="G12" s="562"/>
      <c r="H12" s="563"/>
      <c r="I12" s="563"/>
      <c r="J12" s="564"/>
      <c r="K12" s="710"/>
      <c r="L12" s="677"/>
      <c r="M12" s="677"/>
      <c r="N12" s="677"/>
      <c r="O12" s="711"/>
      <c r="P12" s="711"/>
      <c r="Q12" s="679"/>
    </row>
    <row r="13" spans="1:17" s="220" customFormat="1" ht="27" customHeight="1">
      <c r="A13" s="559"/>
      <c r="B13" s="560"/>
      <c r="C13" s="560"/>
      <c r="D13" s="560"/>
      <c r="E13" s="560"/>
      <c r="F13" s="561"/>
      <c r="G13" s="562"/>
      <c r="H13" s="563"/>
      <c r="I13" s="563"/>
      <c r="J13" s="564"/>
      <c r="K13" s="710"/>
      <c r="L13" s="677"/>
      <c r="M13" s="677"/>
      <c r="N13" s="677"/>
      <c r="O13" s="711"/>
      <c r="P13" s="711"/>
      <c r="Q13" s="679"/>
    </row>
    <row r="14" spans="1:17" s="220" customFormat="1" ht="13.2" customHeight="1">
      <c r="A14" s="559"/>
      <c r="B14" s="560"/>
      <c r="C14" s="560"/>
      <c r="D14" s="560"/>
      <c r="E14" s="560"/>
      <c r="F14" s="561"/>
      <c r="G14" s="562"/>
      <c r="H14" s="563"/>
      <c r="I14" s="563"/>
      <c r="J14" s="564"/>
      <c r="K14" s="710"/>
      <c r="L14" s="677"/>
      <c r="M14" s="677"/>
      <c r="N14" s="677"/>
      <c r="O14" s="711"/>
      <c r="P14" s="711"/>
      <c r="Q14" s="679"/>
    </row>
    <row r="15" spans="1:17" s="220" customFormat="1" ht="13.95" customHeight="1">
      <c r="A15" s="559"/>
      <c r="B15" s="560"/>
      <c r="C15" s="560"/>
      <c r="D15" s="560"/>
      <c r="E15" s="560"/>
      <c r="F15" s="561"/>
      <c r="G15" s="562"/>
      <c r="H15" s="563"/>
      <c r="I15" s="563"/>
      <c r="J15" s="564"/>
      <c r="K15" s="710"/>
      <c r="L15" s="677"/>
      <c r="M15" s="677"/>
      <c r="N15" s="677"/>
      <c r="O15" s="711"/>
      <c r="P15" s="711"/>
      <c r="Q15" s="679"/>
    </row>
    <row r="16" spans="1:17" ht="11.25" customHeight="1">
      <c r="A16" s="185" t="s">
        <v>472</v>
      </c>
      <c r="B16" s="132"/>
      <c r="C16" s="221"/>
      <c r="D16" s="132"/>
      <c r="E16" s="132"/>
      <c r="F16" s="132"/>
      <c r="G16" s="132"/>
      <c r="H16" s="132"/>
      <c r="I16" s="132"/>
      <c r="J16" s="132"/>
      <c r="K16" s="712"/>
    </row>
    <row r="17" spans="2:15" ht="11.25" customHeight="1">
      <c r="B17" s="132"/>
      <c r="C17" s="221"/>
      <c r="D17" s="132"/>
      <c r="E17" s="132"/>
      <c r="F17" s="132"/>
      <c r="G17" s="132"/>
      <c r="H17" s="132"/>
      <c r="I17" s="132"/>
      <c r="J17" s="132"/>
      <c r="K17" s="712"/>
    </row>
    <row r="18" spans="2:15" ht="21" customHeight="1">
      <c r="B18" s="799" t="s">
        <v>216</v>
      </c>
      <c r="C18" s="800"/>
      <c r="D18" s="357" t="str">
        <f>UPPER('1. Resumen'!Q4)&amp;" "&amp;'1. Resumen'!Q5</f>
        <v>MAYO 2022</v>
      </c>
      <c r="E18" s="357" t="str">
        <f>UPPER('1. Resumen'!Q4)&amp;" "&amp;'1. Resumen'!Q5-1</f>
        <v>MAYO 2021</v>
      </c>
      <c r="F18" s="358" t="s">
        <v>217</v>
      </c>
      <c r="G18" s="222"/>
      <c r="H18" s="222"/>
      <c r="I18" s="132"/>
      <c r="J18" s="132"/>
    </row>
    <row r="19" spans="2:15" ht="9.75" customHeight="1">
      <c r="B19" s="802" t="s">
        <v>213</v>
      </c>
      <c r="C19" s="803"/>
      <c r="D19" s="347">
        <v>5261.9382474999966</v>
      </c>
      <c r="E19" s="348">
        <v>5214.3692474999998</v>
      </c>
      <c r="F19" s="661">
        <f>+D19/E19-1</f>
        <v>9.1226757719169438E-3</v>
      </c>
      <c r="G19" s="222"/>
      <c r="H19" s="222"/>
      <c r="I19" s="132"/>
      <c r="J19" s="132"/>
      <c r="K19" s="712"/>
    </row>
    <row r="20" spans="2:15" ht="9.75" customHeight="1">
      <c r="B20" s="804" t="s">
        <v>214</v>
      </c>
      <c r="C20" s="805"/>
      <c r="D20" s="349">
        <v>7490.5944999999983</v>
      </c>
      <c r="E20" s="350">
        <v>7398.3644999999997</v>
      </c>
      <c r="F20" s="662">
        <f>+D20/E20-1</f>
        <v>1.2466268727365115E-2</v>
      </c>
      <c r="G20" s="223"/>
      <c r="H20" s="223"/>
      <c r="M20" s="680"/>
      <c r="N20" s="680"/>
      <c r="O20" s="713"/>
    </row>
    <row r="21" spans="2:15" ht="9.75" customHeight="1">
      <c r="B21" s="806" t="s">
        <v>215</v>
      </c>
      <c r="C21" s="807"/>
      <c r="D21" s="351">
        <v>412.2</v>
      </c>
      <c r="E21" s="352">
        <v>412.2</v>
      </c>
      <c r="F21" s="663">
        <f>+D21/E21-1</f>
        <v>0</v>
      </c>
      <c r="G21" s="223"/>
      <c r="H21" s="223"/>
    </row>
    <row r="22" spans="2:15" ht="9.75" customHeight="1">
      <c r="B22" s="808" t="s">
        <v>80</v>
      </c>
      <c r="C22" s="809"/>
      <c r="D22" s="353">
        <v>282.27499999999992</v>
      </c>
      <c r="E22" s="354">
        <v>285.02</v>
      </c>
      <c r="F22" s="664">
        <f>+D22/E22-1</f>
        <v>-9.6309030945198604E-3</v>
      </c>
      <c r="G22" s="223"/>
      <c r="H22" s="223"/>
    </row>
    <row r="23" spans="2:15" ht="10.5" customHeight="1">
      <c r="B23" s="797" t="s">
        <v>197</v>
      </c>
      <c r="C23" s="798"/>
      <c r="D23" s="355">
        <f>+SUM(D19:D22)</f>
        <v>13447.007747499994</v>
      </c>
      <c r="E23" s="355">
        <f>+SUM(E19:E22)</f>
        <v>13309.9537475</v>
      </c>
      <c r="F23" s="665">
        <f>+D23/E23-1</f>
        <v>1.0297105654911709E-2</v>
      </c>
      <c r="G23" s="319"/>
      <c r="H23" s="223"/>
    </row>
    <row r="24" spans="2:15" ht="11.25" customHeight="1">
      <c r="B24" s="265" t="str">
        <f>"Cuadro N° 2: Comparación de la potencia instalada en el SEIN al término de "&amp;'1. Resumen'!Q4&amp;" "&amp;'1. Resumen'!Q5-1&amp;" y "&amp;'1. Resumen'!Q4&amp;" "&amp;'1. Resumen'!Q5</f>
        <v>Cuadro N° 2: Comparación de la potencia instalada en el SEIN al término de mayo 2021 y mayo 2022</v>
      </c>
      <c r="C24" s="222"/>
      <c r="D24" s="222"/>
      <c r="E24" s="222"/>
      <c r="F24" s="222"/>
      <c r="G24" s="222"/>
      <c r="H24" s="222"/>
      <c r="I24" s="132"/>
      <c r="J24" s="132"/>
      <c r="K24" s="712"/>
    </row>
    <row r="25" spans="2:15" ht="9" customHeight="1">
      <c r="B25" s="265"/>
      <c r="C25" s="222"/>
      <c r="D25" s="222"/>
      <c r="E25" s="222"/>
      <c r="F25" s="222"/>
      <c r="G25" s="222"/>
      <c r="H25" s="222"/>
      <c r="I25" s="132"/>
      <c r="J25" s="132"/>
      <c r="K25" s="712"/>
    </row>
    <row r="26" spans="2:15" ht="9" customHeight="1">
      <c r="B26" s="265"/>
      <c r="C26" s="222"/>
      <c r="D26" s="222"/>
      <c r="E26" s="222"/>
      <c r="F26" s="222"/>
      <c r="G26" s="222"/>
      <c r="H26" s="222"/>
      <c r="I26" s="132"/>
      <c r="J26" s="132"/>
      <c r="K26" s="712"/>
    </row>
    <row r="27" spans="2:15" ht="9" customHeight="1">
      <c r="B27" s="265"/>
      <c r="C27" s="222"/>
      <c r="D27" s="222"/>
      <c r="E27" s="222"/>
      <c r="F27" s="222"/>
      <c r="G27" s="222"/>
      <c r="H27" s="222"/>
      <c r="I27" s="132"/>
      <c r="J27" s="132"/>
      <c r="K27" s="712"/>
    </row>
    <row r="28" spans="2:15" ht="9" customHeight="1">
      <c r="B28" s="265"/>
      <c r="C28" s="222"/>
      <c r="D28" s="222"/>
      <c r="E28" s="222"/>
      <c r="F28" s="222"/>
      <c r="G28" s="222"/>
      <c r="H28" s="222"/>
      <c r="I28" s="132"/>
      <c r="J28" s="132"/>
      <c r="K28" s="712"/>
    </row>
    <row r="29" spans="2:15" ht="9" customHeight="1">
      <c r="B29" s="265"/>
      <c r="C29" s="222"/>
      <c r="D29" s="222"/>
      <c r="E29" s="222"/>
      <c r="F29" s="222"/>
      <c r="G29" s="222"/>
      <c r="H29" s="222"/>
      <c r="I29" s="132"/>
      <c r="J29" s="132"/>
      <c r="K29" s="712"/>
    </row>
    <row r="30" spans="2:15" ht="9" customHeight="1">
      <c r="B30" s="265"/>
      <c r="C30" s="222"/>
      <c r="D30" s="222"/>
      <c r="E30" s="222"/>
      <c r="F30" s="222"/>
      <c r="G30" s="222"/>
      <c r="H30" s="222"/>
      <c r="I30" s="132"/>
      <c r="J30" s="132"/>
      <c r="K30" s="712"/>
    </row>
    <row r="31" spans="2:15" ht="9" customHeight="1">
      <c r="B31" s="265"/>
      <c r="C31" s="222"/>
      <c r="D31" s="222"/>
      <c r="E31" s="222"/>
      <c r="F31" s="222"/>
      <c r="G31" s="222"/>
      <c r="H31" s="222"/>
      <c r="I31" s="132"/>
      <c r="J31" s="132"/>
      <c r="K31" s="712"/>
    </row>
    <row r="32" spans="2:15" ht="9" customHeight="1">
      <c r="B32" s="265"/>
      <c r="C32" s="222"/>
      <c r="D32" s="222"/>
      <c r="E32" s="222"/>
      <c r="F32" s="222"/>
      <c r="G32" s="222"/>
      <c r="H32" s="222"/>
      <c r="I32" s="132"/>
      <c r="J32" s="132"/>
      <c r="K32" s="712"/>
    </row>
    <row r="33" spans="2:11" ht="9" customHeight="1">
      <c r="B33" s="265"/>
      <c r="C33" s="222"/>
      <c r="D33" s="222"/>
      <c r="E33" s="222"/>
      <c r="F33" s="222"/>
      <c r="G33" s="222"/>
      <c r="H33" s="222"/>
      <c r="I33" s="132"/>
      <c r="J33" s="132"/>
      <c r="K33" s="712"/>
    </row>
    <row r="34" spans="2:11" ht="9" customHeight="1">
      <c r="B34" s="265"/>
      <c r="C34" s="222"/>
      <c r="D34" s="222"/>
      <c r="E34" s="222"/>
      <c r="F34" s="222"/>
      <c r="G34" s="222"/>
      <c r="H34" s="222"/>
      <c r="I34" s="132"/>
      <c r="J34" s="132"/>
      <c r="K34" s="712"/>
    </row>
    <row r="35" spans="2:11" ht="9" customHeight="1">
      <c r="B35" s="265"/>
      <c r="C35" s="222"/>
      <c r="D35" s="222"/>
      <c r="E35" s="222"/>
      <c r="F35" s="222"/>
      <c r="G35" s="222"/>
      <c r="H35" s="222"/>
      <c r="I35" s="132"/>
      <c r="J35" s="132"/>
      <c r="K35" s="712"/>
    </row>
    <row r="36" spans="2:11" ht="9" customHeight="1">
      <c r="B36" s="265"/>
      <c r="C36" s="222"/>
      <c r="D36" s="222"/>
      <c r="E36" s="222"/>
      <c r="F36" s="222"/>
      <c r="G36" s="222"/>
      <c r="H36" s="222"/>
      <c r="I36" s="132"/>
      <c r="J36" s="132"/>
      <c r="K36" s="712"/>
    </row>
    <row r="37" spans="2:11" ht="9" customHeight="1">
      <c r="B37" s="265"/>
      <c r="C37" s="222"/>
      <c r="D37" s="222"/>
      <c r="E37" s="222"/>
      <c r="F37" s="222"/>
      <c r="G37" s="222"/>
      <c r="H37" s="222"/>
      <c r="I37" s="132"/>
      <c r="J37" s="132"/>
      <c r="K37" s="712"/>
    </row>
    <row r="38" spans="2:11" ht="9" customHeight="1">
      <c r="B38" s="265"/>
      <c r="C38" s="222"/>
      <c r="D38" s="222"/>
      <c r="E38" s="222"/>
      <c r="F38" s="222"/>
      <c r="G38" s="222"/>
      <c r="H38" s="222"/>
      <c r="I38" s="132"/>
      <c r="J38" s="132"/>
      <c r="K38" s="712"/>
    </row>
    <row r="39" spans="2:11" ht="9" customHeight="1">
      <c r="B39" s="265"/>
      <c r="C39" s="222"/>
      <c r="D39" s="222"/>
      <c r="E39" s="222"/>
      <c r="F39" s="222"/>
      <c r="G39" s="222"/>
      <c r="H39" s="222"/>
      <c r="I39" s="132"/>
      <c r="J39" s="132"/>
      <c r="K39" s="712"/>
    </row>
    <row r="40" spans="2:11" ht="9" customHeight="1">
      <c r="B40" s="265"/>
      <c r="C40" s="222"/>
      <c r="D40" s="222"/>
      <c r="E40" s="222"/>
      <c r="F40" s="222"/>
      <c r="G40" s="222"/>
      <c r="H40" s="222"/>
      <c r="I40" s="132"/>
      <c r="J40" s="132"/>
      <c r="K40" s="712"/>
    </row>
    <row r="41" spans="2:11" ht="9" customHeight="1">
      <c r="B41" s="265"/>
      <c r="C41" s="222"/>
      <c r="D41" s="222"/>
      <c r="E41" s="222"/>
      <c r="F41" s="222"/>
      <c r="G41" s="222"/>
      <c r="H41" s="222"/>
      <c r="I41" s="132"/>
      <c r="J41" s="132"/>
      <c r="K41" s="712"/>
    </row>
    <row r="42" spans="2:11" ht="9" customHeight="1">
      <c r="B42" s="265"/>
      <c r="C42" s="222"/>
      <c r="D42" s="222"/>
      <c r="E42" s="222"/>
      <c r="F42" s="222"/>
      <c r="G42" s="222"/>
      <c r="H42" s="222"/>
      <c r="I42" s="132"/>
      <c r="J42" s="132"/>
      <c r="K42" s="712"/>
    </row>
    <row r="43" spans="2:11" ht="9" customHeight="1">
      <c r="B43" s="265"/>
      <c r="C43" s="222"/>
      <c r="D43" s="222"/>
      <c r="E43" s="222"/>
      <c r="F43" s="222"/>
      <c r="G43" s="222"/>
      <c r="H43" s="222"/>
      <c r="I43" s="132"/>
      <c r="J43" s="132"/>
      <c r="K43" s="712"/>
    </row>
    <row r="44" spans="2:11" ht="9" customHeight="1">
      <c r="B44" s="265"/>
      <c r="C44" s="222"/>
      <c r="D44" s="222"/>
      <c r="E44" s="222"/>
      <c r="F44" s="222"/>
      <c r="G44" s="222"/>
      <c r="H44" s="222"/>
      <c r="I44" s="132"/>
      <c r="J44" s="132"/>
      <c r="K44" s="712"/>
    </row>
    <row r="45" spans="2:11" ht="9" customHeight="1">
      <c r="B45" s="265"/>
      <c r="C45" s="222"/>
      <c r="D45" s="222"/>
      <c r="E45" s="222"/>
      <c r="F45" s="222"/>
      <c r="G45" s="222"/>
      <c r="H45" s="222"/>
      <c r="I45" s="132"/>
      <c r="J45" s="132"/>
      <c r="K45" s="712"/>
    </row>
    <row r="46" spans="2:11" ht="25.5" customHeight="1">
      <c r="B46" s="265"/>
      <c r="C46" s="222"/>
      <c r="D46" s="222"/>
      <c r="E46" s="222"/>
      <c r="F46" s="222"/>
      <c r="G46" s="222"/>
      <c r="H46" s="222"/>
      <c r="I46" s="132"/>
      <c r="J46" s="132"/>
      <c r="K46" s="712"/>
    </row>
    <row r="47" spans="2:11" ht="11.25" customHeight="1">
      <c r="B47" s="265"/>
      <c r="C47" s="222"/>
      <c r="D47" s="222"/>
      <c r="E47" s="222"/>
      <c r="F47" s="222"/>
      <c r="G47" s="222"/>
      <c r="H47" s="222"/>
      <c r="I47" s="132"/>
      <c r="J47" s="132"/>
      <c r="K47" s="712"/>
    </row>
    <row r="48" spans="2:11" ht="11.25" customHeight="1">
      <c r="B48" s="265"/>
      <c r="C48" s="222"/>
      <c r="D48" s="222"/>
      <c r="E48" s="222"/>
      <c r="F48" s="222"/>
      <c r="G48" s="222"/>
      <c r="H48" s="222"/>
      <c r="I48" s="132"/>
      <c r="J48" s="132"/>
      <c r="K48" s="712"/>
    </row>
    <row r="49" spans="1:11" ht="11.25" customHeight="1">
      <c r="B49" s="265"/>
      <c r="C49" s="222"/>
      <c r="D49" s="222"/>
      <c r="E49" s="222"/>
      <c r="F49" s="222"/>
      <c r="G49" s="222"/>
      <c r="H49" s="222"/>
      <c r="I49" s="132"/>
      <c r="J49" s="132"/>
      <c r="K49" s="712"/>
    </row>
    <row r="50" spans="1:11" ht="11.25" customHeight="1">
      <c r="B50" s="265"/>
      <c r="C50" s="222"/>
      <c r="D50" s="222"/>
      <c r="E50" s="222"/>
      <c r="F50" s="222"/>
      <c r="G50" s="222"/>
      <c r="H50" s="222"/>
      <c r="I50" s="132"/>
      <c r="J50" s="132"/>
      <c r="K50" s="712"/>
    </row>
    <row r="51" spans="1:11" ht="11.25" customHeight="1">
      <c r="B51" s="265"/>
      <c r="C51" s="222"/>
      <c r="D51" s="222"/>
      <c r="E51" s="222"/>
      <c r="F51" s="222"/>
      <c r="G51" s="222"/>
      <c r="H51" s="222"/>
      <c r="I51" s="132"/>
      <c r="J51" s="132"/>
      <c r="K51" s="712"/>
    </row>
    <row r="52" spans="1:11" ht="25.2" customHeight="1">
      <c r="A52" s="132"/>
      <c r="C52" s="223"/>
      <c r="D52" s="222"/>
      <c r="E52" s="222"/>
      <c r="F52" s="222"/>
      <c r="G52" s="222"/>
      <c r="H52" s="222"/>
      <c r="I52" s="132"/>
      <c r="J52" s="132"/>
      <c r="K52" s="712"/>
    </row>
    <row r="53" spans="1:11" ht="25.2" customHeight="1">
      <c r="A53" s="132"/>
      <c r="B53" s="132"/>
      <c r="C53" s="132"/>
      <c r="D53" s="132"/>
      <c r="E53" s="132"/>
      <c r="F53" s="132"/>
      <c r="G53" s="132"/>
      <c r="H53" s="132"/>
      <c r="I53" s="132"/>
      <c r="J53" s="132"/>
    </row>
    <row r="54" spans="1:11" ht="25.2" customHeight="1">
      <c r="A54" s="132"/>
      <c r="B54" s="132"/>
      <c r="C54" s="132"/>
      <c r="D54" s="132"/>
      <c r="E54" s="132"/>
      <c r="F54" s="132"/>
      <c r="G54" s="132"/>
      <c r="H54" s="132"/>
      <c r="I54" s="132"/>
      <c r="J54" s="132"/>
    </row>
    <row r="55" spans="1:11" ht="25.2" customHeight="1">
      <c r="A55" s="132"/>
      <c r="B55" s="132"/>
      <c r="C55" s="132"/>
      <c r="D55" s="132"/>
      <c r="E55" s="132"/>
      <c r="F55" s="132"/>
      <c r="G55" s="132"/>
      <c r="H55" s="132"/>
      <c r="I55" s="132"/>
      <c r="J55" s="132"/>
    </row>
    <row r="56" spans="1:11" ht="24" customHeight="1">
      <c r="A56" s="318" t="str">
        <f>"Gráfico N° 3: Comparación de la potencia instalada en el SEIN al término de "&amp;'1. Resumen'!Q4&amp;" "&amp;'1. Resumen'!Q5-1&amp;" y "&amp;'1. Resumen'!Q4&amp;" "&amp;'1. Resumen'!Q5</f>
        <v>Gráfico N° 3: Comparación de la potencia instalada en el SEIN al término de mayo 2021 y mayo 2022</v>
      </c>
      <c r="C56" s="132"/>
      <c r="D56" s="132"/>
      <c r="E56" s="132"/>
      <c r="F56" s="132"/>
      <c r="G56" s="132"/>
      <c r="H56" s="132"/>
      <c r="I56" s="132"/>
      <c r="J56" s="132"/>
    </row>
  </sheetData>
  <mergeCells count="7">
    <mergeCell ref="B23:C23"/>
    <mergeCell ref="B18:C18"/>
    <mergeCell ref="A2:J2"/>
    <mergeCell ref="B19:C19"/>
    <mergeCell ref="B20:C20"/>
    <mergeCell ref="B21:C21"/>
    <mergeCell ref="B22:C22"/>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69"/>
  <sheetViews>
    <sheetView showGridLines="0" view="pageBreakPreview" zoomScaleNormal="100" zoomScaleSheetLayoutView="100" zoomScalePageLayoutView="115" workbookViewId="0">
      <selection activeCell="R35" sqref="R35"/>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14" t="s">
        <v>219</v>
      </c>
      <c r="B2" s="814"/>
      <c r="C2" s="814"/>
      <c r="D2" s="814"/>
      <c r="E2" s="814"/>
      <c r="F2" s="814"/>
      <c r="G2" s="814"/>
      <c r="H2" s="814"/>
      <c r="I2" s="814"/>
      <c r="J2" s="814"/>
      <c r="K2" s="814"/>
    </row>
    <row r="3" spans="1:11" ht="11.25" customHeight="1">
      <c r="A3" s="83"/>
      <c r="B3" s="84"/>
      <c r="C3" s="85"/>
      <c r="D3" s="86"/>
      <c r="E3" s="86"/>
      <c r="F3" s="86"/>
      <c r="G3" s="86"/>
      <c r="H3" s="83"/>
      <c r="I3" s="83"/>
      <c r="J3" s="83"/>
      <c r="K3" s="87"/>
    </row>
    <row r="4" spans="1:11" ht="11.25" customHeight="1">
      <c r="A4" s="815" t="str">
        <f>+"3.1. PRODUCCIÓN POR TIPO DE GENERACIÓN (GWh)"</f>
        <v>3.1. PRODUCCIÓN POR TIPO DE GENERACIÓN (GWh)</v>
      </c>
      <c r="B4" s="815"/>
      <c r="C4" s="815"/>
      <c r="D4" s="815"/>
      <c r="E4" s="815"/>
      <c r="F4" s="815"/>
      <c r="G4" s="815"/>
      <c r="H4" s="815"/>
      <c r="I4" s="815"/>
      <c r="J4" s="815"/>
      <c r="K4" s="815"/>
    </row>
    <row r="5" spans="1:11" ht="11.25" customHeight="1">
      <c r="A5" s="54"/>
      <c r="B5" s="88"/>
      <c r="C5" s="89"/>
      <c r="D5" s="90"/>
      <c r="E5" s="90"/>
      <c r="F5" s="90"/>
      <c r="G5" s="90"/>
      <c r="H5" s="91"/>
      <c r="I5" s="83"/>
      <c r="J5" s="83"/>
      <c r="K5" s="92"/>
    </row>
    <row r="6" spans="1:11" ht="18" customHeight="1">
      <c r="A6" s="812" t="s">
        <v>32</v>
      </c>
      <c r="B6" s="816" t="s">
        <v>33</v>
      </c>
      <c r="C6" s="817"/>
      <c r="D6" s="817"/>
      <c r="E6" s="817" t="s">
        <v>34</v>
      </c>
      <c r="F6" s="817"/>
      <c r="G6" s="818" t="str">
        <f>"Generación Acumulada a "&amp;'1. Resumen'!Q4</f>
        <v>Generación Acumulada a mayo</v>
      </c>
      <c r="H6" s="818"/>
      <c r="I6" s="818"/>
      <c r="J6" s="818"/>
      <c r="K6" s="819"/>
    </row>
    <row r="7" spans="1:11" ht="32.25" customHeight="1">
      <c r="A7" s="813"/>
      <c r="B7" s="359">
        <f>+C7-30</f>
        <v>44624</v>
      </c>
      <c r="C7" s="359">
        <f>+D7-28</f>
        <v>44654</v>
      </c>
      <c r="D7" s="359">
        <f>+'1. Resumen'!Q6</f>
        <v>44682</v>
      </c>
      <c r="E7" s="359">
        <f>+D7-365</f>
        <v>44317</v>
      </c>
      <c r="F7" s="360" t="s">
        <v>35</v>
      </c>
      <c r="G7" s="361">
        <v>2022</v>
      </c>
      <c r="H7" s="361">
        <v>2021</v>
      </c>
      <c r="I7" s="360" t="s">
        <v>555</v>
      </c>
      <c r="J7" s="361">
        <v>2020</v>
      </c>
      <c r="K7" s="362" t="s">
        <v>470</v>
      </c>
    </row>
    <row r="8" spans="1:11" ht="15" customHeight="1">
      <c r="A8" s="116" t="s">
        <v>36</v>
      </c>
      <c r="B8" s="302">
        <v>3192.8469781499989</v>
      </c>
      <c r="C8" s="298">
        <v>3092.8270764449999</v>
      </c>
      <c r="D8" s="303">
        <v>2616.8815129024993</v>
      </c>
      <c r="E8" s="302">
        <v>2602.1822321374998</v>
      </c>
      <c r="F8" s="231">
        <f>IF(E8=0,"",D8/E8-1)</f>
        <v>5.6488283500901737E-3</v>
      </c>
      <c r="G8" s="310">
        <v>14685.151487617499</v>
      </c>
      <c r="H8" s="298">
        <v>15133.552678110002</v>
      </c>
      <c r="I8" s="235">
        <f>IF(H8=0,"",G8/H8-1)</f>
        <v>-2.9629605158152605E-2</v>
      </c>
      <c r="J8" s="302">
        <v>14814.754279759998</v>
      </c>
      <c r="K8" s="231">
        <f t="shared" ref="K8:K15" si="0">IF(J8=0,"",H8/J8-1)</f>
        <v>2.1518979817677364E-2</v>
      </c>
    </row>
    <row r="9" spans="1:11" ht="15" customHeight="1">
      <c r="A9" s="117" t="s">
        <v>37</v>
      </c>
      <c r="B9" s="304">
        <v>1326.1887963900001</v>
      </c>
      <c r="C9" s="241">
        <v>1090.8772904275002</v>
      </c>
      <c r="D9" s="305">
        <v>1744.0971742025004</v>
      </c>
      <c r="E9" s="304">
        <v>1709.9785279975006</v>
      </c>
      <c r="F9" s="232">
        <f t="shared" ref="F9:F15" si="1">IF(E9=0,"",D9/E9-1)</f>
        <v>1.9952675221574179E-2</v>
      </c>
      <c r="G9" s="311">
        <v>6972.328039112499</v>
      </c>
      <c r="H9" s="241">
        <v>6003.5913541275004</v>
      </c>
      <c r="I9" s="236">
        <f t="shared" ref="I9:I15" si="2">IF(H9=0,"",G9/H9-1)</f>
        <v>0.161359530961245</v>
      </c>
      <c r="J9" s="304">
        <v>3637.5644862999993</v>
      </c>
      <c r="K9" s="232">
        <f t="shared" si="0"/>
        <v>0.65044259056810261</v>
      </c>
    </row>
    <row r="10" spans="1:11" ht="15" customHeight="1">
      <c r="A10" s="118" t="s">
        <v>38</v>
      </c>
      <c r="B10" s="306">
        <v>136.29415224499999</v>
      </c>
      <c r="C10" s="242">
        <v>182.87946939500003</v>
      </c>
      <c r="D10" s="307">
        <v>171.76328389</v>
      </c>
      <c r="E10" s="306">
        <v>159.5248791475</v>
      </c>
      <c r="F10" s="233">
        <f>IF(E10=0,"",D10/E10-1)</f>
        <v>7.6717843686213483E-2</v>
      </c>
      <c r="G10" s="312">
        <v>767.46051931</v>
      </c>
      <c r="H10" s="242">
        <v>729.61732822250008</v>
      </c>
      <c r="I10" s="237">
        <f t="shared" si="2"/>
        <v>5.1867176975763263E-2</v>
      </c>
      <c r="J10" s="306">
        <v>639.11072728500005</v>
      </c>
      <c r="K10" s="233">
        <f t="shared" si="0"/>
        <v>0.14161333408059074</v>
      </c>
    </row>
    <row r="11" spans="1:11" ht="15" customHeight="1">
      <c r="A11" s="117" t="s">
        <v>30</v>
      </c>
      <c r="B11" s="304">
        <v>63.601163372500004</v>
      </c>
      <c r="C11" s="241">
        <v>64.073749997500002</v>
      </c>
      <c r="D11" s="305">
        <v>62.212973372500002</v>
      </c>
      <c r="E11" s="304">
        <v>57.124060049999997</v>
      </c>
      <c r="F11" s="232">
        <f>IF(E11=0,"",D11/E11-1)</f>
        <v>8.9085287671179847E-2</v>
      </c>
      <c r="G11" s="311">
        <v>324.81442078750001</v>
      </c>
      <c r="H11" s="241">
        <v>319.97087847500001</v>
      </c>
      <c r="I11" s="236">
        <f t="shared" si="2"/>
        <v>1.5137447306406759E-2</v>
      </c>
      <c r="J11" s="304">
        <v>295.56485379999998</v>
      </c>
      <c r="K11" s="232">
        <f t="shared" si="0"/>
        <v>8.257417741391837E-2</v>
      </c>
    </row>
    <row r="12" spans="1:11" ht="15" customHeight="1">
      <c r="A12" s="145" t="s">
        <v>42</v>
      </c>
      <c r="B12" s="308">
        <f>+SUM(B8:B11)</f>
        <v>4718.9310901574991</v>
      </c>
      <c r="C12" s="299">
        <f t="shared" ref="C12:D12" si="3">+SUM(C8:C11)</f>
        <v>4430.6575862650006</v>
      </c>
      <c r="D12" s="309">
        <f t="shared" si="3"/>
        <v>4594.9549443674996</v>
      </c>
      <c r="E12" s="308">
        <f>+SUM(E8:E11)</f>
        <v>4528.8096993324998</v>
      </c>
      <c r="F12" s="234">
        <f>IF(E12=0,"",D12/E12-1)</f>
        <v>1.46054370632418E-2</v>
      </c>
      <c r="G12" s="308">
        <f>+SUM(G8:G11)</f>
        <v>22749.7544668275</v>
      </c>
      <c r="H12" s="299">
        <f t="shared" ref="H12:J12" si="4">+SUM(H8:H11)</f>
        <v>22186.732238935001</v>
      </c>
      <c r="I12" s="238">
        <f>IF(H12=0,"",G12/H12-1)</f>
        <v>2.5376527819832129E-2</v>
      </c>
      <c r="J12" s="308">
        <f t="shared" si="4"/>
        <v>19386.994347144995</v>
      </c>
      <c r="K12" s="234">
        <f t="shared" si="0"/>
        <v>0.14441319998642843</v>
      </c>
    </row>
    <row r="13" spans="1:11" ht="15" customHeight="1">
      <c r="A13" s="112"/>
      <c r="B13" s="112"/>
      <c r="C13" s="112"/>
      <c r="D13" s="112"/>
      <c r="E13" s="112"/>
      <c r="F13" s="114"/>
      <c r="G13" s="112"/>
      <c r="H13" s="112"/>
      <c r="I13" s="591"/>
      <c r="J13" s="113"/>
      <c r="K13" s="114" t="str">
        <f t="shared" si="0"/>
        <v/>
      </c>
    </row>
    <row r="14" spans="1:11" ht="15" customHeight="1">
      <c r="A14" s="119" t="s">
        <v>39</v>
      </c>
      <c r="B14" s="229">
        <v>0</v>
      </c>
      <c r="C14" s="230">
        <v>4.6061886000000012</v>
      </c>
      <c r="D14" s="301">
        <v>9.7372668999999981</v>
      </c>
      <c r="E14" s="229">
        <v>16.988557740000001</v>
      </c>
      <c r="F14" s="120">
        <f>IF(E14=0,"",D14/E14-1)</f>
        <v>-0.42683381079057992</v>
      </c>
      <c r="G14" s="229">
        <v>14.343455499999999</v>
      </c>
      <c r="H14" s="230">
        <v>20.97854293</v>
      </c>
      <c r="I14" s="123">
        <f t="shared" si="2"/>
        <v>-0.31627970789675819</v>
      </c>
      <c r="J14" s="229">
        <v>5.6193261999999997</v>
      </c>
      <c r="K14" s="120">
        <f t="shared" si="0"/>
        <v>2.7332844158433089</v>
      </c>
    </row>
    <row r="15" spans="1:11" ht="15" customHeight="1">
      <c r="A15" s="118" t="s">
        <v>40</v>
      </c>
      <c r="B15" s="226">
        <v>0</v>
      </c>
      <c r="C15" s="227">
        <v>0</v>
      </c>
      <c r="D15" s="228">
        <v>0</v>
      </c>
      <c r="E15" s="226">
        <v>0</v>
      </c>
      <c r="F15" s="121" t="str">
        <f t="shared" si="1"/>
        <v/>
      </c>
      <c r="G15" s="226">
        <v>0</v>
      </c>
      <c r="H15" s="227">
        <v>0</v>
      </c>
      <c r="I15" s="115" t="str">
        <f t="shared" si="2"/>
        <v/>
      </c>
      <c r="J15" s="226">
        <v>0</v>
      </c>
      <c r="K15" s="121" t="str">
        <f t="shared" si="0"/>
        <v/>
      </c>
    </row>
    <row r="16" spans="1:11" ht="23.25" customHeight="1">
      <c r="A16" s="125" t="s">
        <v>41</v>
      </c>
      <c r="B16" s="239">
        <f>+B15-B14</f>
        <v>0</v>
      </c>
      <c r="C16" s="240">
        <f t="shared" ref="C16:E16" si="5">+C15-C14</f>
        <v>-4.6061886000000012</v>
      </c>
      <c r="D16" s="240">
        <f t="shared" si="5"/>
        <v>-9.7372668999999981</v>
      </c>
      <c r="E16" s="239">
        <f t="shared" si="5"/>
        <v>-16.988557740000001</v>
      </c>
      <c r="F16" s="122"/>
      <c r="G16" s="239">
        <f t="shared" ref="G16:H16" si="6">+G15-G14</f>
        <v>-14.343455499999999</v>
      </c>
      <c r="H16" s="240">
        <f t="shared" si="6"/>
        <v>-20.97854293</v>
      </c>
      <c r="I16" s="124"/>
      <c r="J16" s="239">
        <f>+J15-J14</f>
        <v>-5.6193261999999997</v>
      </c>
      <c r="K16" s="122"/>
    </row>
    <row r="17" spans="1:11" ht="11.25" customHeight="1">
      <c r="A17" s="225"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10"/>
      <c r="C42" s="810"/>
      <c r="D42" s="810"/>
      <c r="E42" s="93"/>
      <c r="F42" s="93"/>
      <c r="G42" s="811"/>
      <c r="H42" s="811"/>
      <c r="I42" s="811"/>
      <c r="J42" s="811"/>
      <c r="K42" s="81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5" t="str">
        <f>"Gráfico N° 4: Comparación de la producción de energía eléctrica por tipo de generación acumulada a "&amp;'1. Resumen'!Q4</f>
        <v>Gráfico N° 4: Comparación de la producción de energía eléctrica por tipo de generación acumulada a mayo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40416666666666667" right="0.35144927536231885"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66"/>
  <sheetViews>
    <sheetView showGridLines="0" view="pageBreakPreview" zoomScaleNormal="100" zoomScaleSheetLayoutView="100" workbookViewId="0">
      <selection activeCell="R35" sqref="R35"/>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20" t="str">
        <f>+"3.2. PRODUCCIÓN POR TIPO DE RECURSO ENERGÉTICO (GWh)"</f>
        <v>3.2. PRODUCCIÓN POR TIPO DE RECURSO ENERGÉTICO (GWh)</v>
      </c>
      <c r="B2" s="820"/>
      <c r="C2" s="820"/>
      <c r="D2" s="820"/>
      <c r="E2" s="820"/>
      <c r="F2" s="820"/>
      <c r="G2" s="820"/>
      <c r="H2" s="820"/>
      <c r="I2" s="820"/>
      <c r="J2" s="820"/>
      <c r="K2" s="820"/>
    </row>
    <row r="3" spans="1:12" ht="18.75" customHeight="1">
      <c r="A3" s="126"/>
      <c r="B3" s="127"/>
      <c r="C3" s="128"/>
      <c r="D3" s="129"/>
      <c r="E3" s="129"/>
      <c r="F3" s="129"/>
      <c r="G3" s="130"/>
      <c r="H3" s="130"/>
      <c r="I3" s="130"/>
      <c r="J3" s="126"/>
      <c r="K3" s="126"/>
      <c r="L3" s="36"/>
    </row>
    <row r="4" spans="1:12" ht="14.25" customHeight="1">
      <c r="A4" s="824" t="s">
        <v>43</v>
      </c>
      <c r="B4" s="821" t="s">
        <v>33</v>
      </c>
      <c r="C4" s="822"/>
      <c r="D4" s="822"/>
      <c r="E4" s="822" t="s">
        <v>34</v>
      </c>
      <c r="F4" s="822"/>
      <c r="G4" s="823" t="str">
        <f>+'3. Tipo Generación'!G6:K6</f>
        <v>Generación Acumulada a mayo</v>
      </c>
      <c r="H4" s="823"/>
      <c r="I4" s="823"/>
      <c r="J4" s="823"/>
      <c r="K4" s="823"/>
      <c r="L4" s="131"/>
    </row>
    <row r="5" spans="1:12" ht="26.25" customHeight="1">
      <c r="A5" s="824"/>
      <c r="B5" s="363">
        <f>+'3. Tipo Generación'!B7</f>
        <v>44624</v>
      </c>
      <c r="C5" s="363">
        <f>+'3. Tipo Generación'!C7</f>
        <v>44654</v>
      </c>
      <c r="D5" s="363">
        <f>+'3. Tipo Generación'!D7</f>
        <v>44682</v>
      </c>
      <c r="E5" s="363">
        <f>+'3. Tipo Generación'!E7</f>
        <v>44317</v>
      </c>
      <c r="F5" s="364" t="s">
        <v>35</v>
      </c>
      <c r="G5" s="365">
        <v>2022</v>
      </c>
      <c r="H5" s="365">
        <v>2021</v>
      </c>
      <c r="I5" s="364" t="s">
        <v>555</v>
      </c>
      <c r="J5" s="365">
        <v>2020</v>
      </c>
      <c r="K5" s="364" t="s">
        <v>470</v>
      </c>
      <c r="L5" s="19"/>
    </row>
    <row r="6" spans="1:12" ht="11.25" customHeight="1">
      <c r="A6" s="139" t="s">
        <v>44</v>
      </c>
      <c r="B6" s="276">
        <v>3192.8469781499989</v>
      </c>
      <c r="C6" s="277">
        <v>3092.8270764449999</v>
      </c>
      <c r="D6" s="278">
        <v>2616.8815129024993</v>
      </c>
      <c r="E6" s="276">
        <v>2602.1822321374998</v>
      </c>
      <c r="F6" s="246">
        <f>IF(E6=0,"",D6/E6-1)</f>
        <v>5.6488283500901737E-3</v>
      </c>
      <c r="G6" s="276">
        <v>14685.151487617499</v>
      </c>
      <c r="H6" s="277">
        <v>15133.552678110002</v>
      </c>
      <c r="I6" s="246">
        <f t="shared" ref="I6:I16" si="0">IF(H6=0,"",G6/H6-1)</f>
        <v>-2.9629605158152605E-2</v>
      </c>
      <c r="J6" s="276">
        <v>14814.754279759998</v>
      </c>
      <c r="K6" s="246">
        <f>IF(J6=0,"",H6/J6-1)</f>
        <v>2.1518979817677364E-2</v>
      </c>
      <c r="L6" s="24"/>
    </row>
    <row r="7" spans="1:12" ht="11.25" customHeight="1">
      <c r="A7" s="140" t="s">
        <v>50</v>
      </c>
      <c r="B7" s="279">
        <v>1253.6228069075</v>
      </c>
      <c r="C7" s="241">
        <v>1012.7061433900002</v>
      </c>
      <c r="D7" s="280">
        <v>1645.2046991625002</v>
      </c>
      <c r="E7" s="279">
        <v>1591.2446583425003</v>
      </c>
      <c r="F7" s="247">
        <f t="shared" ref="F7:F18" si="1">IF(E7=0,"",D7/E7-1)</f>
        <v>3.391058724822793E-2</v>
      </c>
      <c r="G7" s="279">
        <v>6573.4237099800002</v>
      </c>
      <c r="H7" s="241">
        <v>5541.8829084074996</v>
      </c>
      <c r="I7" s="247">
        <f t="shared" si="0"/>
        <v>0.1861354378324318</v>
      </c>
      <c r="J7" s="279">
        <v>3340.6473741374998</v>
      </c>
      <c r="K7" s="247">
        <f t="shared" ref="K7:K19" si="2">IF(J7=0,"",H7/J7-1)</f>
        <v>0.65892483933247292</v>
      </c>
      <c r="L7" s="22"/>
    </row>
    <row r="8" spans="1:12" ht="11.25" customHeight="1">
      <c r="A8" s="141" t="s">
        <v>51</v>
      </c>
      <c r="B8" s="281">
        <v>31.780192000000003</v>
      </c>
      <c r="C8" s="242">
        <v>47.571715250000004</v>
      </c>
      <c r="D8" s="282">
        <v>62.75949</v>
      </c>
      <c r="E8" s="281">
        <v>67.452271127499998</v>
      </c>
      <c r="F8" s="321">
        <f t="shared" si="1"/>
        <v>-6.9571877255690695E-2</v>
      </c>
      <c r="G8" s="281">
        <v>227.83920125</v>
      </c>
      <c r="H8" s="242">
        <v>269.11075402749998</v>
      </c>
      <c r="I8" s="321">
        <f t="shared" si="0"/>
        <v>-0.15336270349598335</v>
      </c>
      <c r="J8" s="281">
        <v>166.27014947750001</v>
      </c>
      <c r="K8" s="321">
        <f t="shared" si="2"/>
        <v>0.6185151386053005</v>
      </c>
      <c r="L8" s="22"/>
    </row>
    <row r="9" spans="1:12" ht="11.25" customHeight="1">
      <c r="A9" s="140" t="s">
        <v>52</v>
      </c>
      <c r="B9" s="279">
        <v>10.2681961325</v>
      </c>
      <c r="C9" s="241">
        <v>12.14907</v>
      </c>
      <c r="D9" s="280">
        <v>9.7057670099999989</v>
      </c>
      <c r="E9" s="279">
        <v>17.322918357499997</v>
      </c>
      <c r="F9" s="247"/>
      <c r="G9" s="279">
        <v>39.6636422475</v>
      </c>
      <c r="H9" s="241">
        <v>49.3202158</v>
      </c>
      <c r="I9" s="247">
        <f t="shared" si="0"/>
        <v>-0.19579341646960113</v>
      </c>
      <c r="J9" s="279">
        <v>15.849262879999999</v>
      </c>
      <c r="K9" s="247">
        <f t="shared" si="2"/>
        <v>2.1118302581905311</v>
      </c>
      <c r="L9" s="22"/>
    </row>
    <row r="10" spans="1:12" ht="11.25" customHeight="1">
      <c r="A10" s="141" t="s">
        <v>53</v>
      </c>
      <c r="B10" s="281">
        <v>0</v>
      </c>
      <c r="C10" s="242">
        <v>0</v>
      </c>
      <c r="D10" s="282">
        <v>0</v>
      </c>
      <c r="E10" s="281">
        <v>0</v>
      </c>
      <c r="F10" s="321" t="str">
        <f t="shared" si="1"/>
        <v/>
      </c>
      <c r="G10" s="281">
        <v>0</v>
      </c>
      <c r="H10" s="242">
        <v>0</v>
      </c>
      <c r="I10" s="321" t="str">
        <f t="shared" si="0"/>
        <v/>
      </c>
      <c r="J10" s="281">
        <v>0</v>
      </c>
      <c r="K10" s="321" t="str">
        <f t="shared" si="2"/>
        <v/>
      </c>
      <c r="L10" s="22"/>
    </row>
    <row r="11" spans="1:12" ht="11.25" customHeight="1">
      <c r="A11" s="140" t="s">
        <v>26</v>
      </c>
      <c r="B11" s="279">
        <v>6.0839352225000001</v>
      </c>
      <c r="C11" s="241">
        <v>0</v>
      </c>
      <c r="D11" s="280">
        <v>0</v>
      </c>
      <c r="E11" s="279">
        <v>5.7304631749999997</v>
      </c>
      <c r="F11" s="247">
        <f t="shared" si="1"/>
        <v>-1</v>
      </c>
      <c r="G11" s="279">
        <v>6.0839352225000001</v>
      </c>
      <c r="H11" s="241">
        <v>12.778767482499999</v>
      </c>
      <c r="I11" s="247">
        <f t="shared" si="0"/>
        <v>-0.52390281528858695</v>
      </c>
      <c r="J11" s="279">
        <v>0</v>
      </c>
      <c r="K11" s="247" t="str">
        <f t="shared" si="2"/>
        <v/>
      </c>
      <c r="L11" s="24"/>
    </row>
    <row r="12" spans="1:12" ht="11.25" customHeight="1">
      <c r="A12" s="141" t="s">
        <v>45</v>
      </c>
      <c r="B12" s="281">
        <v>1.2864880224999999</v>
      </c>
      <c r="C12" s="242">
        <v>0.58823145249999997</v>
      </c>
      <c r="D12" s="282">
        <v>0.93733993999999998</v>
      </c>
      <c r="E12" s="281">
        <v>1.7042829875000003</v>
      </c>
      <c r="F12" s="321">
        <f t="shared" si="1"/>
        <v>-0.45000921391876547</v>
      </c>
      <c r="G12" s="281">
        <v>6.1898244674999994</v>
      </c>
      <c r="H12" s="242">
        <v>3.5194904300000003</v>
      </c>
      <c r="I12" s="321">
        <f t="shared" si="0"/>
        <v>0.75872746086711174</v>
      </c>
      <c r="J12" s="281">
        <v>1.2236413724999999</v>
      </c>
      <c r="K12" s="321">
        <f t="shared" si="2"/>
        <v>1.8762434068483578</v>
      </c>
      <c r="L12" s="22"/>
    </row>
    <row r="13" spans="1:12" ht="11.25" customHeight="1">
      <c r="A13" s="140" t="s">
        <v>46</v>
      </c>
      <c r="B13" s="279">
        <v>0</v>
      </c>
      <c r="C13" s="241">
        <v>0</v>
      </c>
      <c r="D13" s="280">
        <v>0</v>
      </c>
      <c r="E13" s="279">
        <v>0</v>
      </c>
      <c r="F13" s="247" t="str">
        <f>IF(E13=0,"",D13/E13-1)</f>
        <v/>
      </c>
      <c r="G13" s="279">
        <v>0</v>
      </c>
      <c r="H13" s="241">
        <v>0</v>
      </c>
      <c r="I13" s="247" t="str">
        <f t="shared" si="0"/>
        <v/>
      </c>
      <c r="J13" s="279">
        <v>0</v>
      </c>
      <c r="K13" s="247" t="str">
        <f t="shared" si="2"/>
        <v/>
      </c>
      <c r="L13" s="22"/>
    </row>
    <row r="14" spans="1:12" ht="11.25" customHeight="1">
      <c r="A14" s="141" t="s">
        <v>47</v>
      </c>
      <c r="B14" s="281">
        <v>0.82408369499999989</v>
      </c>
      <c r="C14" s="242">
        <v>1.7266925475000001</v>
      </c>
      <c r="D14" s="282">
        <v>0.97724449749999998</v>
      </c>
      <c r="E14" s="281">
        <v>2.6065302924999996</v>
      </c>
      <c r="F14" s="321">
        <f>IF(E14=0,"",D14/E14-1)</f>
        <v>-0.6250784039180699</v>
      </c>
      <c r="G14" s="281">
        <v>8.2947443674999999</v>
      </c>
      <c r="H14" s="242">
        <v>6.9599989525000003</v>
      </c>
      <c r="I14" s="321">
        <f t="shared" si="0"/>
        <v>0.19177379538549566</v>
      </c>
      <c r="J14" s="281">
        <v>8.0358538100000008</v>
      </c>
      <c r="K14" s="321">
        <f t="shared" si="2"/>
        <v>-0.13388183545116039</v>
      </c>
      <c r="L14" s="22"/>
    </row>
    <row r="15" spans="1:12" ht="11.25" customHeight="1">
      <c r="A15" s="140" t="s">
        <v>48</v>
      </c>
      <c r="B15" s="279">
        <v>14.524928709999999</v>
      </c>
      <c r="C15" s="241">
        <v>11.687304187500001</v>
      </c>
      <c r="D15" s="280">
        <v>19.601933642500001</v>
      </c>
      <c r="E15" s="279">
        <v>17.571160589999998</v>
      </c>
      <c r="F15" s="247">
        <f t="shared" si="1"/>
        <v>0.11557421276177648</v>
      </c>
      <c r="G15" s="279">
        <v>80.797038177499985</v>
      </c>
      <c r="H15" s="241">
        <v>84.65486937</v>
      </c>
      <c r="I15" s="247">
        <f>IF(H15=0,"",G15/H15-1)</f>
        <v>-4.5571285163038211E-2</v>
      </c>
      <c r="J15" s="279">
        <v>86.986966707500002</v>
      </c>
      <c r="K15" s="247">
        <f t="shared" si="2"/>
        <v>-2.6809732834366384E-2</v>
      </c>
      <c r="L15" s="22"/>
    </row>
    <row r="16" spans="1:12" ht="11.25" customHeight="1">
      <c r="A16" s="141" t="s">
        <v>49</v>
      </c>
      <c r="B16" s="281">
        <v>7.7981656999999993</v>
      </c>
      <c r="C16" s="242">
        <v>4.4481335999999994</v>
      </c>
      <c r="D16" s="282">
        <v>4.9106999500000006</v>
      </c>
      <c r="E16" s="281">
        <v>6.3462431249999991</v>
      </c>
      <c r="F16" s="321">
        <f t="shared" si="1"/>
        <v>-0.22620362105966418</v>
      </c>
      <c r="G16" s="281">
        <v>30.035943400000004</v>
      </c>
      <c r="H16" s="242">
        <v>35.3643496575</v>
      </c>
      <c r="I16" s="321">
        <f t="shared" si="0"/>
        <v>-0.1506716879881872</v>
      </c>
      <c r="J16" s="281">
        <v>18.551237915000002</v>
      </c>
      <c r="K16" s="321">
        <f t="shared" si="2"/>
        <v>0.90630672839926207</v>
      </c>
      <c r="L16" s="22"/>
    </row>
    <row r="17" spans="1:12" ht="11.25" customHeight="1">
      <c r="A17" s="140" t="s">
        <v>30</v>
      </c>
      <c r="B17" s="279">
        <v>63.601163372500004</v>
      </c>
      <c r="C17" s="241">
        <v>64.073749997500002</v>
      </c>
      <c r="D17" s="280">
        <v>62.212973372500002</v>
      </c>
      <c r="E17" s="279">
        <v>57.124060049999997</v>
      </c>
      <c r="F17" s="247">
        <f t="shared" si="1"/>
        <v>8.9085287671179847E-2</v>
      </c>
      <c r="G17" s="279">
        <v>324.81442078750001</v>
      </c>
      <c r="H17" s="241">
        <v>319.97087847500001</v>
      </c>
      <c r="I17" s="247">
        <f>IF(H17=0,"",G17/H17-1)</f>
        <v>1.5137447306406759E-2</v>
      </c>
      <c r="J17" s="279">
        <v>295.56485379999998</v>
      </c>
      <c r="K17" s="247">
        <f t="shared" si="2"/>
        <v>8.257417741391837E-2</v>
      </c>
      <c r="L17" s="22"/>
    </row>
    <row r="18" spans="1:12" ht="11.25" customHeight="1">
      <c r="A18" s="141" t="s">
        <v>29</v>
      </c>
      <c r="B18" s="281">
        <v>136.29415224499999</v>
      </c>
      <c r="C18" s="242">
        <v>182.87946939500003</v>
      </c>
      <c r="D18" s="282">
        <v>171.76328389</v>
      </c>
      <c r="E18" s="281">
        <v>159.5248791475</v>
      </c>
      <c r="F18" s="321">
        <f t="shared" si="1"/>
        <v>7.6717843686213483E-2</v>
      </c>
      <c r="G18" s="281">
        <v>767.46051931</v>
      </c>
      <c r="H18" s="242">
        <v>729.61732822250008</v>
      </c>
      <c r="I18" s="321">
        <f>IF(H18=0,"",G18/H18-1)</f>
        <v>5.1867176975763263E-2</v>
      </c>
      <c r="J18" s="281">
        <v>639.11072728500005</v>
      </c>
      <c r="K18" s="321">
        <f t="shared" si="2"/>
        <v>0.14161333408059074</v>
      </c>
      <c r="L18" s="22"/>
    </row>
    <row r="19" spans="1:12" ht="11.25" customHeight="1">
      <c r="A19" s="146" t="s">
        <v>42</v>
      </c>
      <c r="B19" s="283">
        <f>SUM(B6:B18)</f>
        <v>4718.9310901574991</v>
      </c>
      <c r="C19" s="284">
        <f>SUM(C6:C18)</f>
        <v>4430.6575862649997</v>
      </c>
      <c r="D19" s="550">
        <f>SUM(D6:D18)</f>
        <v>4594.9549443674996</v>
      </c>
      <c r="E19" s="283">
        <f>SUM(E6:E18)</f>
        <v>4528.8096993324998</v>
      </c>
      <c r="F19" s="322">
        <f>IF(E19=0,"",D19/E19-1)</f>
        <v>1.46054370632418E-2</v>
      </c>
      <c r="G19" s="283">
        <f>SUM(G6:G18)</f>
        <v>22749.7544668275</v>
      </c>
      <c r="H19" s="284">
        <f>SUM(H6:H18)</f>
        <v>22186.732238935001</v>
      </c>
      <c r="I19" s="322">
        <f>IF(H19=0,"",G19/H19-1)</f>
        <v>2.5376527819832129E-2</v>
      </c>
      <c r="J19" s="283">
        <f>SUM(J6:J18)</f>
        <v>19386.994347144995</v>
      </c>
      <c r="K19" s="322">
        <f t="shared" si="2"/>
        <v>0.14441319998642843</v>
      </c>
      <c r="L19" s="30"/>
    </row>
    <row r="20" spans="1:12" ht="11.25" customHeight="1">
      <c r="A20" s="22"/>
      <c r="B20" s="22"/>
      <c r="C20" s="22"/>
      <c r="D20" s="22"/>
      <c r="E20" s="22"/>
      <c r="F20" s="22"/>
      <c r="G20" s="22"/>
      <c r="H20" s="22"/>
      <c r="I20" s="22"/>
      <c r="J20" s="22"/>
      <c r="K20" s="22"/>
      <c r="L20" s="22"/>
    </row>
    <row r="21" spans="1:12" ht="11.25" customHeight="1">
      <c r="A21" s="142" t="s">
        <v>39</v>
      </c>
      <c r="B21" s="229">
        <v>0</v>
      </c>
      <c r="C21" s="230">
        <v>4.6061886000000012</v>
      </c>
      <c r="D21" s="301">
        <v>9.7372668999999981</v>
      </c>
      <c r="E21" s="536">
        <v>16.988557740000001</v>
      </c>
      <c r="F21" s="120">
        <f>IF(E21=0,"",D21/E21-1)</f>
        <v>-0.42683381079057992</v>
      </c>
      <c r="G21" s="229">
        <v>14.343455499999999</v>
      </c>
      <c r="H21" s="300">
        <v>20.97854293</v>
      </c>
      <c r="I21" s="123">
        <f>IF(H21=0,"",G21/H21-1)</f>
        <v>-0.31627970789675819</v>
      </c>
      <c r="J21" s="229">
        <v>5.6193261999999997</v>
      </c>
      <c r="K21" s="120">
        <f>IF(J21=0,"",H21/J21-1)</f>
        <v>2.7332844158433089</v>
      </c>
      <c r="L21" s="22"/>
    </row>
    <row r="22" spans="1:12" ht="11.25" customHeight="1">
      <c r="A22" s="143" t="s">
        <v>40</v>
      </c>
      <c r="B22" s="226">
        <v>0</v>
      </c>
      <c r="C22" s="227">
        <v>0</v>
      </c>
      <c r="D22" s="228">
        <v>0</v>
      </c>
      <c r="E22" s="537">
        <v>0</v>
      </c>
      <c r="F22" s="227" t="str">
        <f>IF(E22=0,"",D22/E22-1)</f>
        <v/>
      </c>
      <c r="G22" s="226">
        <v>0</v>
      </c>
      <c r="H22" s="227">
        <v>0</v>
      </c>
      <c r="I22" s="115" t="str">
        <f>IF(H22=0,"",G22/H22-1)</f>
        <v/>
      </c>
      <c r="J22" s="226">
        <v>0</v>
      </c>
      <c r="K22" s="121" t="str">
        <f>IF(J22=0,"",H22/J22-1)</f>
        <v/>
      </c>
      <c r="L22" s="22"/>
    </row>
    <row r="23" spans="1:12" ht="23.25" customHeight="1">
      <c r="A23" s="144" t="s">
        <v>41</v>
      </c>
      <c r="B23" s="239">
        <f>+B22-B21</f>
        <v>0</v>
      </c>
      <c r="C23" s="240">
        <f>+C22-C21</f>
        <v>-4.6061886000000012</v>
      </c>
      <c r="D23" s="323">
        <f>+D22-D21</f>
        <v>-9.7372668999999981</v>
      </c>
      <c r="E23" s="538">
        <f>+E22-E21</f>
        <v>-16.988557740000001</v>
      </c>
      <c r="F23" s="240"/>
      <c r="G23" s="239">
        <f>+G22-G21</f>
        <v>-14.343455499999999</v>
      </c>
      <c r="H23" s="240">
        <f>+H22-H21</f>
        <v>-20.97854293</v>
      </c>
      <c r="I23" s="124"/>
      <c r="J23" s="239">
        <f>+J22-J21</f>
        <v>-5.6193261999999997</v>
      </c>
      <c r="K23" s="122"/>
      <c r="L23" s="30"/>
    </row>
    <row r="24" spans="1:12" ht="11.25" customHeight="1">
      <c r="A24" s="224"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A62" s="136"/>
      <c r="B62" s="138"/>
      <c r="C62" s="138"/>
      <c r="D62" s="138"/>
      <c r="E62" s="138"/>
      <c r="F62" s="138"/>
      <c r="G62" s="138"/>
      <c r="H62" s="138"/>
      <c r="I62" s="138"/>
      <c r="J62" s="138"/>
      <c r="K62" s="138"/>
    </row>
    <row r="63" spans="1:11">
      <c r="A63" s="136"/>
      <c r="B63" s="138"/>
      <c r="C63" s="138"/>
      <c r="D63" s="138"/>
      <c r="E63" s="138"/>
      <c r="F63" s="138"/>
      <c r="G63" s="138"/>
      <c r="H63" s="138"/>
      <c r="I63" s="138"/>
      <c r="J63" s="138"/>
      <c r="K63" s="138"/>
    </row>
    <row r="64" spans="1:11">
      <c r="A64" s="136"/>
      <c r="B64" s="138"/>
      <c r="C64" s="138"/>
      <c r="D64" s="138"/>
      <c r="E64" s="138"/>
      <c r="F64" s="138"/>
      <c r="G64" s="138"/>
      <c r="H64" s="138"/>
      <c r="I64" s="138"/>
      <c r="J64" s="138"/>
      <c r="K64" s="138"/>
    </row>
    <row r="65" spans="1:11">
      <c r="B65" s="138"/>
      <c r="C65" s="138"/>
      <c r="D65" s="138"/>
      <c r="E65" s="138"/>
      <c r="F65" s="138"/>
      <c r="G65" s="138"/>
      <c r="H65" s="138"/>
      <c r="I65" s="138"/>
      <c r="J65" s="138"/>
      <c r="K65" s="138"/>
    </row>
    <row r="66" spans="1:11">
      <c r="A66" s="224" t="str">
        <f>"Gráfico N° 5: Comparación de la producción de energía eléctrica (GWh) por tipo de recurso energético acumulado a "&amp;'1. Resumen'!Q4&amp;"."</f>
        <v>Gráfico N° 5: Comparación de la producción de energía eléctrica (GWh) por tipo de recurso energético acumulado a mayo.</v>
      </c>
    </row>
  </sheetData>
  <mergeCells count="5">
    <mergeCell ref="A2:K2"/>
    <mergeCell ref="B4:D4"/>
    <mergeCell ref="E4:F4"/>
    <mergeCell ref="G4:K4"/>
    <mergeCell ref="A4:A5"/>
  </mergeCells>
  <pageMargins left="0.39406249999999998" right="0.27281250000000001" top="1.0236220472440944" bottom="0.62992125984251968" header="0.31496062992125984" footer="0.31496062992125984"/>
  <pageSetup paperSize="9" scale="94" orientation="portrait" r:id="rId1"/>
  <headerFooter>
    <oddHeader>&amp;R&amp;7Informe de la Operación Mensual - mayo 2022
INFSGI-MES-05-2022
14/06/2022
Versión: 01</oddHeader>
    <oddFooter>&amp;LCOES, 2022&amp;RDirección Ejecutiva
Sub Dirección de Gestión de la Información</oddFooter>
  </headerFooter>
  <ignoredErrors>
    <ignoredError sqref="K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2"/>
  <sheetViews>
    <sheetView showGridLines="0" view="pageBreakPreview" zoomScaleNormal="100" zoomScaleSheetLayoutView="100" zoomScalePageLayoutView="115" workbookViewId="0">
      <selection activeCell="O49" sqref="O49"/>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35"/>
  </cols>
  <sheetData>
    <row r="1" spans="1:12" ht="11.25" customHeight="1"/>
    <row r="2" spans="1:12" ht="11.25" customHeight="1">
      <c r="A2" s="826" t="s">
        <v>228</v>
      </c>
      <c r="B2" s="826"/>
      <c r="C2" s="826"/>
      <c r="D2" s="826"/>
      <c r="E2" s="826"/>
      <c r="F2" s="826"/>
      <c r="G2" s="826"/>
      <c r="H2" s="826"/>
      <c r="I2" s="826"/>
      <c r="J2" s="826"/>
      <c r="K2" s="826"/>
      <c r="L2" s="436"/>
    </row>
    <row r="3" spans="1:12" ht="11.25" customHeight="1">
      <c r="A3" s="74"/>
      <c r="B3" s="73"/>
      <c r="C3" s="73"/>
      <c r="D3" s="73"/>
      <c r="E3" s="73"/>
      <c r="F3" s="73"/>
      <c r="G3" s="73"/>
      <c r="H3" s="73"/>
      <c r="I3" s="73"/>
      <c r="J3" s="73"/>
      <c r="K3" s="73"/>
      <c r="L3" s="436"/>
    </row>
    <row r="4" spans="1:12" ht="15.75" customHeight="1">
      <c r="A4" s="824" t="s">
        <v>224</v>
      </c>
      <c r="B4" s="821" t="s">
        <v>33</v>
      </c>
      <c r="C4" s="822"/>
      <c r="D4" s="822"/>
      <c r="E4" s="822" t="s">
        <v>34</v>
      </c>
      <c r="F4" s="822"/>
      <c r="G4" s="823" t="str">
        <f>+'4. Tipo Recurso'!G4:K4</f>
        <v>Generación Acumulada a mayo</v>
      </c>
      <c r="H4" s="823"/>
      <c r="I4" s="823"/>
      <c r="J4" s="823"/>
      <c r="K4" s="823"/>
      <c r="L4" s="437"/>
    </row>
    <row r="5" spans="1:12" ht="29.25" customHeight="1">
      <c r="A5" s="824"/>
      <c r="B5" s="363">
        <f>+'4. Tipo Recurso'!B5</f>
        <v>44624</v>
      </c>
      <c r="C5" s="363">
        <f>+'4. Tipo Recurso'!C5</f>
        <v>44654</v>
      </c>
      <c r="D5" s="363">
        <f>+'4. Tipo Recurso'!D5</f>
        <v>44682</v>
      </c>
      <c r="E5" s="363">
        <f>+'4. Tipo Recurso'!E5</f>
        <v>44317</v>
      </c>
      <c r="F5" s="363" t="s">
        <v>35</v>
      </c>
      <c r="G5" s="365">
        <v>2022</v>
      </c>
      <c r="H5" s="365">
        <v>2021</v>
      </c>
      <c r="I5" s="364" t="s">
        <v>555</v>
      </c>
      <c r="J5" s="365">
        <v>2020</v>
      </c>
      <c r="K5" s="364" t="s">
        <v>470</v>
      </c>
      <c r="L5" s="438"/>
    </row>
    <row r="6" spans="1:12" ht="11.25" customHeight="1">
      <c r="A6" s="139" t="s">
        <v>44</v>
      </c>
      <c r="B6" s="276">
        <v>250.9079083025</v>
      </c>
      <c r="C6" s="277">
        <v>226.57146382249996</v>
      </c>
      <c r="D6" s="278">
        <v>182.05815145249997</v>
      </c>
      <c r="E6" s="276">
        <v>209.08782491499994</v>
      </c>
      <c r="F6" s="246">
        <f t="shared" ref="F6:F11" si="0">IF(E6=0,"",D6/E6-1)</f>
        <v>-0.12927425819025229</v>
      </c>
      <c r="G6" s="276">
        <v>1113.4323514824998</v>
      </c>
      <c r="H6" s="277">
        <v>1191.3876939424999</v>
      </c>
      <c r="I6" s="250">
        <f t="shared" ref="I6:I11" si="1">IF(H6=0,"",G6/H6-1)</f>
        <v>-6.5432388513291473E-2</v>
      </c>
      <c r="J6" s="276">
        <v>1126.94391636</v>
      </c>
      <c r="K6" s="246">
        <f t="shared" ref="K6:K11" si="2">IF(J6=0,"",H6/J6-1)</f>
        <v>5.7184547205021197E-2</v>
      </c>
      <c r="L6" s="439"/>
    </row>
    <row r="7" spans="1:12" ht="11.25" customHeight="1">
      <c r="A7" s="140" t="s">
        <v>38</v>
      </c>
      <c r="B7" s="279">
        <v>136.29415224499999</v>
      </c>
      <c r="C7" s="241">
        <v>182.87946939500003</v>
      </c>
      <c r="D7" s="280">
        <v>171.76328389</v>
      </c>
      <c r="E7" s="279">
        <v>159.5248791475</v>
      </c>
      <c r="F7" s="247">
        <f t="shared" si="0"/>
        <v>7.6717843686213483E-2</v>
      </c>
      <c r="G7" s="279">
        <v>767.46051931</v>
      </c>
      <c r="H7" s="241">
        <v>729.61732822250008</v>
      </c>
      <c r="I7" s="236">
        <f t="shared" si="1"/>
        <v>5.1867176975763263E-2</v>
      </c>
      <c r="J7" s="279">
        <v>639.11072728500005</v>
      </c>
      <c r="K7" s="247">
        <f t="shared" si="2"/>
        <v>0.14161333408059074</v>
      </c>
      <c r="L7" s="439"/>
    </row>
    <row r="8" spans="1:12" ht="11.25" customHeight="1">
      <c r="A8" s="244" t="s">
        <v>30</v>
      </c>
      <c r="B8" s="328">
        <v>63.601163372500004</v>
      </c>
      <c r="C8" s="285">
        <v>64.073749997500002</v>
      </c>
      <c r="D8" s="329">
        <v>62.212973372500002</v>
      </c>
      <c r="E8" s="328">
        <v>57.124060049999997</v>
      </c>
      <c r="F8" s="248">
        <f t="shared" si="0"/>
        <v>8.9085287671179847E-2</v>
      </c>
      <c r="G8" s="328">
        <v>324.81442078750001</v>
      </c>
      <c r="H8" s="285">
        <v>319.97087847500001</v>
      </c>
      <c r="I8" s="243">
        <f t="shared" si="1"/>
        <v>1.5137447306406759E-2</v>
      </c>
      <c r="J8" s="328">
        <v>295.56485379999998</v>
      </c>
      <c r="K8" s="248">
        <f t="shared" si="2"/>
        <v>8.257417741391837E-2</v>
      </c>
      <c r="L8" s="439"/>
    </row>
    <row r="9" spans="1:12" ht="11.25" customHeight="1">
      <c r="A9" s="140" t="s">
        <v>48</v>
      </c>
      <c r="B9" s="279">
        <v>14.524928709999999</v>
      </c>
      <c r="C9" s="241">
        <v>11.687304187500001</v>
      </c>
      <c r="D9" s="280">
        <v>19.601933642500001</v>
      </c>
      <c r="E9" s="279">
        <v>17.571160589999998</v>
      </c>
      <c r="F9" s="247">
        <f t="shared" si="0"/>
        <v>0.11557421276177648</v>
      </c>
      <c r="G9" s="279">
        <v>80.797038177499985</v>
      </c>
      <c r="H9" s="241">
        <v>84.65486937</v>
      </c>
      <c r="I9" s="236">
        <f t="shared" si="1"/>
        <v>-4.5571285163038211E-2</v>
      </c>
      <c r="J9" s="279">
        <v>86.986966707500002</v>
      </c>
      <c r="K9" s="247">
        <f t="shared" si="2"/>
        <v>-2.6809732834366384E-2</v>
      </c>
      <c r="L9" s="440"/>
    </row>
    <row r="10" spans="1:12" ht="11.25" customHeight="1">
      <c r="A10" s="245" t="s">
        <v>49</v>
      </c>
      <c r="B10" s="330">
        <v>7.7981656999999993</v>
      </c>
      <c r="C10" s="331">
        <v>4.4481335999999994</v>
      </c>
      <c r="D10" s="332">
        <v>4.9106999500000006</v>
      </c>
      <c r="E10" s="330">
        <v>6.3462431249999991</v>
      </c>
      <c r="F10" s="249">
        <f t="shared" si="0"/>
        <v>-0.22620362105966418</v>
      </c>
      <c r="G10" s="330">
        <v>30.035943400000004</v>
      </c>
      <c r="H10" s="331">
        <v>35.3643496575</v>
      </c>
      <c r="I10" s="251">
        <f t="shared" si="1"/>
        <v>-0.1506716879881872</v>
      </c>
      <c r="J10" s="330">
        <v>18.551237915000002</v>
      </c>
      <c r="K10" s="249">
        <f t="shared" si="2"/>
        <v>0.90630672839926207</v>
      </c>
      <c r="L10" s="439"/>
    </row>
    <row r="11" spans="1:12" ht="11.25" customHeight="1">
      <c r="A11" s="252" t="s">
        <v>221</v>
      </c>
      <c r="B11" s="313">
        <f>+B6+B7+B8+B9+B10</f>
        <v>473.12631833</v>
      </c>
      <c r="C11" s="314">
        <f t="shared" ref="C11:D11" si="3">+C6+C7+C8+C9+C10</f>
        <v>489.66012100249998</v>
      </c>
      <c r="D11" s="315">
        <f t="shared" si="3"/>
        <v>440.54704230749996</v>
      </c>
      <c r="E11" s="316">
        <f>+E6+E7+E8+E9+E10</f>
        <v>449.65416782749992</v>
      </c>
      <c r="F11" s="253">
        <f t="shared" si="0"/>
        <v>-2.0253621942393996E-2</v>
      </c>
      <c r="G11" s="326">
        <f>+G6+G7+G8+G9+G10</f>
        <v>2316.5402731575</v>
      </c>
      <c r="H11" s="327">
        <f>+H6+H7+H8+H9+H10</f>
        <v>2360.9951196675001</v>
      </c>
      <c r="I11" s="254">
        <f t="shared" si="1"/>
        <v>-1.8828859975051904E-2</v>
      </c>
      <c r="J11" s="326">
        <f>+J6+J7+J8+J9+J10</f>
        <v>2167.1577020674999</v>
      </c>
      <c r="K11" s="253">
        <f t="shared" si="2"/>
        <v>8.9443152851809815E-2</v>
      </c>
      <c r="L11" s="437"/>
    </row>
    <row r="12" spans="1:12" ht="24.75" customHeight="1">
      <c r="A12" s="255" t="s">
        <v>222</v>
      </c>
      <c r="B12" s="256">
        <f>B11/'4. Tipo Recurso'!B19</f>
        <v>0.10026133234215313</v>
      </c>
      <c r="C12" s="549">
        <f>C11/'4. Tipo Recurso'!C19</f>
        <v>0.11051635371698371</v>
      </c>
      <c r="D12" s="443">
        <f>D11/'4. Tipo Recurso'!D19</f>
        <v>9.5876248546794343E-2</v>
      </c>
      <c r="E12" s="256">
        <f>E11/'4. Tipo Recurso'!E19</f>
        <v>9.9287494436733417E-2</v>
      </c>
      <c r="F12" s="257"/>
      <c r="G12" s="256">
        <f>G11/'4. Tipo Recurso'!G19</f>
        <v>0.10182704505823821</v>
      </c>
      <c r="H12" s="254">
        <f>H11/'4. Tipo Recurso'!H19</f>
        <v>0.10641472994947145</v>
      </c>
      <c r="I12" s="254"/>
      <c r="J12" s="256">
        <f>J11/'4. Tipo Recurso'!J19</f>
        <v>0.11178409934320964</v>
      </c>
      <c r="K12" s="257"/>
      <c r="L12" s="437"/>
    </row>
    <row r="13" spans="1:12" ht="11.25" customHeight="1">
      <c r="A13" s="258" t="s">
        <v>223</v>
      </c>
      <c r="B13" s="134"/>
      <c r="C13" s="134"/>
      <c r="D13" s="134"/>
      <c r="E13" s="134"/>
      <c r="F13" s="134"/>
      <c r="G13" s="134"/>
      <c r="H13" s="134"/>
      <c r="I13" s="134"/>
      <c r="J13" s="134"/>
      <c r="K13" s="135"/>
      <c r="L13" s="437"/>
    </row>
    <row r="14" spans="1:12" ht="35.25" customHeight="1">
      <c r="A14" s="827" t="s">
        <v>542</v>
      </c>
      <c r="B14" s="827"/>
      <c r="C14" s="827"/>
      <c r="D14" s="827"/>
      <c r="E14" s="827"/>
      <c r="F14" s="827"/>
      <c r="G14" s="827"/>
      <c r="H14" s="827"/>
      <c r="I14" s="827"/>
      <c r="J14" s="827"/>
      <c r="K14" s="827"/>
      <c r="L14" s="437"/>
    </row>
    <row r="15" spans="1:12" ht="11.25" customHeight="1">
      <c r="A15" s="31"/>
      <c r="L15" s="437"/>
    </row>
    <row r="16" spans="1:12" ht="11.25" customHeight="1">
      <c r="A16" s="136"/>
      <c r="B16" s="147"/>
      <c r="C16" s="147"/>
      <c r="D16" s="147"/>
      <c r="E16" s="147"/>
      <c r="F16" s="147"/>
      <c r="G16" s="147"/>
      <c r="H16" s="147"/>
      <c r="I16" s="147"/>
      <c r="J16" s="147"/>
      <c r="K16" s="147"/>
      <c r="L16" s="437"/>
    </row>
    <row r="17" spans="1:12" ht="11.25" customHeight="1">
      <c r="A17" s="147"/>
      <c r="B17" s="147"/>
      <c r="C17" s="147"/>
      <c r="D17" s="147"/>
      <c r="E17" s="147"/>
      <c r="F17" s="147"/>
      <c r="G17" s="147"/>
      <c r="H17" s="147"/>
      <c r="I17" s="147"/>
      <c r="J17" s="147"/>
      <c r="K17" s="147"/>
      <c r="L17" s="437"/>
    </row>
    <row r="18" spans="1:12" ht="11.25" customHeight="1">
      <c r="A18" s="147"/>
      <c r="B18" s="147"/>
      <c r="C18" s="147"/>
      <c r="D18" s="147"/>
      <c r="E18" s="147"/>
      <c r="F18" s="147"/>
      <c r="G18" s="147"/>
      <c r="H18" s="147"/>
      <c r="I18" s="147"/>
      <c r="J18" s="147"/>
      <c r="K18" s="147"/>
      <c r="L18" s="441"/>
    </row>
    <row r="19" spans="1:12" ht="11.25" customHeight="1">
      <c r="A19" s="136"/>
      <c r="B19" s="138"/>
      <c r="C19" s="138"/>
      <c r="D19" s="138"/>
      <c r="E19" s="138"/>
      <c r="F19" s="138"/>
      <c r="G19" s="138"/>
      <c r="H19" s="138"/>
      <c r="I19" s="138"/>
      <c r="J19" s="138"/>
      <c r="K19" s="138"/>
      <c r="L19" s="437"/>
    </row>
    <row r="20" spans="1:12" ht="11.25" customHeight="1">
      <c r="A20" s="136"/>
      <c r="B20" s="138"/>
      <c r="C20" s="138"/>
      <c r="D20" s="138"/>
      <c r="E20" s="138"/>
      <c r="F20" s="138"/>
      <c r="G20" s="138"/>
      <c r="H20" s="138"/>
      <c r="I20" s="138"/>
      <c r="J20" s="138"/>
      <c r="K20" s="138"/>
      <c r="L20" s="437"/>
    </row>
    <row r="21" spans="1:12" ht="11.25" customHeight="1">
      <c r="A21" s="136"/>
      <c r="B21" s="138"/>
      <c r="C21" s="138"/>
      <c r="D21" s="138"/>
      <c r="E21" s="138"/>
      <c r="F21" s="138"/>
      <c r="G21" s="138"/>
      <c r="H21" s="138"/>
      <c r="I21" s="138"/>
      <c r="J21" s="138"/>
      <c r="K21" s="138"/>
      <c r="L21" s="437"/>
    </row>
    <row r="22" spans="1:12" ht="11.25" customHeight="1">
      <c r="A22" s="136"/>
      <c r="B22" s="138"/>
      <c r="C22" s="138"/>
      <c r="D22" s="138"/>
      <c r="E22" s="138"/>
      <c r="F22" s="138"/>
      <c r="G22" s="138"/>
      <c r="H22" s="138"/>
      <c r="I22" s="138"/>
      <c r="J22" s="138"/>
      <c r="K22" s="138"/>
      <c r="L22" s="441"/>
    </row>
    <row r="23" spans="1:12" ht="11.25" customHeight="1">
      <c r="A23" s="136"/>
      <c r="B23" s="138"/>
      <c r="C23" s="138"/>
      <c r="D23" s="138"/>
      <c r="E23" s="138"/>
      <c r="F23" s="138"/>
      <c r="G23" s="138"/>
      <c r="H23" s="138"/>
      <c r="I23" s="138"/>
      <c r="J23" s="138"/>
      <c r="K23" s="138"/>
      <c r="L23" s="437"/>
    </row>
    <row r="24" spans="1:12" ht="11.25" customHeight="1">
      <c r="A24" s="136"/>
      <c r="B24" s="138"/>
      <c r="C24" s="138"/>
      <c r="D24" s="138"/>
      <c r="E24" s="138"/>
      <c r="F24" s="138"/>
      <c r="G24" s="138"/>
      <c r="H24" s="138"/>
      <c r="I24" s="138"/>
      <c r="J24" s="138"/>
      <c r="K24" s="138"/>
      <c r="L24" s="437"/>
    </row>
    <row r="25" spans="1:12" ht="11.25" customHeight="1">
      <c r="A25" s="136"/>
      <c r="B25" s="138"/>
      <c r="C25" s="138"/>
      <c r="D25" s="138"/>
      <c r="E25" s="138"/>
      <c r="F25" s="138"/>
      <c r="G25" s="138"/>
      <c r="H25" s="138"/>
      <c r="I25" s="138"/>
      <c r="J25" s="138"/>
      <c r="K25" s="138"/>
      <c r="L25" s="437"/>
    </row>
    <row r="26" spans="1:12" ht="11.25" customHeight="1">
      <c r="A26" s="136"/>
      <c r="B26" s="138"/>
      <c r="C26" s="138"/>
      <c r="D26" s="138"/>
      <c r="E26" s="138"/>
      <c r="F26" s="138"/>
      <c r="G26" s="138"/>
      <c r="H26" s="138"/>
      <c r="I26" s="138"/>
      <c r="J26" s="138"/>
      <c r="K26" s="138"/>
      <c r="L26" s="437"/>
    </row>
    <row r="27" spans="1:12" ht="11.25" customHeight="1">
      <c r="A27" s="136"/>
      <c r="B27" s="138"/>
      <c r="C27" s="138"/>
      <c r="D27" s="138"/>
      <c r="E27" s="138"/>
      <c r="F27" s="138"/>
      <c r="G27" s="138"/>
      <c r="H27" s="138"/>
      <c r="I27" s="138"/>
      <c r="J27" s="138"/>
      <c r="K27" s="138"/>
      <c r="L27" s="437"/>
    </row>
    <row r="28" spans="1:12" ht="11.25" customHeight="1">
      <c r="A28" s="136"/>
      <c r="B28" s="138"/>
      <c r="C28" s="138"/>
      <c r="D28" s="138"/>
      <c r="E28" s="138"/>
      <c r="F28" s="138"/>
      <c r="G28" s="138"/>
      <c r="H28" s="138"/>
      <c r="I28" s="138"/>
      <c r="J28" s="138"/>
      <c r="K28" s="138"/>
      <c r="L28" s="437"/>
    </row>
    <row r="29" spans="1:12" ht="11.25" customHeight="1">
      <c r="A29" s="136"/>
      <c r="B29" s="138"/>
      <c r="C29" s="138"/>
      <c r="D29" s="138"/>
      <c r="E29" s="138"/>
      <c r="F29" s="138"/>
      <c r="G29" s="138"/>
      <c r="H29" s="138"/>
      <c r="I29" s="138"/>
      <c r="J29" s="138"/>
      <c r="K29" s="138"/>
      <c r="L29" s="437"/>
    </row>
    <row r="30" spans="1:12" ht="11.25" customHeight="1">
      <c r="A30" s="136"/>
      <c r="B30" s="138"/>
      <c r="C30" s="138"/>
      <c r="D30" s="138"/>
      <c r="E30" s="138"/>
      <c r="F30" s="138"/>
      <c r="G30" s="138"/>
      <c r="H30" s="138"/>
      <c r="I30" s="138"/>
      <c r="J30" s="138"/>
      <c r="K30" s="138"/>
      <c r="L30" s="437"/>
    </row>
    <row r="31" spans="1:12" ht="11.25" customHeight="1">
      <c r="A31" s="136"/>
      <c r="B31" s="138"/>
      <c r="C31" s="138"/>
      <c r="D31" s="138"/>
      <c r="E31" s="138"/>
      <c r="F31" s="138"/>
      <c r="G31" s="138"/>
      <c r="H31" s="138"/>
      <c r="I31" s="138"/>
      <c r="J31" s="138"/>
      <c r="K31" s="138"/>
      <c r="L31" s="437"/>
    </row>
    <row r="32" spans="1:12" ht="11.25" customHeight="1">
      <c r="A32" s="136"/>
      <c r="B32" s="138"/>
      <c r="C32" s="138"/>
      <c r="D32" s="138"/>
      <c r="E32" s="138"/>
      <c r="F32" s="138"/>
      <c r="G32" s="138"/>
      <c r="H32" s="138"/>
      <c r="I32" s="138"/>
      <c r="J32" s="138"/>
      <c r="K32" s="138"/>
      <c r="L32" s="437"/>
    </row>
    <row r="33" spans="1:16" ht="11.25" customHeight="1">
      <c r="A33" s="136"/>
      <c r="B33" s="138"/>
      <c r="C33" s="138"/>
      <c r="D33" s="138"/>
      <c r="E33" s="138"/>
      <c r="F33" s="138"/>
      <c r="G33" s="138"/>
      <c r="H33" s="138"/>
      <c r="I33" s="138"/>
      <c r="J33" s="138"/>
      <c r="K33" s="138"/>
      <c r="L33" s="437"/>
    </row>
    <row r="34" spans="1:16" ht="11.25" customHeight="1">
      <c r="A34" s="825" t="str">
        <f>"Gráfico N° 6: Comparación de la producción de energía eléctrica acumulada (GWh) con recursos energéticos renovables en "&amp;'1. Resumen'!Q4&amp;"."</f>
        <v>Gráfico N° 6: Comparación de la producción de energía eléctrica acumulada (GWh) con recursos energéticos renovables en mayo.</v>
      </c>
      <c r="B34" s="825"/>
      <c r="C34" s="825"/>
      <c r="D34" s="825"/>
      <c r="E34" s="825"/>
      <c r="F34" s="825"/>
      <c r="G34" s="825"/>
      <c r="H34" s="825"/>
      <c r="I34" s="825"/>
      <c r="J34" s="825"/>
      <c r="K34" s="825"/>
      <c r="L34" s="592"/>
      <c r="M34" s="275"/>
      <c r="N34" s="275"/>
      <c r="O34" s="275"/>
    </row>
    <row r="35" spans="1:16" ht="11.25" customHeight="1">
      <c r="L35" s="593"/>
      <c r="M35" s="275"/>
      <c r="N35" s="275"/>
      <c r="O35" s="275"/>
    </row>
    <row r="36" spans="1:16" ht="11.25" customHeight="1">
      <c r="A36" s="136"/>
      <c r="B36" s="138"/>
      <c r="C36" s="138"/>
      <c r="D36" s="138"/>
      <c r="E36" s="138"/>
      <c r="F36" s="138"/>
      <c r="G36" s="138"/>
      <c r="H36" s="138"/>
      <c r="I36" s="138"/>
      <c r="J36" s="138"/>
      <c r="K36" s="138"/>
      <c r="L36" s="592"/>
      <c r="M36" s="275"/>
      <c r="N36" s="275"/>
      <c r="O36" s="275"/>
    </row>
    <row r="37" spans="1:16" ht="11.25" customHeight="1">
      <c r="A37" s="136"/>
      <c r="B37" s="138"/>
      <c r="C37" s="138"/>
      <c r="D37" s="138"/>
      <c r="E37" s="138"/>
      <c r="F37" s="138"/>
      <c r="G37" s="138"/>
      <c r="H37" s="138"/>
      <c r="I37" s="138"/>
      <c r="J37" s="138"/>
      <c r="K37" s="138"/>
      <c r="L37" s="592"/>
      <c r="M37" s="275"/>
      <c r="N37" s="275"/>
      <c r="O37" s="275"/>
    </row>
    <row r="38" spans="1:16" ht="11.25" customHeight="1">
      <c r="A38" s="136"/>
      <c r="B38" s="138"/>
      <c r="C38" s="138"/>
      <c r="D38" s="138"/>
      <c r="E38" s="138"/>
      <c r="F38" s="138"/>
      <c r="G38" s="138"/>
      <c r="H38" s="138"/>
      <c r="I38" s="138"/>
      <c r="J38" s="138"/>
      <c r="K38" s="138"/>
      <c r="L38" s="592"/>
      <c r="M38" s="275"/>
      <c r="N38" s="275"/>
      <c r="O38" s="275"/>
    </row>
    <row r="39" spans="1:16" ht="11.25" customHeight="1">
      <c r="A39" s="136"/>
      <c r="B39" s="138"/>
      <c r="C39" s="259" t="s">
        <v>226</v>
      </c>
      <c r="D39" s="156"/>
      <c r="E39" s="156"/>
      <c r="F39" s="325">
        <f>+'4. Tipo Recurso'!D19</f>
        <v>4594.9549443674996</v>
      </c>
      <c r="G39" s="259" t="s">
        <v>225</v>
      </c>
      <c r="H39" s="138"/>
      <c r="I39" s="138"/>
      <c r="J39" s="138"/>
      <c r="K39" s="138"/>
      <c r="L39" s="592"/>
      <c r="M39" s="594">
        <f>+F39-F40</f>
        <v>4154.4049443674994</v>
      </c>
      <c r="N39" s="275"/>
      <c r="O39" s="275"/>
      <c r="P39" s="442"/>
    </row>
    <row r="40" spans="1:16" ht="11.25" customHeight="1">
      <c r="A40" s="136"/>
      <c r="B40" s="138"/>
      <c r="C40" s="259" t="s">
        <v>227</v>
      </c>
      <c r="D40" s="156"/>
      <c r="E40" s="156"/>
      <c r="F40" s="325">
        <f>ROUND(D11,2)</f>
        <v>440.55</v>
      </c>
      <c r="G40" s="259" t="s">
        <v>225</v>
      </c>
      <c r="H40" s="138"/>
      <c r="I40" s="138"/>
      <c r="J40" s="138"/>
      <c r="K40" s="138"/>
      <c r="L40" s="592"/>
      <c r="M40" s="595"/>
      <c r="N40" s="275"/>
      <c r="O40" s="275"/>
      <c r="P40" s="442"/>
    </row>
    <row r="41" spans="1:16" ht="11.25" customHeight="1">
      <c r="A41" s="136"/>
      <c r="B41" s="138"/>
      <c r="C41" s="138"/>
      <c r="D41" s="138"/>
      <c r="E41" s="138"/>
      <c r="F41" s="138"/>
      <c r="G41" s="138"/>
      <c r="H41" s="138"/>
      <c r="I41" s="138"/>
      <c r="J41" s="138"/>
      <c r="K41" s="138"/>
      <c r="L41" s="592"/>
      <c r="M41" s="275"/>
      <c r="N41" s="275"/>
      <c r="O41" s="275"/>
      <c r="P41" s="442"/>
    </row>
    <row r="42" spans="1:16" ht="11.25" customHeight="1">
      <c r="A42" s="136"/>
      <c r="B42" s="138"/>
      <c r="C42" s="138"/>
      <c r="D42" s="138"/>
      <c r="E42" s="138"/>
      <c r="F42" s="138"/>
      <c r="G42" s="138"/>
      <c r="H42" s="138"/>
      <c r="I42" s="138"/>
      <c r="J42" s="138"/>
      <c r="K42" s="138"/>
      <c r="L42" s="592"/>
      <c r="M42" s="275"/>
      <c r="N42" s="275"/>
      <c r="O42" s="275"/>
      <c r="P42" s="442"/>
    </row>
    <row r="43" spans="1:16" ht="11.25" customHeight="1">
      <c r="A43" s="136"/>
      <c r="B43" s="138"/>
      <c r="C43" s="138"/>
      <c r="D43" s="138"/>
      <c r="E43" s="138"/>
      <c r="F43" s="138"/>
      <c r="G43" s="138"/>
      <c r="H43" s="138"/>
      <c r="I43" s="138"/>
      <c r="J43" s="138"/>
      <c r="K43" s="138"/>
      <c r="L43" s="592"/>
      <c r="M43" s="275"/>
      <c r="N43" s="275"/>
      <c r="O43" s="275"/>
      <c r="P43" s="442"/>
    </row>
    <row r="44" spans="1:16" ht="11.25" customHeight="1">
      <c r="A44" s="136"/>
      <c r="B44" s="138"/>
      <c r="C44" s="138"/>
      <c r="D44" s="138"/>
      <c r="E44" s="138"/>
      <c r="F44" s="138"/>
      <c r="G44" s="138"/>
      <c r="H44" s="138"/>
      <c r="I44" s="138"/>
      <c r="J44" s="138"/>
      <c r="K44" s="138"/>
      <c r="L44" s="592"/>
      <c r="M44" s="275"/>
      <c r="N44" s="275"/>
      <c r="O44" s="275"/>
      <c r="P44" s="442"/>
    </row>
    <row r="45" spans="1:16" ht="11.25" customHeight="1">
      <c r="A45" s="136"/>
      <c r="B45" s="138"/>
      <c r="C45" s="138"/>
      <c r="D45" s="138"/>
      <c r="E45" s="138"/>
      <c r="F45" s="138"/>
      <c r="G45" s="138"/>
      <c r="H45" s="138"/>
      <c r="I45" s="138"/>
      <c r="J45" s="138"/>
      <c r="K45" s="138"/>
      <c r="L45" s="592"/>
      <c r="M45" s="275"/>
      <c r="N45" s="275"/>
      <c r="O45" s="275"/>
      <c r="P45" s="442"/>
    </row>
    <row r="46" spans="1:16" ht="11.25" customHeight="1">
      <c r="A46" s="136"/>
      <c r="B46" s="138"/>
      <c r="C46" s="138"/>
      <c r="D46" s="138"/>
      <c r="E46" s="138"/>
      <c r="F46" s="138"/>
      <c r="G46" s="138"/>
      <c r="H46" s="138"/>
      <c r="I46" s="138"/>
      <c r="J46" s="138"/>
      <c r="K46" s="138"/>
      <c r="L46" s="437"/>
      <c r="P46" s="442"/>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B61" s="138"/>
      <c r="C61" s="138"/>
      <c r="D61" s="138"/>
      <c r="E61" s="138"/>
      <c r="F61" s="138"/>
      <c r="G61" s="138"/>
      <c r="H61" s="138"/>
      <c r="I61" s="138"/>
      <c r="J61" s="138"/>
      <c r="K61" s="138"/>
    </row>
    <row r="62" spans="1:11">
      <c r="A62" s="224" t="str">
        <f>"Gráfico N° 7: Participación de las RER en la Matriz de Generación del SEIN en "&amp;'1. Resumen'!Q4&amp;" "&amp;'1. Resumen'!Q5&amp;"."</f>
        <v>Gráfico N° 7: Participación de las RER en la Matriz de Generación del SEIN en mayo 2022.</v>
      </c>
      <c r="B62" s="138"/>
      <c r="C62" s="138"/>
      <c r="D62" s="138"/>
      <c r="E62" s="138"/>
      <c r="F62" s="138"/>
      <c r="G62" s="138"/>
      <c r="H62" s="138"/>
      <c r="I62" s="138"/>
      <c r="J62" s="138"/>
      <c r="K62" s="138"/>
    </row>
  </sheetData>
  <mergeCells count="7">
    <mergeCell ref="A34:K34"/>
    <mergeCell ref="A2:K2"/>
    <mergeCell ref="A4:A5"/>
    <mergeCell ref="B4:D4"/>
    <mergeCell ref="E4:F4"/>
    <mergeCell ref="G4:K4"/>
    <mergeCell ref="A14:K1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Y64"/>
  <sheetViews>
    <sheetView showGridLines="0" view="pageBreakPreview" zoomScale="85" zoomScaleNormal="100" zoomScaleSheetLayoutView="85" zoomScalePageLayoutView="115" workbookViewId="0">
      <selection activeCell="R35" sqref="R35"/>
    </sheetView>
  </sheetViews>
  <sheetFormatPr baseColWidth="10" defaultColWidth="9.28515625" defaultRowHeight="10.199999999999999"/>
  <cols>
    <col min="1" max="11" width="10.28515625" customWidth="1"/>
    <col min="12" max="12" width="21.140625" style="558" bestFit="1" customWidth="1"/>
    <col min="13" max="14" width="9.28515625" style="558"/>
    <col min="15" max="15" width="11.85546875" style="558" customWidth="1"/>
    <col min="16" max="19" width="9.28515625" style="558"/>
    <col min="20" max="20" width="15" style="558" customWidth="1"/>
    <col min="21" max="21" width="9.28515625" style="558"/>
    <col min="22" max="22" width="14.140625" style="558" bestFit="1" customWidth="1"/>
    <col min="23" max="23" width="9.28515625" style="681"/>
    <col min="25" max="25" width="17.85546875" bestFit="1" customWidth="1"/>
  </cols>
  <sheetData>
    <row r="2" spans="1:25" ht="11.25" customHeight="1">
      <c r="A2" s="828" t="s">
        <v>232</v>
      </c>
      <c r="B2" s="828"/>
      <c r="C2" s="828"/>
      <c r="D2" s="828"/>
      <c r="E2" s="828"/>
      <c r="F2" s="828"/>
      <c r="G2" s="828"/>
      <c r="H2" s="828"/>
      <c r="I2" s="828"/>
      <c r="J2" s="828"/>
      <c r="K2" s="828"/>
    </row>
    <row r="3" spans="1:25" ht="11.25" customHeight="1"/>
    <row r="4" spans="1:25" ht="11.25" customHeight="1">
      <c r="L4" s="647" t="s">
        <v>54</v>
      </c>
      <c r="M4" s="648" t="s">
        <v>31</v>
      </c>
      <c r="N4" s="647"/>
      <c r="O4" s="649"/>
      <c r="P4" s="650"/>
      <c r="Q4" s="650"/>
    </row>
    <row r="5" spans="1:25" ht="10.5" customHeight="1">
      <c r="A5" s="149"/>
      <c r="B5" s="138"/>
      <c r="C5" s="138"/>
      <c r="D5" s="138"/>
      <c r="E5" s="138"/>
      <c r="F5" s="138"/>
      <c r="G5" s="138"/>
      <c r="H5" s="138"/>
      <c r="I5" s="138"/>
      <c r="J5" s="138"/>
      <c r="K5" s="138"/>
      <c r="L5" s="647"/>
      <c r="M5" s="648"/>
      <c r="N5" s="647"/>
      <c r="O5" s="647" t="s">
        <v>55</v>
      </c>
      <c r="P5" s="647" t="s">
        <v>56</v>
      </c>
      <c r="Q5" s="647"/>
      <c r="U5" s="558">
        <v>2022</v>
      </c>
      <c r="V5" s="651">
        <v>2021</v>
      </c>
      <c r="W5" s="740"/>
    </row>
    <row r="6" spans="1:25" ht="10.5" customHeight="1">
      <c r="A6" s="111"/>
      <c r="B6" s="138"/>
      <c r="C6" s="138"/>
      <c r="D6" s="138"/>
      <c r="E6" s="138"/>
      <c r="F6" s="138"/>
      <c r="G6" s="138"/>
      <c r="H6" s="138"/>
      <c r="I6" s="138"/>
      <c r="J6" s="138"/>
      <c r="K6" s="138"/>
      <c r="L6" s="652" t="s">
        <v>402</v>
      </c>
      <c r="M6" s="652" t="s">
        <v>58</v>
      </c>
      <c r="N6" s="653">
        <v>20.861999999999998</v>
      </c>
      <c r="O6" s="654">
        <v>14.6079875</v>
      </c>
      <c r="P6" s="654">
        <v>0.94115577610369416</v>
      </c>
      <c r="Q6" s="654"/>
      <c r="S6" s="558" t="s">
        <v>442</v>
      </c>
      <c r="T6" s="558" t="s">
        <v>449</v>
      </c>
      <c r="U6" s="655">
        <v>0.94964801497984364</v>
      </c>
      <c r="V6" s="656">
        <v>0.97687179270143465</v>
      </c>
      <c r="W6" s="741"/>
      <c r="X6" s="761"/>
      <c r="Y6" s="724"/>
    </row>
    <row r="7" spans="1:25" ht="10.5" customHeight="1">
      <c r="A7" s="136"/>
      <c r="B7" s="138"/>
      <c r="C7" s="138"/>
      <c r="D7" s="138"/>
      <c r="E7" s="138"/>
      <c r="F7" s="138"/>
      <c r="G7" s="138"/>
      <c r="H7" s="138"/>
      <c r="I7" s="138"/>
      <c r="J7" s="138"/>
      <c r="K7" s="138"/>
      <c r="L7" s="652" t="s">
        <v>449</v>
      </c>
      <c r="M7" s="652" t="s">
        <v>58</v>
      </c>
      <c r="N7" s="653">
        <v>20.295999999999999</v>
      </c>
      <c r="O7" s="654">
        <v>14.014749957500001</v>
      </c>
      <c r="P7" s="654">
        <v>0.92811536818924023</v>
      </c>
      <c r="Q7" s="654"/>
      <c r="T7" s="558" t="s">
        <v>450</v>
      </c>
      <c r="U7" s="655">
        <v>0.88870226296131827</v>
      </c>
      <c r="V7" s="656">
        <v>0.72388712713483361</v>
      </c>
      <c r="W7" s="741"/>
      <c r="X7" s="761"/>
      <c r="Y7" s="724"/>
    </row>
    <row r="8" spans="1:25" ht="10.5" customHeight="1">
      <c r="A8" s="136"/>
      <c r="B8" s="138"/>
      <c r="C8" s="138"/>
      <c r="D8" s="138"/>
      <c r="E8" s="138"/>
      <c r="F8" s="138"/>
      <c r="G8" s="138"/>
      <c r="H8" s="138"/>
      <c r="I8" s="138"/>
      <c r="J8" s="138"/>
      <c r="K8" s="138"/>
      <c r="L8" s="652" t="s">
        <v>59</v>
      </c>
      <c r="M8" s="652" t="s">
        <v>58</v>
      </c>
      <c r="N8" s="653">
        <v>18.148</v>
      </c>
      <c r="O8" s="654">
        <v>13.584064712500002</v>
      </c>
      <c r="P8" s="654">
        <v>1</v>
      </c>
      <c r="Q8" s="654"/>
      <c r="T8" s="558" t="s">
        <v>448</v>
      </c>
      <c r="U8" s="655">
        <v>0.88624160243310246</v>
      </c>
      <c r="V8" s="656">
        <v>0.96351806298289178</v>
      </c>
      <c r="W8" s="741"/>
      <c r="X8" s="761"/>
      <c r="Y8" s="724"/>
    </row>
    <row r="9" spans="1:25" ht="10.5" customHeight="1">
      <c r="A9" s="136"/>
      <c r="B9" s="138"/>
      <c r="C9" s="138"/>
      <c r="D9" s="138"/>
      <c r="E9" s="138"/>
      <c r="F9" s="138"/>
      <c r="G9" s="138"/>
      <c r="H9" s="138"/>
      <c r="I9" s="138"/>
      <c r="J9" s="138"/>
      <c r="K9" s="138"/>
      <c r="L9" s="652" t="s">
        <v>448</v>
      </c>
      <c r="M9" s="657" t="s">
        <v>58</v>
      </c>
      <c r="N9" s="653">
        <v>20.27</v>
      </c>
      <c r="O9" s="654">
        <v>13.080604107500001</v>
      </c>
      <c r="P9" s="654">
        <v>0.86736345011033844</v>
      </c>
      <c r="Q9" s="654"/>
      <c r="T9" s="558" t="s">
        <v>402</v>
      </c>
      <c r="U9" s="655">
        <v>0.85633062849228092</v>
      </c>
      <c r="V9" s="656">
        <v>0.95233342232181639</v>
      </c>
      <c r="W9" s="741"/>
      <c r="X9" s="761"/>
      <c r="Y9" s="724"/>
    </row>
    <row r="10" spans="1:25" ht="10.5" customHeight="1">
      <c r="A10" s="136"/>
      <c r="B10" s="138"/>
      <c r="C10" s="138"/>
      <c r="D10" s="138"/>
      <c r="E10" s="138"/>
      <c r="F10" s="138"/>
      <c r="G10" s="138"/>
      <c r="H10" s="138"/>
      <c r="I10" s="138"/>
      <c r="J10" s="138"/>
      <c r="K10" s="138"/>
      <c r="L10" s="652" t="s">
        <v>450</v>
      </c>
      <c r="M10" s="657" t="s">
        <v>58</v>
      </c>
      <c r="N10" s="653">
        <v>20.58</v>
      </c>
      <c r="O10" s="654">
        <v>12.28704312</v>
      </c>
      <c r="P10" s="654">
        <v>0.80247050064265346</v>
      </c>
      <c r="Q10" s="654"/>
      <c r="T10" s="558" t="s">
        <v>57</v>
      </c>
      <c r="U10" s="655">
        <v>0.87896001106129862</v>
      </c>
      <c r="V10" s="656">
        <v>0.91848482178948143</v>
      </c>
      <c r="W10" s="741"/>
      <c r="X10" s="761"/>
      <c r="Y10" s="724"/>
    </row>
    <row r="11" spans="1:25" ht="10.5" customHeight="1">
      <c r="A11" s="136"/>
      <c r="B11" s="138"/>
      <c r="C11" s="138"/>
      <c r="D11" s="138"/>
      <c r="E11" s="138"/>
      <c r="F11" s="138"/>
      <c r="G11" s="138"/>
      <c r="H11" s="138"/>
      <c r="I11" s="138"/>
      <c r="J11" s="138"/>
      <c r="K11" s="138"/>
      <c r="L11" s="652" t="s">
        <v>63</v>
      </c>
      <c r="M11" s="657" t="s">
        <v>58</v>
      </c>
      <c r="N11" s="653">
        <v>20.202000000000002</v>
      </c>
      <c r="O11" s="654">
        <v>12.083802577499998</v>
      </c>
      <c r="P11" s="654">
        <v>0.80396347545037039</v>
      </c>
      <c r="Q11" s="654"/>
      <c r="T11" s="558" t="s">
        <v>409</v>
      </c>
      <c r="U11" s="655">
        <v>0.86058488777725306</v>
      </c>
      <c r="V11" s="656">
        <v>0.92253118111903287</v>
      </c>
      <c r="W11" s="741"/>
      <c r="X11" s="761"/>
      <c r="Y11" s="724"/>
    </row>
    <row r="12" spans="1:25" ht="10.5" customHeight="1">
      <c r="A12" s="136"/>
      <c r="B12" s="138"/>
      <c r="C12" s="138"/>
      <c r="D12" s="138"/>
      <c r="E12" s="138"/>
      <c r="F12" s="138"/>
      <c r="G12" s="138"/>
      <c r="H12" s="138"/>
      <c r="I12" s="138"/>
      <c r="J12" s="138"/>
      <c r="K12" s="138"/>
      <c r="L12" s="652" t="s">
        <v>61</v>
      </c>
      <c r="M12" s="652" t="s">
        <v>58</v>
      </c>
      <c r="N12" s="653">
        <v>19.1995</v>
      </c>
      <c r="O12" s="654">
        <v>11.585898784999998</v>
      </c>
      <c r="P12" s="654">
        <v>0.81108594512849919</v>
      </c>
      <c r="Q12" s="654"/>
      <c r="T12" s="558" t="s">
        <v>410</v>
      </c>
      <c r="U12" s="655">
        <v>0.85058278542454935</v>
      </c>
      <c r="V12" s="656">
        <v>0.90808051894931319</v>
      </c>
      <c r="W12" s="741"/>
      <c r="X12" s="761"/>
      <c r="Y12" s="724"/>
    </row>
    <row r="13" spans="1:25" ht="10.5" customHeight="1">
      <c r="A13" s="136"/>
      <c r="B13" s="138"/>
      <c r="C13" s="138"/>
      <c r="D13" s="138"/>
      <c r="E13" s="138"/>
      <c r="F13" s="138"/>
      <c r="G13" s="138"/>
      <c r="H13" s="138"/>
      <c r="I13" s="138"/>
      <c r="J13" s="138"/>
      <c r="K13" s="138"/>
      <c r="L13" s="652" t="s">
        <v>57</v>
      </c>
      <c r="M13" s="652" t="s">
        <v>58</v>
      </c>
      <c r="N13" s="653">
        <v>19.966000000000001</v>
      </c>
      <c r="O13" s="654">
        <v>8.2599745325000011</v>
      </c>
      <c r="P13" s="654">
        <v>0.55605110222997367</v>
      </c>
      <c r="Q13" s="654"/>
      <c r="T13" s="558" t="s">
        <v>411</v>
      </c>
      <c r="U13" s="655">
        <v>0.84726949714365718</v>
      </c>
      <c r="V13" s="656">
        <v>0.89012340213896812</v>
      </c>
      <c r="W13" s="741"/>
      <c r="X13" s="761"/>
      <c r="Y13" s="724"/>
    </row>
    <row r="14" spans="1:25" ht="10.5" customHeight="1">
      <c r="A14" s="136"/>
      <c r="B14" s="138"/>
      <c r="C14" s="138"/>
      <c r="D14" s="138"/>
      <c r="E14" s="138"/>
      <c r="F14" s="138"/>
      <c r="G14" s="138"/>
      <c r="H14" s="138"/>
      <c r="I14" s="138"/>
      <c r="J14" s="138"/>
      <c r="K14" s="138"/>
      <c r="L14" s="652" t="s">
        <v>62</v>
      </c>
      <c r="M14" s="652" t="s">
        <v>58</v>
      </c>
      <c r="N14" s="653">
        <v>9.9830000000000005</v>
      </c>
      <c r="O14" s="654">
        <v>7.4019872500000004</v>
      </c>
      <c r="P14" s="654">
        <v>1</v>
      </c>
      <c r="Q14" s="654"/>
      <c r="T14" s="558" t="s">
        <v>63</v>
      </c>
      <c r="U14" s="655">
        <v>0.80213309440544533</v>
      </c>
      <c r="V14" s="656">
        <v>0.94499789375270415</v>
      </c>
      <c r="W14" s="741"/>
      <c r="X14" s="761"/>
      <c r="Y14" s="724"/>
    </row>
    <row r="15" spans="1:25" ht="11.25" customHeight="1">
      <c r="A15" s="136"/>
      <c r="B15" s="138"/>
      <c r="C15" s="138"/>
      <c r="D15" s="138"/>
      <c r="E15" s="138"/>
      <c r="F15" s="138"/>
      <c r="G15" s="138"/>
      <c r="H15" s="138"/>
      <c r="I15" s="138"/>
      <c r="J15" s="138"/>
      <c r="K15" s="138"/>
      <c r="L15" s="652" t="s">
        <v>410</v>
      </c>
      <c r="M15" s="652" t="s">
        <v>58</v>
      </c>
      <c r="N15" s="653">
        <v>20.084060000000001</v>
      </c>
      <c r="O15" s="654">
        <v>6.5880159899999997</v>
      </c>
      <c r="P15" s="654">
        <v>0.44088994962238226</v>
      </c>
      <c r="Q15" s="654"/>
      <c r="T15" s="558" t="s">
        <v>61</v>
      </c>
      <c r="U15" s="655">
        <v>0.83741832498339874</v>
      </c>
      <c r="V15" s="656">
        <v>0.90014042996716193</v>
      </c>
      <c r="W15" s="741"/>
      <c r="X15" s="761"/>
      <c r="Y15" s="724"/>
    </row>
    <row r="16" spans="1:25" ht="11.25" customHeight="1">
      <c r="A16" s="136"/>
      <c r="B16" s="138"/>
      <c r="C16" s="138"/>
      <c r="D16" s="138"/>
      <c r="E16" s="138"/>
      <c r="F16" s="138"/>
      <c r="G16" s="138"/>
      <c r="H16" s="138"/>
      <c r="I16" s="138"/>
      <c r="J16" s="138"/>
      <c r="K16" s="138"/>
      <c r="L16" s="652" t="s">
        <v>409</v>
      </c>
      <c r="M16" s="652" t="s">
        <v>58</v>
      </c>
      <c r="N16" s="653">
        <v>19.987169999999999</v>
      </c>
      <c r="O16" s="654">
        <v>6.5002178724999995</v>
      </c>
      <c r="P16" s="654">
        <v>0.43712301337141107</v>
      </c>
      <c r="Q16" s="654"/>
      <c r="T16" s="558" t="s">
        <v>59</v>
      </c>
      <c r="U16" s="655">
        <v>0.86184249485223541</v>
      </c>
      <c r="V16" s="656">
        <v>1</v>
      </c>
      <c r="W16" s="741"/>
      <c r="X16" s="761"/>
      <c r="Y16" s="724"/>
    </row>
    <row r="17" spans="1:25" ht="11.25" customHeight="1">
      <c r="A17" s="136"/>
      <c r="B17" s="138"/>
      <c r="C17" s="138"/>
      <c r="D17" s="138"/>
      <c r="E17" s="138"/>
      <c r="F17" s="138"/>
      <c r="G17" s="138"/>
      <c r="H17" s="138"/>
      <c r="I17" s="138"/>
      <c r="J17" s="138"/>
      <c r="K17" s="138"/>
      <c r="L17" s="652" t="s">
        <v>416</v>
      </c>
      <c r="M17" s="652" t="s">
        <v>58</v>
      </c>
      <c r="N17" s="653">
        <v>20.365970000000001</v>
      </c>
      <c r="O17" s="654">
        <v>6.3175623700000001</v>
      </c>
      <c r="P17" s="654">
        <v>0.41693802315850292</v>
      </c>
      <c r="Q17" s="654"/>
      <c r="T17" s="558" t="s">
        <v>60</v>
      </c>
      <c r="U17" s="655">
        <v>0.7741807804967048</v>
      </c>
      <c r="V17" s="656">
        <v>0.79713823258846206</v>
      </c>
      <c r="W17" s="741"/>
      <c r="X17" s="761"/>
      <c r="Y17" s="724"/>
    </row>
    <row r="18" spans="1:25">
      <c r="A18" s="136"/>
      <c r="B18" s="138"/>
      <c r="C18" s="138"/>
      <c r="D18" s="138"/>
      <c r="E18" s="138"/>
      <c r="F18" s="138"/>
      <c r="G18" s="138"/>
      <c r="H18" s="138"/>
      <c r="I18" s="138"/>
      <c r="J18" s="138"/>
      <c r="K18" s="138"/>
      <c r="L18" s="652" t="s">
        <v>69</v>
      </c>
      <c r="M18" s="652" t="s">
        <v>58</v>
      </c>
      <c r="N18" s="653">
        <v>9.5660000000000007</v>
      </c>
      <c r="O18" s="654">
        <v>6.2042504750000003</v>
      </c>
      <c r="P18" s="654">
        <v>0.87173806579192881</v>
      </c>
      <c r="Q18" s="654"/>
      <c r="T18" s="558" t="s">
        <v>416</v>
      </c>
      <c r="U18" s="655">
        <v>0.69048767786564813</v>
      </c>
      <c r="V18" s="656">
        <v>0.78346565583609273</v>
      </c>
      <c r="W18" s="741"/>
      <c r="X18" s="761"/>
      <c r="Y18" s="724"/>
    </row>
    <row r="19" spans="1:25">
      <c r="A19" s="136"/>
      <c r="B19" s="138"/>
      <c r="C19" s="138"/>
      <c r="D19" s="138"/>
      <c r="E19" s="138"/>
      <c r="F19" s="138"/>
      <c r="G19" s="138"/>
      <c r="H19" s="138"/>
      <c r="I19" s="138"/>
      <c r="J19" s="138"/>
      <c r="K19" s="138"/>
      <c r="L19" s="652" t="s">
        <v>411</v>
      </c>
      <c r="M19" s="652" t="s">
        <v>58</v>
      </c>
      <c r="N19" s="653">
        <v>20.050889999999999</v>
      </c>
      <c r="O19" s="654">
        <v>5.9731057924999993</v>
      </c>
      <c r="P19" s="654">
        <v>0.40039958329391073</v>
      </c>
      <c r="Q19" s="654"/>
      <c r="T19" s="558" t="s">
        <v>460</v>
      </c>
      <c r="U19" s="655">
        <v>0.63843829879418423</v>
      </c>
      <c r="V19" s="656">
        <v>0.56402234871688739</v>
      </c>
      <c r="W19" s="741"/>
      <c r="X19" s="761"/>
      <c r="Y19" s="724"/>
    </row>
    <row r="20" spans="1:25">
      <c r="A20" s="136"/>
      <c r="B20" s="138"/>
      <c r="C20" s="138"/>
      <c r="D20" s="138"/>
      <c r="E20" s="138"/>
      <c r="F20" s="138"/>
      <c r="G20" s="138"/>
      <c r="H20" s="138"/>
      <c r="I20" s="138"/>
      <c r="J20" s="138"/>
      <c r="K20" s="138"/>
      <c r="L20" s="652" t="s">
        <v>60</v>
      </c>
      <c r="M20" s="652" t="s">
        <v>58</v>
      </c>
      <c r="N20" s="653">
        <v>19.966999999999999</v>
      </c>
      <c r="O20" s="654">
        <v>5.7972597974999998</v>
      </c>
      <c r="P20" s="654">
        <v>0.39024469659211897</v>
      </c>
      <c r="Q20" s="654"/>
      <c r="T20" s="558" t="s">
        <v>62</v>
      </c>
      <c r="U20" s="655">
        <v>0.97225573714000324</v>
      </c>
      <c r="V20" s="656">
        <v>0.87435144795821773</v>
      </c>
      <c r="W20" s="741"/>
      <c r="X20" s="761"/>
      <c r="Y20" s="724"/>
    </row>
    <row r="21" spans="1:25">
      <c r="A21" s="136"/>
      <c r="B21" s="138"/>
      <c r="C21" s="138"/>
      <c r="D21" s="138"/>
      <c r="E21" s="138"/>
      <c r="F21" s="138"/>
      <c r="G21" s="138"/>
      <c r="H21" s="138"/>
      <c r="I21" s="138"/>
      <c r="J21" s="138"/>
      <c r="K21" s="138"/>
      <c r="L21" s="652" t="s">
        <v>66</v>
      </c>
      <c r="M21" s="652" t="s">
        <v>58</v>
      </c>
      <c r="N21" s="653">
        <v>9.0798699999999997</v>
      </c>
      <c r="O21" s="654">
        <v>4.852208172500001</v>
      </c>
      <c r="P21" s="654">
        <v>0.71826856310623377</v>
      </c>
      <c r="Q21" s="654"/>
      <c r="T21" s="558" t="s">
        <v>64</v>
      </c>
      <c r="U21" s="655">
        <v>0.79242135166060068</v>
      </c>
      <c r="V21" s="656">
        <v>0.88008714685505796</v>
      </c>
      <c r="W21" s="741"/>
      <c r="X21" s="761"/>
      <c r="Y21" s="724"/>
    </row>
    <row r="22" spans="1:25">
      <c r="A22" s="136"/>
      <c r="B22" s="138"/>
      <c r="C22" s="138"/>
      <c r="D22" s="138"/>
      <c r="E22" s="138"/>
      <c r="F22" s="138"/>
      <c r="G22" s="138"/>
      <c r="H22" s="138"/>
      <c r="I22" s="138"/>
      <c r="J22" s="138"/>
      <c r="K22" s="138"/>
      <c r="L22" s="652" t="s">
        <v>64</v>
      </c>
      <c r="M22" s="652" t="s">
        <v>58</v>
      </c>
      <c r="N22" s="653">
        <v>9.9643300000000004</v>
      </c>
      <c r="O22" s="654">
        <v>4.5516981724999992</v>
      </c>
      <c r="P22" s="654">
        <v>0.61397744632793338</v>
      </c>
      <c r="Q22" s="654"/>
      <c r="T22" s="558" t="s">
        <v>65</v>
      </c>
      <c r="U22" s="655">
        <v>0.77739131922266691</v>
      </c>
      <c r="V22" s="656">
        <v>0.85827154222834812</v>
      </c>
      <c r="W22" s="741"/>
      <c r="X22" s="761"/>
      <c r="Y22" s="724"/>
    </row>
    <row r="23" spans="1:25">
      <c r="A23" s="136"/>
      <c r="B23" s="138"/>
      <c r="C23" s="138"/>
      <c r="D23" s="138"/>
      <c r="E23" s="138"/>
      <c r="F23" s="138"/>
      <c r="G23" s="138"/>
      <c r="H23" s="138"/>
      <c r="I23" s="138"/>
      <c r="J23" s="138"/>
      <c r="K23" s="138"/>
      <c r="L23" s="652" t="s">
        <v>447</v>
      </c>
      <c r="M23" s="652" t="s">
        <v>58</v>
      </c>
      <c r="N23" s="653">
        <v>8.58</v>
      </c>
      <c r="O23" s="654">
        <v>4.4901533350000005</v>
      </c>
      <c r="P23" s="654">
        <v>0.70339770769105459</v>
      </c>
      <c r="Q23" s="654"/>
      <c r="T23" s="558" t="s">
        <v>69</v>
      </c>
      <c r="U23" s="655">
        <v>0.79491296891896379</v>
      </c>
      <c r="V23" s="656">
        <v>0.70586771346931421</v>
      </c>
      <c r="W23" s="741"/>
      <c r="X23" s="761"/>
      <c r="Y23" s="724"/>
    </row>
    <row r="24" spans="1:25">
      <c r="A24" s="136"/>
      <c r="B24" s="138"/>
      <c r="C24" s="138"/>
      <c r="D24" s="138"/>
      <c r="E24" s="138"/>
      <c r="F24" s="138"/>
      <c r="G24" s="138"/>
      <c r="H24" s="138"/>
      <c r="I24" s="138"/>
      <c r="J24" s="138"/>
      <c r="K24" s="138"/>
      <c r="L24" s="652" t="s">
        <v>65</v>
      </c>
      <c r="M24" s="652" t="s">
        <v>58</v>
      </c>
      <c r="N24" s="653">
        <v>9.85</v>
      </c>
      <c r="O24" s="654">
        <v>4.2534628274999999</v>
      </c>
      <c r="P24" s="654">
        <v>0.58040811466350084</v>
      </c>
      <c r="Q24" s="654"/>
      <c r="T24" s="558" t="s">
        <v>447</v>
      </c>
      <c r="U24" s="655">
        <v>0.7625363726252592</v>
      </c>
      <c r="V24" s="656">
        <v>0.77351834498512895</v>
      </c>
      <c r="W24" s="741"/>
      <c r="X24" s="761"/>
      <c r="Y24" s="724"/>
    </row>
    <row r="25" spans="1:25">
      <c r="A25" s="136"/>
      <c r="B25" s="138"/>
      <c r="C25" s="138"/>
      <c r="D25" s="138"/>
      <c r="E25" s="138"/>
      <c r="F25" s="138"/>
      <c r="G25" s="138"/>
      <c r="H25" s="138"/>
      <c r="I25" s="138"/>
      <c r="J25" s="138"/>
      <c r="K25" s="138"/>
      <c r="L25" s="652" t="s">
        <v>71</v>
      </c>
      <c r="M25" s="652" t="s">
        <v>58</v>
      </c>
      <c r="N25" s="653">
        <v>5.67</v>
      </c>
      <c r="O25" s="654">
        <v>4.0544322499999996</v>
      </c>
      <c r="P25" s="654">
        <v>0.96111211858299683</v>
      </c>
      <c r="Q25" s="654"/>
      <c r="T25" s="558" t="s">
        <v>66</v>
      </c>
      <c r="U25" s="655">
        <v>0.68954938649358455</v>
      </c>
      <c r="V25" s="656">
        <v>0.80449943998542128</v>
      </c>
      <c r="W25" s="741"/>
      <c r="X25" s="761"/>
      <c r="Y25" s="724"/>
    </row>
    <row r="26" spans="1:25">
      <c r="A26" s="136"/>
      <c r="B26" s="138"/>
      <c r="C26" s="138"/>
      <c r="D26" s="138"/>
      <c r="E26" s="138"/>
      <c r="F26" s="138"/>
      <c r="G26" s="138"/>
      <c r="H26" s="138"/>
      <c r="I26" s="138"/>
      <c r="J26" s="138"/>
      <c r="K26" s="138"/>
      <c r="L26" s="652" t="s">
        <v>460</v>
      </c>
      <c r="M26" s="652" t="s">
        <v>58</v>
      </c>
      <c r="N26" s="653">
        <v>20.763359999999999</v>
      </c>
      <c r="O26" s="654">
        <v>3.0608849125000002</v>
      </c>
      <c r="P26" s="654">
        <v>0.19814194929568035</v>
      </c>
      <c r="Q26" s="654"/>
      <c r="T26" s="558" t="s">
        <v>67</v>
      </c>
      <c r="U26" s="655">
        <v>0.83070491756908893</v>
      </c>
      <c r="V26" s="656">
        <v>0.76189919179547749</v>
      </c>
      <c r="W26" s="741"/>
      <c r="X26" s="761"/>
      <c r="Y26" s="724"/>
    </row>
    <row r="27" spans="1:25">
      <c r="A27" s="136"/>
      <c r="B27" s="138"/>
      <c r="C27" s="138"/>
      <c r="D27" s="138"/>
      <c r="E27" s="138"/>
      <c r="F27" s="138"/>
      <c r="G27" s="138"/>
      <c r="H27" s="138"/>
      <c r="I27" s="138"/>
      <c r="J27" s="138"/>
      <c r="K27" s="138"/>
      <c r="L27" s="652" t="s">
        <v>73</v>
      </c>
      <c r="M27" s="652" t="s">
        <v>58</v>
      </c>
      <c r="N27" s="653">
        <v>3.91621</v>
      </c>
      <c r="O27" s="654">
        <v>2.6795507250000004</v>
      </c>
      <c r="P27" s="654">
        <v>0.91965105890314802</v>
      </c>
      <c r="Q27" s="654"/>
      <c r="T27" s="558" t="s">
        <v>71</v>
      </c>
      <c r="U27" s="655">
        <v>0.93189133729282747</v>
      </c>
      <c r="V27" s="656">
        <v>0.84236796722613505</v>
      </c>
      <c r="W27" s="741"/>
      <c r="X27" s="761"/>
      <c r="Y27" s="724"/>
    </row>
    <row r="28" spans="1:25">
      <c r="A28" s="136"/>
      <c r="B28" s="138"/>
      <c r="C28" s="138"/>
      <c r="D28" s="138"/>
      <c r="E28" s="138"/>
      <c r="F28" s="138"/>
      <c r="G28" s="138"/>
      <c r="H28" s="138"/>
      <c r="I28" s="138"/>
      <c r="J28" s="138"/>
      <c r="K28" s="138"/>
      <c r="L28" s="652" t="s">
        <v>74</v>
      </c>
      <c r="M28" s="652" t="s">
        <v>58</v>
      </c>
      <c r="N28" s="653">
        <v>3.9729999999999999</v>
      </c>
      <c r="O28" s="654">
        <v>2.3294999999999999</v>
      </c>
      <c r="P28" s="654">
        <v>0.78808164789750157</v>
      </c>
      <c r="Q28" s="654"/>
      <c r="T28" s="558" t="s">
        <v>68</v>
      </c>
      <c r="U28" s="655">
        <v>0.74404148622155297</v>
      </c>
      <c r="V28" s="656">
        <v>0.75427654879926043</v>
      </c>
      <c r="W28" s="741"/>
      <c r="X28" s="761"/>
      <c r="Y28" s="724"/>
    </row>
    <row r="29" spans="1:25">
      <c r="A29" s="136"/>
      <c r="B29" s="138"/>
      <c r="C29" s="138"/>
      <c r="D29" s="138"/>
      <c r="E29" s="138"/>
      <c r="F29" s="138"/>
      <c r="G29" s="138"/>
      <c r="H29" s="138"/>
      <c r="I29" s="138"/>
      <c r="J29" s="138"/>
      <c r="K29" s="138"/>
      <c r="L29" s="652" t="s">
        <v>67</v>
      </c>
      <c r="M29" s="652" t="s">
        <v>58</v>
      </c>
      <c r="N29" s="653">
        <v>6.5019999999999998</v>
      </c>
      <c r="O29" s="654">
        <v>2.3200215050000002</v>
      </c>
      <c r="P29" s="654">
        <v>0.47959219847160345</v>
      </c>
      <c r="Q29" s="654"/>
      <c r="T29" s="558" t="s">
        <v>73</v>
      </c>
      <c r="U29" s="655">
        <v>0.90156376828053775</v>
      </c>
      <c r="V29" s="656">
        <v>0.91946992785344528</v>
      </c>
      <c r="W29" s="741"/>
      <c r="X29" s="761"/>
      <c r="Y29" s="724"/>
    </row>
    <row r="30" spans="1:25">
      <c r="A30" s="136"/>
      <c r="B30" s="138"/>
      <c r="C30" s="138"/>
      <c r="D30" s="138"/>
      <c r="E30" s="138"/>
      <c r="F30" s="138"/>
      <c r="G30" s="138"/>
      <c r="H30" s="138"/>
      <c r="I30" s="138"/>
      <c r="J30" s="138"/>
      <c r="K30" s="138"/>
      <c r="L30" s="558" t="s">
        <v>68</v>
      </c>
      <c r="M30" s="652" t="s">
        <v>58</v>
      </c>
      <c r="N30" s="653">
        <v>6.6360000000000001</v>
      </c>
      <c r="O30" s="654">
        <v>2.0734716400000002</v>
      </c>
      <c r="P30" s="654">
        <v>0.41997050140322906</v>
      </c>
      <c r="Q30" s="654"/>
      <c r="T30" s="558" t="s">
        <v>70</v>
      </c>
      <c r="U30" s="655">
        <v>0.66124276400089854</v>
      </c>
      <c r="V30" s="656">
        <v>0.6864335795931451</v>
      </c>
      <c r="W30" s="741"/>
      <c r="X30" s="761"/>
      <c r="Y30" s="724"/>
    </row>
    <row r="31" spans="1:25">
      <c r="A31" s="136"/>
      <c r="B31" s="138"/>
      <c r="C31" s="138"/>
      <c r="D31" s="138"/>
      <c r="E31" s="138"/>
      <c r="F31" s="138"/>
      <c r="G31" s="138"/>
      <c r="H31" s="138"/>
      <c r="I31" s="138"/>
      <c r="J31" s="138"/>
      <c r="K31" s="138"/>
      <c r="L31" s="652" t="s">
        <v>70</v>
      </c>
      <c r="M31" s="654" t="s">
        <v>58</v>
      </c>
      <c r="N31" s="654">
        <v>5.1890000000000001</v>
      </c>
      <c r="O31" s="654">
        <v>1.9864998225000001</v>
      </c>
      <c r="P31" s="654">
        <v>0.51455514417906367</v>
      </c>
      <c r="Q31" s="654"/>
      <c r="T31" s="558" t="s">
        <v>74</v>
      </c>
      <c r="U31" s="655">
        <v>0.83782974370599772</v>
      </c>
      <c r="V31" s="656">
        <v>0.79516698854814738</v>
      </c>
      <c r="W31" s="741"/>
      <c r="X31" s="761"/>
      <c r="Y31" s="724"/>
    </row>
    <row r="32" spans="1:25">
      <c r="A32" s="136"/>
      <c r="B32" s="138"/>
      <c r="C32" s="138"/>
      <c r="D32" s="138"/>
      <c r="E32" s="138"/>
      <c r="F32" s="138"/>
      <c r="G32" s="138"/>
      <c r="H32" s="138"/>
      <c r="I32" s="138"/>
      <c r="J32" s="138"/>
      <c r="K32" s="138"/>
      <c r="L32" s="652" t="s">
        <v>72</v>
      </c>
      <c r="M32" s="654" t="s">
        <v>58</v>
      </c>
      <c r="N32" s="654">
        <v>3.3107500000000001</v>
      </c>
      <c r="O32" s="654">
        <v>0.88898949999999999</v>
      </c>
      <c r="P32" s="654">
        <v>0.36090866426491092</v>
      </c>
      <c r="Q32" s="654"/>
      <c r="T32" s="558" t="s">
        <v>72</v>
      </c>
      <c r="U32" s="655">
        <v>0.64734967025771784</v>
      </c>
      <c r="V32" s="656">
        <v>0.71989216684428214</v>
      </c>
      <c r="W32" s="741"/>
      <c r="X32" s="761"/>
      <c r="Y32" s="724"/>
    </row>
    <row r="33" spans="1:25">
      <c r="A33" s="136"/>
      <c r="B33" s="138"/>
      <c r="C33" s="138"/>
      <c r="D33" s="138"/>
      <c r="E33" s="138"/>
      <c r="F33" s="138"/>
      <c r="G33" s="138"/>
      <c r="H33" s="138"/>
      <c r="I33" s="138"/>
      <c r="J33" s="138"/>
      <c r="K33" s="138"/>
      <c r="L33" s="652" t="s">
        <v>412</v>
      </c>
      <c r="M33" s="654" t="s">
        <v>58</v>
      </c>
      <c r="N33" s="654">
        <v>0.678643</v>
      </c>
      <c r="O33" s="654">
        <v>0.23075375000000001</v>
      </c>
      <c r="P33" s="654">
        <v>0.45701921302503123</v>
      </c>
      <c r="Q33" s="654"/>
      <c r="T33" s="558" t="s">
        <v>75</v>
      </c>
      <c r="U33" s="655">
        <v>0.1717787164459785</v>
      </c>
      <c r="V33" s="656">
        <v>0.25079207662967745</v>
      </c>
      <c r="W33" s="741"/>
      <c r="X33" s="761"/>
      <c r="Y33" s="724"/>
    </row>
    <row r="34" spans="1:25">
      <c r="B34" s="138"/>
      <c r="C34" s="138"/>
      <c r="D34" s="138"/>
      <c r="E34" s="138"/>
      <c r="F34" s="138"/>
      <c r="G34" s="138"/>
      <c r="H34" s="138"/>
      <c r="I34" s="138"/>
      <c r="J34" s="138"/>
      <c r="K34" s="138"/>
      <c r="L34" s="652" t="s">
        <v>75</v>
      </c>
      <c r="M34" s="654" t="s">
        <v>58</v>
      </c>
      <c r="N34" s="654">
        <v>1.7689999999999999</v>
      </c>
      <c r="O34" s="654">
        <v>0</v>
      </c>
      <c r="P34" s="654">
        <v>0</v>
      </c>
      <c r="Q34" s="654"/>
      <c r="T34" s="558" t="s">
        <v>412</v>
      </c>
      <c r="U34" s="655">
        <v>0.43786656204026742</v>
      </c>
      <c r="V34" s="656">
        <v>0.44559750473036902</v>
      </c>
      <c r="W34" s="741"/>
      <c r="X34" s="761"/>
      <c r="Y34" s="724"/>
    </row>
    <row r="35" spans="1:25">
      <c r="A35" s="136"/>
      <c r="B35" s="138"/>
      <c r="C35" s="138"/>
      <c r="D35" s="138"/>
      <c r="E35" s="138"/>
      <c r="F35" s="138"/>
      <c r="G35" s="138"/>
      <c r="H35" s="138"/>
      <c r="I35" s="138"/>
      <c r="J35" s="138"/>
      <c r="K35" s="138"/>
      <c r="L35" s="652" t="s">
        <v>419</v>
      </c>
      <c r="M35" s="652" t="s">
        <v>215</v>
      </c>
      <c r="N35" s="653">
        <v>132.30000000000001</v>
      </c>
      <c r="O35" s="654">
        <v>51.553472500000005</v>
      </c>
      <c r="P35" s="654">
        <v>0.52375133595851719</v>
      </c>
      <c r="Q35" s="654"/>
      <c r="S35" s="558" t="s">
        <v>436</v>
      </c>
      <c r="T35" s="558" t="s">
        <v>419</v>
      </c>
      <c r="U35" s="655">
        <v>0.51500016320607211</v>
      </c>
      <c r="V35" s="656">
        <v>0.50803505645574387</v>
      </c>
      <c r="W35" s="741"/>
      <c r="X35" s="761"/>
      <c r="Y35" s="724"/>
    </row>
    <row r="36" spans="1:25" ht="10.95" customHeight="1">
      <c r="A36" s="136"/>
      <c r="B36" s="138"/>
      <c r="C36" s="138"/>
      <c r="D36" s="138"/>
      <c r="E36" s="138"/>
      <c r="F36" s="138"/>
      <c r="G36" s="138"/>
      <c r="H36" s="138"/>
      <c r="I36" s="138"/>
      <c r="J36" s="138"/>
      <c r="K36" s="138"/>
      <c r="L36" s="652" t="s">
        <v>76</v>
      </c>
      <c r="M36" s="652" t="s">
        <v>215</v>
      </c>
      <c r="N36" s="653">
        <v>97.15</v>
      </c>
      <c r="O36" s="654">
        <v>40.466045890000004</v>
      </c>
      <c r="P36" s="654">
        <v>0.55985431421867304</v>
      </c>
      <c r="Q36" s="654"/>
      <c r="T36" s="558" t="s">
        <v>76</v>
      </c>
      <c r="U36" s="655">
        <v>0.62327571910088742</v>
      </c>
      <c r="V36" s="656">
        <v>0.62223926140307817</v>
      </c>
      <c r="W36" s="741"/>
      <c r="X36" s="761"/>
      <c r="Y36" s="724"/>
    </row>
    <row r="37" spans="1:25">
      <c r="A37" s="136"/>
      <c r="B37" s="138"/>
      <c r="C37" s="138"/>
      <c r="D37" s="138"/>
      <c r="E37" s="138"/>
      <c r="F37" s="138"/>
      <c r="G37" s="138"/>
      <c r="H37" s="138"/>
      <c r="I37" s="138"/>
      <c r="J37" s="138"/>
      <c r="K37" s="138"/>
      <c r="L37" s="652" t="s">
        <v>77</v>
      </c>
      <c r="M37" s="652" t="s">
        <v>215</v>
      </c>
      <c r="N37" s="653">
        <v>83.15</v>
      </c>
      <c r="O37" s="654">
        <v>38.592950250000001</v>
      </c>
      <c r="P37" s="654">
        <v>0.62383938616569357</v>
      </c>
      <c r="Q37" s="654"/>
      <c r="T37" s="558" t="s">
        <v>77</v>
      </c>
      <c r="U37" s="655">
        <v>0.44797744939529216</v>
      </c>
      <c r="V37" s="656">
        <v>0.42591032525695599</v>
      </c>
      <c r="W37" s="741"/>
      <c r="X37" s="761"/>
      <c r="Y37" s="724"/>
    </row>
    <row r="38" spans="1:25" ht="11.25" customHeight="1">
      <c r="A38" s="136"/>
      <c r="B38" s="138"/>
      <c r="C38" s="138"/>
      <c r="D38" s="138"/>
      <c r="E38" s="138"/>
      <c r="F38" s="138"/>
      <c r="G38" s="138"/>
      <c r="H38" s="138"/>
      <c r="I38" s="138"/>
      <c r="J38" s="138"/>
      <c r="K38" s="138"/>
      <c r="L38" s="652" t="s">
        <v>78</v>
      </c>
      <c r="M38" s="652" t="s">
        <v>215</v>
      </c>
      <c r="N38" s="653">
        <v>32</v>
      </c>
      <c r="O38" s="654">
        <v>14.89197506</v>
      </c>
      <c r="P38" s="654">
        <v>0.6255029847110215</v>
      </c>
      <c r="Q38" s="658"/>
      <c r="T38" s="558" t="s">
        <v>78</v>
      </c>
      <c r="U38" s="655">
        <v>0.67130427844319129</v>
      </c>
      <c r="V38" s="656">
        <v>0.65880434943260202</v>
      </c>
      <c r="W38" s="741"/>
      <c r="X38" s="761"/>
      <c r="Y38" s="724"/>
    </row>
    <row r="39" spans="1:25">
      <c r="A39" s="136"/>
      <c r="B39" s="138"/>
      <c r="C39" s="138"/>
      <c r="D39" s="138"/>
      <c r="E39" s="138"/>
      <c r="F39" s="138"/>
      <c r="G39" s="138"/>
      <c r="H39" s="138"/>
      <c r="I39" s="138"/>
      <c r="J39" s="138"/>
      <c r="K39" s="138"/>
      <c r="L39" s="652" t="s">
        <v>79</v>
      </c>
      <c r="M39" s="652" t="s">
        <v>215</v>
      </c>
      <c r="N39" s="653">
        <v>30.86</v>
      </c>
      <c r="O39" s="654">
        <v>14.1280351</v>
      </c>
      <c r="P39" s="654">
        <v>0.61533682726012029</v>
      </c>
      <c r="T39" s="558" t="s">
        <v>79</v>
      </c>
      <c r="U39" s="655">
        <v>0.41164742655001074</v>
      </c>
      <c r="V39" s="656">
        <v>0.37256993097253288</v>
      </c>
      <c r="W39" s="741"/>
      <c r="X39" s="761"/>
      <c r="Y39" s="724"/>
    </row>
    <row r="40" spans="1:25">
      <c r="A40" s="136"/>
      <c r="B40" s="138"/>
      <c r="C40" s="138"/>
      <c r="D40" s="138"/>
      <c r="E40" s="138"/>
      <c r="F40" s="138"/>
      <c r="G40" s="138"/>
      <c r="H40" s="138"/>
      <c r="I40" s="138"/>
      <c r="J40" s="138"/>
      <c r="K40" s="138"/>
      <c r="L40" s="652" t="s">
        <v>474</v>
      </c>
      <c r="M40" s="652" t="s">
        <v>215</v>
      </c>
      <c r="N40" s="653">
        <v>18.37</v>
      </c>
      <c r="O40" s="654">
        <v>7.3036391325000007</v>
      </c>
      <c r="P40" s="654">
        <v>0.53438863713189455</v>
      </c>
      <c r="T40" s="558" t="s">
        <v>474</v>
      </c>
      <c r="U40" s="655">
        <v>0.36311814506898299</v>
      </c>
      <c r="V40" s="656">
        <v>0.49630021042958072</v>
      </c>
      <c r="W40" s="741"/>
      <c r="X40" s="761"/>
      <c r="Y40" s="724"/>
    </row>
    <row r="41" spans="1:25">
      <c r="A41" s="136"/>
      <c r="B41" s="138"/>
      <c r="C41" s="138"/>
      <c r="D41" s="138"/>
      <c r="E41" s="138"/>
      <c r="F41" s="138"/>
      <c r="G41" s="138"/>
      <c r="H41" s="138"/>
      <c r="I41" s="138"/>
      <c r="J41" s="138"/>
      <c r="K41" s="138"/>
      <c r="L41" s="558" t="s">
        <v>473</v>
      </c>
      <c r="M41" s="652" t="s">
        <v>215</v>
      </c>
      <c r="N41" s="653">
        <v>18.37</v>
      </c>
      <c r="O41" s="654">
        <v>4.8271659575000001</v>
      </c>
      <c r="P41" s="654">
        <v>0.3531914146413917</v>
      </c>
      <c r="T41" s="558" t="s">
        <v>473</v>
      </c>
      <c r="U41" s="655">
        <v>0.27114464005462879</v>
      </c>
      <c r="V41" s="656">
        <v>0.30246043177574472</v>
      </c>
      <c r="W41" s="741"/>
      <c r="X41" s="761"/>
      <c r="Y41" s="724"/>
    </row>
    <row r="42" spans="1:25">
      <c r="A42" s="136"/>
      <c r="B42" s="138"/>
      <c r="C42" s="138"/>
      <c r="D42" s="138"/>
      <c r="E42" s="138"/>
      <c r="F42" s="138"/>
      <c r="G42" s="138"/>
      <c r="H42" s="138"/>
      <c r="I42" s="138"/>
      <c r="J42" s="138"/>
      <c r="K42" s="138"/>
      <c r="L42" s="558" t="s">
        <v>420</v>
      </c>
      <c r="M42" s="652" t="s">
        <v>80</v>
      </c>
      <c r="N42" s="653">
        <v>144.47999999999999</v>
      </c>
      <c r="O42" s="654">
        <v>33.996906249999995</v>
      </c>
      <c r="P42" s="654">
        <v>0.31627053201172317</v>
      </c>
      <c r="S42" s="558" t="s">
        <v>428</v>
      </c>
      <c r="T42" s="558" t="s">
        <v>420</v>
      </c>
      <c r="U42" s="655">
        <v>0.3383795840155393</v>
      </c>
      <c r="V42" s="656">
        <v>0.33561772864767836</v>
      </c>
      <c r="W42" s="741"/>
      <c r="X42" s="761"/>
      <c r="Y42" s="724"/>
    </row>
    <row r="43" spans="1:25" ht="36" customHeight="1">
      <c r="A43" s="825"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mayo 2022.
Nota: Son consideradas las centrales adjudicadas por subasta RER y cuenten con operación comercial</v>
      </c>
      <c r="B43" s="825"/>
      <c r="C43" s="825"/>
      <c r="D43" s="825"/>
      <c r="E43" s="825"/>
      <c r="F43" s="825"/>
      <c r="G43" s="825"/>
      <c r="H43" s="825"/>
      <c r="I43" s="825"/>
      <c r="J43" s="825"/>
      <c r="K43" s="825"/>
      <c r="L43" s="652" t="s">
        <v>421</v>
      </c>
      <c r="M43" s="652" t="s">
        <v>80</v>
      </c>
      <c r="N43" s="653">
        <v>44.54</v>
      </c>
      <c r="O43" s="654">
        <v>8.5170122124999992</v>
      </c>
      <c r="P43" s="654">
        <v>0.2570183444052947</v>
      </c>
      <c r="T43" s="558" t="s">
        <v>421</v>
      </c>
      <c r="U43" s="655">
        <v>0.26734579359364952</v>
      </c>
      <c r="V43" s="656">
        <v>0.26103761601608688</v>
      </c>
      <c r="W43" s="741"/>
      <c r="X43" s="761"/>
      <c r="Y43" s="724"/>
    </row>
    <row r="44" spans="1:25" ht="18" customHeight="1">
      <c r="A44" s="136"/>
      <c r="B44" s="138"/>
      <c r="C44" s="138"/>
      <c r="D44" s="138"/>
      <c r="E44" s="138"/>
      <c r="F44" s="138"/>
      <c r="G44" s="138"/>
      <c r="H44" s="138"/>
      <c r="I44" s="138"/>
      <c r="J44" s="138"/>
      <c r="K44" s="138"/>
      <c r="L44" s="652" t="s">
        <v>230</v>
      </c>
      <c r="M44" s="652" t="s">
        <v>80</v>
      </c>
      <c r="N44" s="653">
        <v>20</v>
      </c>
      <c r="O44" s="654">
        <v>4.3961172500000005</v>
      </c>
      <c r="P44" s="654">
        <v>0.29543798723118281</v>
      </c>
      <c r="T44" s="558" t="s">
        <v>229</v>
      </c>
      <c r="U44" s="655">
        <v>0.32652902714541943</v>
      </c>
      <c r="V44" s="656">
        <v>0.32758004856512146</v>
      </c>
      <c r="W44" s="741"/>
      <c r="X44" s="761"/>
      <c r="Y44" s="724"/>
    </row>
    <row r="45" spans="1:25" ht="12">
      <c r="A45" s="136"/>
      <c r="B45" s="138"/>
      <c r="C45" s="829" t="str">
        <f>"Factor de planta de las centrales RER  Acumulado al "&amp;'1. Resumen'!Q7&amp;" de "&amp;'1. Resumen'!Q4</f>
        <v>Factor de planta de las centrales RER  Acumulado al 31 de mayo</v>
      </c>
      <c r="D45" s="829"/>
      <c r="E45" s="829"/>
      <c r="F45" s="829"/>
      <c r="G45" s="829"/>
      <c r="H45" s="829"/>
      <c r="I45" s="829"/>
      <c r="J45" s="138"/>
      <c r="K45" s="138"/>
      <c r="L45" s="652" t="s">
        <v>229</v>
      </c>
      <c r="M45" s="652" t="s">
        <v>80</v>
      </c>
      <c r="N45" s="653">
        <v>20</v>
      </c>
      <c r="O45" s="654">
        <v>3.8505087499999999</v>
      </c>
      <c r="P45" s="654">
        <v>0.25877074932795696</v>
      </c>
      <c r="T45" s="558" t="s">
        <v>230</v>
      </c>
      <c r="U45" s="655">
        <v>0.32498136541114792</v>
      </c>
      <c r="V45" s="656">
        <v>0.33108225538079467</v>
      </c>
      <c r="W45" s="741"/>
      <c r="X45" s="761"/>
      <c r="Y45" s="724"/>
    </row>
    <row r="46" spans="1:25" ht="9.75" customHeight="1">
      <c r="A46" s="136"/>
      <c r="B46" s="138"/>
      <c r="C46" s="138"/>
      <c r="D46" s="138"/>
      <c r="E46" s="138"/>
      <c r="F46" s="138"/>
      <c r="G46" s="138"/>
      <c r="H46" s="138"/>
      <c r="I46" s="138"/>
      <c r="J46" s="138"/>
      <c r="K46" s="138"/>
      <c r="L46" s="652" t="s">
        <v>231</v>
      </c>
      <c r="M46" s="652" t="s">
        <v>80</v>
      </c>
      <c r="N46" s="653">
        <v>20</v>
      </c>
      <c r="O46" s="654">
        <v>3.8187446</v>
      </c>
      <c r="P46" s="654">
        <v>0.25663606182795701</v>
      </c>
      <c r="T46" s="557" t="s">
        <v>81</v>
      </c>
      <c r="U46" s="655">
        <v>0.3344978093956954</v>
      </c>
      <c r="V46" s="656">
        <v>0.34155192548806562</v>
      </c>
      <c r="W46" s="741"/>
      <c r="X46" s="761"/>
      <c r="Y46" s="724"/>
    </row>
    <row r="47" spans="1:25" ht="9.75" customHeight="1">
      <c r="A47" s="136"/>
      <c r="B47" s="138"/>
      <c r="C47" s="138"/>
      <c r="D47" s="138"/>
      <c r="E47" s="138"/>
      <c r="F47" s="138"/>
      <c r="G47" s="138"/>
      <c r="H47" s="138"/>
      <c r="I47" s="138"/>
      <c r="J47" s="138"/>
      <c r="K47" s="138"/>
      <c r="L47" s="652" t="s">
        <v>82</v>
      </c>
      <c r="M47" s="652" t="s">
        <v>80</v>
      </c>
      <c r="N47" s="653">
        <v>20</v>
      </c>
      <c r="O47" s="654">
        <v>3.6931134025000003</v>
      </c>
      <c r="P47" s="654">
        <v>0.24819310500672043</v>
      </c>
      <c r="T47" s="558" t="s">
        <v>231</v>
      </c>
      <c r="U47" s="655">
        <v>0.26178993584437088</v>
      </c>
      <c r="V47" s="656">
        <v>0.23791210954746136</v>
      </c>
      <c r="X47" s="761"/>
      <c r="Y47" s="724"/>
    </row>
    <row r="48" spans="1:25" ht="9.75" customHeight="1">
      <c r="A48" s="136"/>
      <c r="B48" s="138"/>
      <c r="C48" s="138"/>
      <c r="D48" s="138"/>
      <c r="E48" s="138"/>
      <c r="F48" s="138"/>
      <c r="G48" s="138"/>
      <c r="H48" s="138"/>
      <c r="I48" s="138"/>
      <c r="J48" s="138"/>
      <c r="K48" s="138"/>
      <c r="L48" s="652" t="s">
        <v>81</v>
      </c>
      <c r="M48" s="652" t="s">
        <v>80</v>
      </c>
      <c r="N48" s="653">
        <v>16</v>
      </c>
      <c r="O48" s="654">
        <v>3.6861812500000002</v>
      </c>
      <c r="P48" s="654">
        <v>0.30965904317876347</v>
      </c>
      <c r="T48" s="558" t="s">
        <v>82</v>
      </c>
      <c r="U48" s="655">
        <v>0.24662783992135764</v>
      </c>
      <c r="V48" s="656">
        <v>0.2389600539804084</v>
      </c>
      <c r="X48" s="761"/>
      <c r="Y48" s="724"/>
    </row>
    <row r="49" spans="1:25" ht="9.75" customHeight="1">
      <c r="A49" s="136"/>
      <c r="B49" s="138"/>
      <c r="C49" s="138"/>
      <c r="D49" s="138"/>
      <c r="E49" s="138"/>
      <c r="F49" s="138"/>
      <c r="G49" s="138"/>
      <c r="H49" s="138"/>
      <c r="I49" s="138"/>
      <c r="J49" s="138"/>
      <c r="K49" s="138"/>
      <c r="L49" s="652" t="s">
        <v>84</v>
      </c>
      <c r="M49" s="652" t="s">
        <v>399</v>
      </c>
      <c r="N49" s="653">
        <v>4.2625000000000002</v>
      </c>
      <c r="O49" s="654">
        <v>2.2479158725000001</v>
      </c>
      <c r="P49" s="654">
        <v>0.7088310385330937</v>
      </c>
      <c r="S49" s="558" t="s">
        <v>429</v>
      </c>
      <c r="T49" s="558" t="s">
        <v>83</v>
      </c>
      <c r="U49" s="682">
        <v>0.73787272874480148</v>
      </c>
      <c r="V49" s="656">
        <v>0.81493614402554293</v>
      </c>
      <c r="X49" s="761"/>
      <c r="Y49" s="724"/>
    </row>
    <row r="50" spans="1:25" ht="9.75" customHeight="1">
      <c r="A50" s="136"/>
      <c r="B50" s="138"/>
      <c r="C50" s="138"/>
      <c r="D50" s="138"/>
      <c r="E50" s="138"/>
      <c r="F50" s="138"/>
      <c r="G50" s="138"/>
      <c r="H50" s="138"/>
      <c r="I50" s="138"/>
      <c r="J50" s="138"/>
      <c r="K50" s="138"/>
      <c r="L50" s="652" t="s">
        <v>85</v>
      </c>
      <c r="M50" s="652" t="s">
        <v>399</v>
      </c>
      <c r="N50" s="653">
        <v>2.9537</v>
      </c>
      <c r="O50" s="654">
        <v>1.4853372400000002</v>
      </c>
      <c r="P50" s="654">
        <v>0.67590514321203132</v>
      </c>
      <c r="T50" s="558" t="s">
        <v>84</v>
      </c>
      <c r="U50" s="682">
        <v>0.72214144526875246</v>
      </c>
      <c r="V50" s="656">
        <v>0.89811038644293817</v>
      </c>
    </row>
    <row r="51" spans="1:25" ht="20.25" customHeight="1">
      <c r="A51" s="136"/>
      <c r="B51" s="138"/>
      <c r="C51" s="138"/>
      <c r="D51" s="138"/>
      <c r="E51" s="138"/>
      <c r="F51" s="138"/>
      <c r="G51" s="138"/>
      <c r="H51" s="138"/>
      <c r="I51" s="138"/>
      <c r="J51" s="138"/>
      <c r="K51" s="138"/>
      <c r="L51" s="652" t="s">
        <v>422</v>
      </c>
      <c r="M51" s="652" t="s">
        <v>399</v>
      </c>
      <c r="N51" s="653">
        <v>2.4</v>
      </c>
      <c r="O51" s="654">
        <v>0.66827041249999997</v>
      </c>
      <c r="P51" s="654">
        <v>0.37425538334453406</v>
      </c>
      <c r="T51" s="558" t="s">
        <v>85</v>
      </c>
      <c r="U51" s="682">
        <v>0.70727397572812656</v>
      </c>
      <c r="V51" s="656">
        <v>0.89463862476225231</v>
      </c>
    </row>
    <row r="52" spans="1:25" ht="9.75" customHeight="1">
      <c r="A52" s="136"/>
      <c r="B52" s="138"/>
      <c r="C52" s="138"/>
      <c r="D52" s="138"/>
      <c r="E52" s="138"/>
      <c r="F52" s="138"/>
      <c r="G52" s="138"/>
      <c r="H52" s="138"/>
      <c r="I52" s="138"/>
      <c r="J52" s="138"/>
      <c r="K52" s="138"/>
      <c r="L52" s="652" t="s">
        <v>459</v>
      </c>
      <c r="M52" s="652" t="s">
        <v>399</v>
      </c>
      <c r="N52" s="653">
        <v>2.4</v>
      </c>
      <c r="O52" s="654">
        <v>0.50917642500000004</v>
      </c>
      <c r="P52" s="654">
        <v>0.28515704805107533</v>
      </c>
      <c r="T52" s="558" t="s">
        <v>422</v>
      </c>
      <c r="U52" s="682">
        <v>0.67067745843681026</v>
      </c>
      <c r="V52" s="656">
        <v>0.77639503512463226</v>
      </c>
    </row>
    <row r="53" spans="1:25" ht="9.75" customHeight="1">
      <c r="B53" s="138"/>
      <c r="C53" s="138"/>
      <c r="D53" s="138"/>
      <c r="E53" s="138"/>
      <c r="F53" s="138"/>
      <c r="G53" s="138"/>
      <c r="H53" s="138"/>
      <c r="I53" s="138"/>
      <c r="J53" s="138"/>
      <c r="K53" s="138"/>
      <c r="L53" s="652" t="s">
        <v>83</v>
      </c>
      <c r="M53" s="652" t="s">
        <v>399</v>
      </c>
      <c r="N53" s="653">
        <v>12.74105</v>
      </c>
      <c r="O53" s="654">
        <v>0</v>
      </c>
      <c r="P53" s="654">
        <v>0</v>
      </c>
      <c r="T53" s="558" t="s">
        <v>459</v>
      </c>
      <c r="U53" s="682">
        <v>0.62968120803440042</v>
      </c>
      <c r="V53" s="656">
        <v>0.59347371545023919</v>
      </c>
    </row>
    <row r="54" spans="1:25" ht="30.75" customHeight="1">
      <c r="M54" s="652"/>
      <c r="N54" s="653"/>
      <c r="O54" s="654"/>
      <c r="P54" s="654"/>
    </row>
    <row r="55" spans="1:25" ht="9.75" customHeight="1">
      <c r="U55" s="682"/>
    </row>
    <row r="56" spans="1:25" ht="9.75" customHeight="1">
      <c r="U56" s="682"/>
    </row>
    <row r="57" spans="1:25" ht="9.75" customHeight="1">
      <c r="U57" s="682"/>
    </row>
    <row r="58" spans="1:25" ht="9.75" customHeight="1"/>
    <row r="59" spans="1:25" ht="9.75" customHeight="1"/>
    <row r="60" spans="1:25" ht="9.75" customHeight="1"/>
    <row r="61" spans="1:25" ht="9.75" customHeight="1"/>
    <row r="62" spans="1:25" ht="9.75" customHeight="1"/>
    <row r="64" spans="1:25" ht="26.25" customHeight="1">
      <c r="A64" s="825"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mayo.
Nota: Son consideradas las centrales adjudicadas por subasta RER y cuenten con operación comercial</v>
      </c>
      <c r="B64" s="825"/>
      <c r="C64" s="825"/>
      <c r="D64" s="825"/>
      <c r="E64" s="825"/>
      <c r="F64" s="825"/>
      <c r="G64" s="825"/>
      <c r="H64" s="825"/>
      <c r="I64" s="825"/>
      <c r="J64" s="825"/>
      <c r="K64" s="825"/>
    </row>
  </sheetData>
  <mergeCells count="4">
    <mergeCell ref="A43:K43"/>
    <mergeCell ref="A2:K2"/>
    <mergeCell ref="C45:I45"/>
    <mergeCell ref="A64:K64"/>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Q74"/>
  <sheetViews>
    <sheetView showGridLines="0" view="pageBreakPreview" zoomScale="130" zoomScaleNormal="100" zoomScaleSheetLayoutView="130" zoomScalePageLayoutView="115" workbookViewId="0">
      <selection activeCell="R35" sqref="R35"/>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10" max="10" width="9.28515625" customWidth="1"/>
    <col min="11" max="11" width="22.85546875" style="681" customWidth="1"/>
    <col min="12" max="12" width="19.140625" style="275" customWidth="1"/>
    <col min="13" max="13" width="10.42578125" style="275" bestFit="1" customWidth="1"/>
    <col min="14" max="14" width="9.42578125" style="275" bestFit="1" customWidth="1"/>
    <col min="15" max="17" width="9.28515625" style="681"/>
  </cols>
  <sheetData>
    <row r="1" spans="1:14" ht="11.25" customHeight="1">
      <c r="A1" s="826" t="s">
        <v>233</v>
      </c>
      <c r="B1" s="826"/>
      <c r="C1" s="826"/>
      <c r="D1" s="826"/>
      <c r="E1" s="826"/>
      <c r="F1" s="826"/>
      <c r="G1" s="826"/>
      <c r="H1" s="826"/>
      <c r="I1" s="826"/>
      <c r="J1" s="17"/>
    </row>
    <row r="2" spans="1:14" ht="6" customHeight="1">
      <c r="A2" s="17"/>
      <c r="B2" s="17"/>
      <c r="C2" s="17"/>
      <c r="D2" s="17"/>
      <c r="E2" s="17"/>
      <c r="F2" s="17"/>
      <c r="G2" s="17"/>
      <c r="H2" s="17"/>
      <c r="I2" s="17"/>
      <c r="J2" s="17"/>
      <c r="K2" s="683"/>
      <c r="L2" s="733"/>
    </row>
    <row r="3" spans="1:14" ht="11.25" customHeight="1">
      <c r="A3" s="832" t="s">
        <v>243</v>
      </c>
      <c r="B3" s="833" t="str">
        <f>+'1. Resumen'!Q4</f>
        <v>mayo</v>
      </c>
      <c r="C3" s="834"/>
      <c r="D3" s="834"/>
      <c r="E3" s="138"/>
      <c r="F3" s="138"/>
      <c r="G3" s="835" t="s">
        <v>578</v>
      </c>
      <c r="H3" s="835"/>
      <c r="I3" s="835"/>
      <c r="J3" s="138"/>
      <c r="L3" s="734"/>
      <c r="M3" s="735">
        <v>2022</v>
      </c>
      <c r="N3" s="735">
        <v>2021</v>
      </c>
    </row>
    <row r="4" spans="1:14" ht="11.25" customHeight="1">
      <c r="A4" s="832"/>
      <c r="B4" s="366">
        <f>+'1. Resumen'!Q5</f>
        <v>2022</v>
      </c>
      <c r="C4" s="367">
        <f>+B4-1</f>
        <v>2021</v>
      </c>
      <c r="D4" s="367" t="s">
        <v>35</v>
      </c>
      <c r="E4" s="138"/>
      <c r="F4" s="138"/>
      <c r="G4" s="138"/>
      <c r="H4" s="138"/>
      <c r="I4" s="138"/>
      <c r="J4" s="138"/>
      <c r="K4" s="742"/>
      <c r="L4" s="736" t="s">
        <v>417</v>
      </c>
      <c r="M4" s="737"/>
      <c r="N4" s="737">
        <v>9.7665309674999996</v>
      </c>
    </row>
    <row r="5" spans="1:14" ht="9.6" customHeight="1">
      <c r="A5" s="599" t="s">
        <v>406</v>
      </c>
      <c r="B5" s="763">
        <v>741.06155749999994</v>
      </c>
      <c r="C5" s="764">
        <v>683.98316573500006</v>
      </c>
      <c r="D5" s="600">
        <f>IF(C5=0,"",B5/C5-1)</f>
        <v>8.3449995006330546E-2</v>
      </c>
      <c r="E5" s="138"/>
      <c r="F5" s="138"/>
      <c r="G5" s="138"/>
      <c r="H5" s="138"/>
      <c r="I5" s="138"/>
      <c r="J5" s="138"/>
      <c r="K5" s="743"/>
      <c r="L5" s="736" t="s">
        <v>102</v>
      </c>
      <c r="M5" s="737">
        <v>0</v>
      </c>
      <c r="N5" s="737">
        <v>0.62750818749999993</v>
      </c>
    </row>
    <row r="6" spans="1:14" ht="9.6" customHeight="1">
      <c r="A6" s="601" t="s">
        <v>89</v>
      </c>
      <c r="B6" s="765">
        <v>624.43300392000003</v>
      </c>
      <c r="C6" s="765">
        <v>613.65687095999999</v>
      </c>
      <c r="D6" s="602">
        <f t="shared" ref="D6:D68" si="0">IF(C6=0,"",B6/C6-1)</f>
        <v>1.7560518703460426E-2</v>
      </c>
      <c r="E6" s="320"/>
      <c r="F6" s="138"/>
      <c r="G6" s="138"/>
      <c r="H6" s="138"/>
      <c r="I6" s="138"/>
      <c r="J6" s="138"/>
      <c r="L6" s="737" t="s">
        <v>234</v>
      </c>
      <c r="M6" s="737">
        <v>0</v>
      </c>
      <c r="N6" s="737">
        <v>0.38358560999999997</v>
      </c>
    </row>
    <row r="7" spans="1:14" ht="9.6" customHeight="1">
      <c r="A7" s="599" t="s">
        <v>88</v>
      </c>
      <c r="B7" s="764">
        <v>580.23964099999989</v>
      </c>
      <c r="C7" s="764">
        <v>586.96947480750009</v>
      </c>
      <c r="D7" s="600">
        <f t="shared" si="0"/>
        <v>-1.1465389762742362E-2</v>
      </c>
      <c r="E7" s="138"/>
      <c r="F7" s="138"/>
      <c r="G7" s="138"/>
      <c r="H7" s="138"/>
      <c r="I7" s="138"/>
      <c r="J7" s="138"/>
      <c r="L7" s="736" t="s">
        <v>466</v>
      </c>
      <c r="M7" s="737">
        <v>0</v>
      </c>
      <c r="N7" s="737">
        <v>0.41467641999999999</v>
      </c>
    </row>
    <row r="8" spans="1:14" ht="9.6" customHeight="1">
      <c r="A8" s="601" t="s">
        <v>87</v>
      </c>
      <c r="B8" s="765">
        <v>541.97623009500001</v>
      </c>
      <c r="C8" s="765">
        <v>611.95661115500002</v>
      </c>
      <c r="D8" s="602">
        <f t="shared" si="0"/>
        <v>-0.11435513528960795</v>
      </c>
      <c r="E8" s="138"/>
      <c r="F8" s="138"/>
      <c r="G8" s="138"/>
      <c r="H8" s="138"/>
      <c r="I8" s="138"/>
      <c r="J8" s="138"/>
      <c r="L8" s="736" t="s">
        <v>106</v>
      </c>
      <c r="M8" s="737">
        <v>0</v>
      </c>
      <c r="N8" s="737">
        <v>4.7920555125000002</v>
      </c>
    </row>
    <row r="9" spans="1:14" ht="9.6" customHeight="1">
      <c r="A9" s="599" t="s">
        <v>237</v>
      </c>
      <c r="B9" s="764">
        <v>378.17861547749999</v>
      </c>
      <c r="C9" s="764">
        <v>354.99964174000002</v>
      </c>
      <c r="D9" s="600">
        <f t="shared" si="0"/>
        <v>6.5292949660146871E-2</v>
      </c>
      <c r="E9" s="138"/>
      <c r="F9" s="138"/>
      <c r="G9" s="138"/>
      <c r="H9" s="138"/>
      <c r="I9" s="138"/>
      <c r="J9" s="138"/>
      <c r="K9" s="742"/>
      <c r="L9" s="737" t="s">
        <v>116</v>
      </c>
      <c r="M9" s="737">
        <v>1.0664450000000001E-3</v>
      </c>
      <c r="N9" s="737">
        <v>2.7302525E-3</v>
      </c>
    </row>
    <row r="10" spans="1:14" ht="9.6" customHeight="1">
      <c r="A10" s="601" t="s">
        <v>239</v>
      </c>
      <c r="B10" s="765">
        <v>211.23782075</v>
      </c>
      <c r="C10" s="765">
        <v>194.34208764500002</v>
      </c>
      <c r="D10" s="602">
        <f t="shared" si="0"/>
        <v>8.6938106458252173E-2</v>
      </c>
      <c r="E10" s="138"/>
      <c r="F10" s="138"/>
      <c r="G10" s="138"/>
      <c r="H10" s="138"/>
      <c r="I10" s="138"/>
      <c r="J10" s="138"/>
      <c r="K10" s="743"/>
      <c r="L10" s="737" t="s">
        <v>241</v>
      </c>
      <c r="M10" s="737">
        <v>2.0167449999999999E-3</v>
      </c>
      <c r="N10" s="737">
        <v>2.2970072500000001E-2</v>
      </c>
    </row>
    <row r="11" spans="1:14" ht="9.6" customHeight="1">
      <c r="A11" s="599" t="s">
        <v>90</v>
      </c>
      <c r="B11" s="764">
        <v>210.44621342500002</v>
      </c>
      <c r="C11" s="764">
        <v>198.79092777749997</v>
      </c>
      <c r="D11" s="600">
        <f t="shared" si="0"/>
        <v>5.8630873037352149E-2</v>
      </c>
      <c r="E11" s="138"/>
      <c r="F11" s="138"/>
      <c r="G11" s="138"/>
      <c r="H11" s="138"/>
      <c r="I11" s="138"/>
      <c r="J11" s="138"/>
      <c r="K11" s="743"/>
      <c r="L11" s="737" t="s">
        <v>242</v>
      </c>
      <c r="M11" s="737">
        <v>2.0572499999999997E-2</v>
      </c>
      <c r="N11" s="737">
        <v>0</v>
      </c>
    </row>
    <row r="12" spans="1:14" ht="9.6" customHeight="1">
      <c r="A12" s="601" t="s">
        <v>235</v>
      </c>
      <c r="B12" s="765">
        <v>155.8943597375</v>
      </c>
      <c r="C12" s="765">
        <v>148.02829735</v>
      </c>
      <c r="D12" s="603">
        <f t="shared" si="0"/>
        <v>5.3138910115958282E-2</v>
      </c>
      <c r="E12" s="138"/>
      <c r="F12" s="138"/>
      <c r="G12" s="138"/>
      <c r="H12" s="138"/>
      <c r="I12" s="138"/>
      <c r="J12" s="138"/>
      <c r="K12" s="743"/>
      <c r="L12" s="736" t="s">
        <v>408</v>
      </c>
      <c r="M12" s="737">
        <v>0.19607749999999999</v>
      </c>
      <c r="N12" s="737">
        <v>2.3376999999999998E-2</v>
      </c>
    </row>
    <row r="13" spans="1:14" ht="9.6" customHeight="1">
      <c r="A13" s="599" t="s">
        <v>92</v>
      </c>
      <c r="B13" s="764">
        <v>119.12282750000001</v>
      </c>
      <c r="C13" s="764">
        <v>120.18486397000001</v>
      </c>
      <c r="D13" s="600">
        <f t="shared" si="0"/>
        <v>-8.8366907022925378E-3</v>
      </c>
      <c r="E13" s="138"/>
      <c r="F13" s="138"/>
      <c r="G13" s="138"/>
      <c r="H13" s="138"/>
      <c r="I13" s="138"/>
      <c r="J13" s="138"/>
      <c r="K13" s="743"/>
      <c r="L13" s="736" t="s">
        <v>544</v>
      </c>
      <c r="M13" s="737">
        <v>0.25438965749999998</v>
      </c>
      <c r="N13" s="737"/>
    </row>
    <row r="14" spans="1:14" ht="9.6" customHeight="1">
      <c r="A14" s="601" t="s">
        <v>93</v>
      </c>
      <c r="B14" s="765">
        <v>98.50874675</v>
      </c>
      <c r="C14" s="765">
        <v>94.361349082499999</v>
      </c>
      <c r="D14" s="602">
        <f t="shared" si="0"/>
        <v>4.3952293050345537E-2</v>
      </c>
      <c r="E14" s="138"/>
      <c r="F14" s="138"/>
      <c r="G14" s="138"/>
      <c r="H14" s="138"/>
      <c r="I14" s="138"/>
      <c r="J14" s="138"/>
      <c r="K14" s="743"/>
      <c r="L14" s="737" t="s">
        <v>115</v>
      </c>
      <c r="M14" s="737">
        <v>0.88898949999999999</v>
      </c>
      <c r="N14" s="737">
        <v>1.7517523274999998</v>
      </c>
    </row>
    <row r="15" spans="1:14" ht="9.6" customHeight="1">
      <c r="A15" s="599" t="s">
        <v>94</v>
      </c>
      <c r="B15" s="764">
        <v>96.643174674999997</v>
      </c>
      <c r="C15" s="764">
        <v>102.69447055250001</v>
      </c>
      <c r="D15" s="600">
        <f t="shared" si="0"/>
        <v>-5.8925235652356078E-2</v>
      </c>
      <c r="E15" s="138"/>
      <c r="F15" s="138"/>
      <c r="G15" s="138"/>
      <c r="H15" s="138"/>
      <c r="I15" s="138"/>
      <c r="J15" s="138" t="s">
        <v>8</v>
      </c>
      <c r="K15" s="743"/>
      <c r="L15" s="737" t="s">
        <v>117</v>
      </c>
      <c r="M15" s="737">
        <v>0.93733993999999998</v>
      </c>
      <c r="N15" s="737">
        <v>1.7214742324999999</v>
      </c>
    </row>
    <row r="16" spans="1:14" ht="9.6" customHeight="1">
      <c r="A16" s="601" t="s">
        <v>98</v>
      </c>
      <c r="B16" s="765">
        <v>85.550378749999993</v>
      </c>
      <c r="C16" s="765">
        <v>84.004271630000005</v>
      </c>
      <c r="D16" s="602">
        <f t="shared" si="0"/>
        <v>1.8405101193066375E-2</v>
      </c>
      <c r="E16" s="138"/>
      <c r="F16" s="138"/>
      <c r="G16" s="138"/>
      <c r="H16" s="138"/>
      <c r="I16" s="138"/>
      <c r="J16" s="138"/>
      <c r="K16" s="743"/>
      <c r="L16" s="737" t="s">
        <v>543</v>
      </c>
      <c r="M16" s="737">
        <v>1.9232616025000002</v>
      </c>
      <c r="N16" s="737"/>
    </row>
    <row r="17" spans="1:14" ht="9.6" customHeight="1">
      <c r="A17" s="599" t="s">
        <v>91</v>
      </c>
      <c r="B17" s="764">
        <v>72.3474614</v>
      </c>
      <c r="C17" s="764">
        <v>71.857315112500004</v>
      </c>
      <c r="D17" s="600">
        <f t="shared" si="0"/>
        <v>6.8211049457194139E-3</v>
      </c>
      <c r="E17" s="138"/>
      <c r="F17" s="138"/>
      <c r="G17" s="138"/>
      <c r="H17" s="138"/>
      <c r="I17" s="138"/>
      <c r="J17" s="138"/>
      <c r="K17" s="744"/>
      <c r="L17" s="737" t="s">
        <v>112</v>
      </c>
      <c r="M17" s="737">
        <v>1.9864998225000001</v>
      </c>
      <c r="N17" s="737">
        <v>2.0953566124999998</v>
      </c>
    </row>
    <row r="18" spans="1:14" ht="9.6" customHeight="1">
      <c r="A18" s="601" t="s">
        <v>423</v>
      </c>
      <c r="B18" s="765">
        <v>65.70272180500001</v>
      </c>
      <c r="C18" s="765">
        <v>65.629858952500001</v>
      </c>
      <c r="D18" s="602">
        <f t="shared" si="0"/>
        <v>1.1102088845376112E-3</v>
      </c>
      <c r="E18" s="138"/>
      <c r="F18" s="138"/>
      <c r="G18" s="138"/>
      <c r="H18" s="138"/>
      <c r="I18" s="138"/>
      <c r="J18" s="138"/>
      <c r="K18" s="743"/>
      <c r="L18" s="736" t="s">
        <v>114</v>
      </c>
      <c r="M18" s="737">
        <v>2.3294999999999999</v>
      </c>
      <c r="N18" s="737">
        <v>1.8019000000000001</v>
      </c>
    </row>
    <row r="19" spans="1:14" ht="9.6" customHeight="1">
      <c r="A19" s="599" t="s">
        <v>96</v>
      </c>
      <c r="B19" s="764">
        <v>62.75949</v>
      </c>
      <c r="C19" s="764">
        <v>67.452271127499998</v>
      </c>
      <c r="D19" s="600">
        <f t="shared" si="0"/>
        <v>-6.9571877255690695E-2</v>
      </c>
      <c r="E19" s="138"/>
      <c r="F19" s="138"/>
      <c r="G19" s="138"/>
      <c r="H19" s="138"/>
      <c r="I19" s="138"/>
      <c r="J19" s="138"/>
      <c r="K19" s="743"/>
      <c r="L19" s="737" t="s">
        <v>113</v>
      </c>
      <c r="M19" s="737">
        <v>2.6795507250000004</v>
      </c>
      <c r="N19" s="737">
        <v>2.7406058400000002</v>
      </c>
    </row>
    <row r="20" spans="1:14" ht="9.6" customHeight="1">
      <c r="A20" s="601" t="s">
        <v>95</v>
      </c>
      <c r="B20" s="765">
        <v>61.9998369475</v>
      </c>
      <c r="C20" s="765">
        <v>69.687704707499989</v>
      </c>
      <c r="D20" s="602">
        <f t="shared" si="0"/>
        <v>-0.11031885455645662</v>
      </c>
      <c r="E20" s="138"/>
      <c r="F20" s="138"/>
      <c r="G20" s="138"/>
      <c r="H20" s="138"/>
      <c r="I20" s="138"/>
      <c r="J20" s="138"/>
      <c r="K20" s="743"/>
      <c r="L20" s="736" t="s">
        <v>455</v>
      </c>
      <c r="M20" s="737">
        <v>3.0608849125000002</v>
      </c>
      <c r="N20" s="737">
        <v>13.709198929999999</v>
      </c>
    </row>
    <row r="21" spans="1:14" ht="9.6" customHeight="1">
      <c r="A21" s="599" t="s">
        <v>97</v>
      </c>
      <c r="B21" s="764">
        <v>52.720985349999999</v>
      </c>
      <c r="C21" s="764">
        <v>35.751496702499999</v>
      </c>
      <c r="D21" s="600">
        <f t="shared" si="0"/>
        <v>0.47465113946721482</v>
      </c>
      <c r="E21" s="138"/>
      <c r="F21" s="138"/>
      <c r="G21" s="138"/>
      <c r="H21" s="138"/>
      <c r="I21" s="138"/>
      <c r="J21" s="138"/>
      <c r="K21" s="744"/>
      <c r="L21" s="737" t="s">
        <v>110</v>
      </c>
      <c r="M21" s="737">
        <v>3.6861812500000002</v>
      </c>
      <c r="N21" s="737">
        <v>3.4601413525</v>
      </c>
    </row>
    <row r="22" spans="1:14" ht="9.6" customHeight="1">
      <c r="A22" s="601" t="s">
        <v>99</v>
      </c>
      <c r="B22" s="765">
        <v>40.466045890000004</v>
      </c>
      <c r="C22" s="765">
        <v>44.686287324999995</v>
      </c>
      <c r="D22" s="602">
        <f t="shared" si="0"/>
        <v>-9.4441532014205909E-2</v>
      </c>
      <c r="E22" s="138"/>
      <c r="F22" s="138"/>
      <c r="G22" s="138"/>
      <c r="H22" s="138"/>
      <c r="I22" s="138"/>
      <c r="J22" s="138"/>
      <c r="K22" s="743"/>
      <c r="L22" s="736" t="s">
        <v>463</v>
      </c>
      <c r="M22" s="737">
        <v>3.6931134025000003</v>
      </c>
      <c r="N22" s="737">
        <v>3.4572158975000002</v>
      </c>
    </row>
    <row r="23" spans="1:14" ht="9.6" customHeight="1">
      <c r="A23" s="599" t="s">
        <v>475</v>
      </c>
      <c r="B23" s="764">
        <v>38.949332497500002</v>
      </c>
      <c r="C23" s="764">
        <v>27.53754378</v>
      </c>
      <c r="D23" s="600">
        <f t="shared" si="0"/>
        <v>0.41440837311671097</v>
      </c>
      <c r="E23" s="138"/>
      <c r="F23" s="138"/>
      <c r="G23" s="138"/>
      <c r="H23" s="138"/>
      <c r="I23" s="138"/>
      <c r="J23" s="138"/>
      <c r="K23" s="743"/>
      <c r="L23" s="736" t="s">
        <v>462</v>
      </c>
      <c r="M23" s="737">
        <v>3.8187446</v>
      </c>
      <c r="N23" s="737">
        <v>3.4916725</v>
      </c>
    </row>
    <row r="24" spans="1:14" ht="9.6" customHeight="1">
      <c r="A24" s="601" t="s">
        <v>100</v>
      </c>
      <c r="B24" s="765">
        <v>31.047562005</v>
      </c>
      <c r="C24" s="765">
        <v>0</v>
      </c>
      <c r="D24" s="602" t="str">
        <f t="shared" si="0"/>
        <v/>
      </c>
      <c r="E24" s="138"/>
      <c r="F24" s="138"/>
      <c r="G24" s="138"/>
      <c r="H24" s="138"/>
      <c r="I24" s="138"/>
      <c r="J24" s="138"/>
      <c r="K24" s="743"/>
      <c r="L24" s="736" t="s">
        <v>109</v>
      </c>
      <c r="M24" s="737">
        <v>3.8505087499999999</v>
      </c>
      <c r="N24" s="737">
        <v>3.6118440125000002</v>
      </c>
    </row>
    <row r="25" spans="1:14" ht="9.6" customHeight="1">
      <c r="A25" s="599" t="s">
        <v>467</v>
      </c>
      <c r="B25" s="764">
        <v>27.255888474999999</v>
      </c>
      <c r="C25" s="764">
        <v>28.16706224</v>
      </c>
      <c r="D25" s="600">
        <f t="shared" si="0"/>
        <v>-3.2348910129010311E-2</v>
      </c>
      <c r="E25" s="138"/>
      <c r="F25" s="138"/>
      <c r="G25" s="138"/>
      <c r="H25" s="138"/>
      <c r="I25" s="138"/>
      <c r="J25" s="138"/>
      <c r="K25" s="743"/>
      <c r="L25" s="737" t="s">
        <v>107</v>
      </c>
      <c r="M25" s="737">
        <v>4.3961172500000005</v>
      </c>
      <c r="N25" s="737">
        <v>4.1329311324999995</v>
      </c>
    </row>
    <row r="26" spans="1:14" ht="9.6" customHeight="1">
      <c r="A26" s="601" t="s">
        <v>236</v>
      </c>
      <c r="B26" s="765">
        <v>24.059927612500001</v>
      </c>
      <c r="C26" s="765">
        <v>26.237275390000001</v>
      </c>
      <c r="D26" s="602">
        <f t="shared" si="0"/>
        <v>-8.2986809610950174E-2</v>
      </c>
      <c r="E26" s="138"/>
      <c r="F26" s="138"/>
      <c r="G26" s="138"/>
      <c r="H26" s="138"/>
      <c r="I26" s="138"/>
      <c r="J26" s="138"/>
      <c r="K26" s="743"/>
      <c r="L26" s="736" t="s">
        <v>424</v>
      </c>
      <c r="M26" s="737">
        <v>4.7678055800000001</v>
      </c>
      <c r="N26" s="737">
        <v>0.8851945</v>
      </c>
    </row>
    <row r="27" spans="1:14" ht="9.6" customHeight="1">
      <c r="A27" s="604" t="s">
        <v>108</v>
      </c>
      <c r="B27" s="764">
        <v>23.9135478275</v>
      </c>
      <c r="C27" s="764">
        <v>33.579966734999999</v>
      </c>
      <c r="D27" s="600">
        <f t="shared" si="0"/>
        <v>-0.28786267073411975</v>
      </c>
      <c r="E27" s="138"/>
      <c r="F27" s="138"/>
      <c r="G27" s="138"/>
      <c r="H27" s="138"/>
      <c r="I27" s="138"/>
      <c r="J27" s="138"/>
      <c r="K27" s="743"/>
      <c r="L27" s="736" t="s">
        <v>464</v>
      </c>
      <c r="M27" s="737">
        <v>4.8271659575000001</v>
      </c>
      <c r="N27" s="737">
        <v>4.1338114099999999</v>
      </c>
    </row>
    <row r="28" spans="1:14" ht="9.6" customHeight="1">
      <c r="A28" s="605" t="s">
        <v>111</v>
      </c>
      <c r="B28" s="765">
        <v>20.219000432500003</v>
      </c>
      <c r="C28" s="765">
        <v>20.20575358</v>
      </c>
      <c r="D28" s="602">
        <f t="shared" si="0"/>
        <v>6.5559804278292333E-4</v>
      </c>
      <c r="E28" s="138"/>
      <c r="F28" s="138"/>
      <c r="G28" s="138"/>
      <c r="H28" s="138"/>
      <c r="I28" s="138"/>
      <c r="J28" s="138"/>
      <c r="K28" s="743"/>
      <c r="L28" s="736" t="s">
        <v>407</v>
      </c>
      <c r="M28" s="737">
        <v>4.9106999500000006</v>
      </c>
      <c r="N28" s="737">
        <v>6.346243125</v>
      </c>
    </row>
    <row r="29" spans="1:14" ht="9.6" customHeight="1">
      <c r="A29" s="606" t="s">
        <v>101</v>
      </c>
      <c r="B29" s="764">
        <v>18.561354492500001</v>
      </c>
      <c r="C29" s="764">
        <v>14.199676887500001</v>
      </c>
      <c r="D29" s="600">
        <f t="shared" si="0"/>
        <v>0.30716738412826783</v>
      </c>
      <c r="E29" s="138"/>
      <c r="F29" s="138"/>
      <c r="G29" s="138"/>
      <c r="H29" s="138"/>
      <c r="I29" s="138"/>
      <c r="J29" s="138"/>
      <c r="K29" s="743"/>
      <c r="L29" s="737" t="s">
        <v>414</v>
      </c>
      <c r="M29" s="737">
        <v>6.3175623700000001</v>
      </c>
      <c r="N29" s="737">
        <v>7.4442561574999999</v>
      </c>
    </row>
    <row r="30" spans="1:14" ht="9.6" customHeight="1">
      <c r="A30" s="605" t="s">
        <v>446</v>
      </c>
      <c r="B30" s="765">
        <v>16.777196455000002</v>
      </c>
      <c r="C30" s="765">
        <v>9.1367877750000002</v>
      </c>
      <c r="D30" s="602">
        <f t="shared" si="0"/>
        <v>0.83622481643993329</v>
      </c>
      <c r="E30" s="138"/>
      <c r="F30" s="138"/>
      <c r="G30" s="138"/>
      <c r="H30" s="138"/>
      <c r="I30" s="138"/>
      <c r="J30" s="138"/>
      <c r="K30" s="743"/>
      <c r="L30" s="737" t="s">
        <v>445</v>
      </c>
      <c r="M30" s="737">
        <v>6.396884375</v>
      </c>
      <c r="N30" s="737">
        <v>7.3781249999999998</v>
      </c>
    </row>
    <row r="31" spans="1:14" ht="9.6" customHeight="1">
      <c r="A31" s="606" t="s">
        <v>240</v>
      </c>
      <c r="B31" s="764">
        <v>14.89197506</v>
      </c>
      <c r="C31" s="764">
        <v>15.2816859275</v>
      </c>
      <c r="D31" s="600">
        <f t="shared" si="0"/>
        <v>-2.5501824167103115E-2</v>
      </c>
      <c r="E31" s="138"/>
      <c r="F31" s="138"/>
      <c r="G31" s="138"/>
      <c r="H31" s="138"/>
      <c r="I31" s="138"/>
      <c r="J31" s="138"/>
      <c r="K31" s="743"/>
      <c r="L31" s="737" t="s">
        <v>465</v>
      </c>
      <c r="M31" s="737">
        <v>7.3036391325000007</v>
      </c>
      <c r="N31" s="737">
        <v>6.7830739400000004</v>
      </c>
    </row>
    <row r="32" spans="1:14" ht="9.6" customHeight="1">
      <c r="A32" s="607" t="s">
        <v>468</v>
      </c>
      <c r="B32" s="765">
        <v>14.768044275000001</v>
      </c>
      <c r="C32" s="765">
        <v>13.310267475</v>
      </c>
      <c r="D32" s="602">
        <f t="shared" si="0"/>
        <v>0.10952272767906956</v>
      </c>
      <c r="E32" s="138"/>
      <c r="F32" s="138"/>
      <c r="G32" s="138"/>
      <c r="H32" s="138"/>
      <c r="I32" s="138"/>
      <c r="J32" s="138"/>
      <c r="K32" s="743"/>
      <c r="L32" s="736" t="s">
        <v>119</v>
      </c>
      <c r="M32" s="737">
        <v>8.4372436875000005</v>
      </c>
      <c r="N32" s="737">
        <v>4.5157855775</v>
      </c>
    </row>
    <row r="33" spans="1:14" ht="9.6" customHeight="1">
      <c r="A33" s="608" t="s">
        <v>398</v>
      </c>
      <c r="B33" s="764">
        <v>14.6079875</v>
      </c>
      <c r="C33" s="764">
        <v>14.8954067325</v>
      </c>
      <c r="D33" s="600">
        <f t="shared" si="0"/>
        <v>-1.9295829758907201E-2</v>
      </c>
      <c r="E33" s="138"/>
      <c r="F33" s="138"/>
      <c r="G33" s="138"/>
      <c r="H33" s="138"/>
      <c r="I33" s="138"/>
      <c r="J33" s="138"/>
      <c r="K33" s="745"/>
      <c r="L33" s="736" t="s">
        <v>105</v>
      </c>
      <c r="M33" s="737">
        <v>9.7057670099999989</v>
      </c>
      <c r="N33" s="737">
        <v>17.322918357500001</v>
      </c>
    </row>
    <row r="34" spans="1:14" ht="9.6" customHeight="1">
      <c r="A34" s="607" t="s">
        <v>103</v>
      </c>
      <c r="B34" s="765">
        <v>13.888063915</v>
      </c>
      <c r="C34" s="765">
        <v>10.6356215125</v>
      </c>
      <c r="D34" s="602">
        <f t="shared" si="0"/>
        <v>0.30580651997416597</v>
      </c>
      <c r="E34" s="138"/>
      <c r="F34" s="138"/>
      <c r="G34" s="138"/>
      <c r="H34" s="138"/>
      <c r="I34" s="138"/>
      <c r="J34" s="138"/>
      <c r="K34" s="745"/>
      <c r="L34" s="736" t="s">
        <v>104</v>
      </c>
      <c r="M34" s="737">
        <v>11.585898784999998</v>
      </c>
      <c r="N34" s="737">
        <v>13.17661249</v>
      </c>
    </row>
    <row r="35" spans="1:14" ht="9.6" customHeight="1">
      <c r="A35" s="608" t="s">
        <v>238</v>
      </c>
      <c r="B35" s="764">
        <v>13.584064712500002</v>
      </c>
      <c r="C35" s="764">
        <v>13.6813272875</v>
      </c>
      <c r="D35" s="600">
        <f t="shared" si="0"/>
        <v>-7.1091475962907769E-3</v>
      </c>
      <c r="E35" s="138"/>
      <c r="F35" s="138"/>
      <c r="G35" s="138"/>
      <c r="H35" s="138"/>
      <c r="I35" s="138"/>
      <c r="J35" s="138"/>
      <c r="K35" s="744"/>
      <c r="L35" s="736" t="s">
        <v>118</v>
      </c>
      <c r="M35" s="737">
        <v>12.083802577499998</v>
      </c>
      <c r="N35" s="737">
        <v>13.426649415</v>
      </c>
    </row>
    <row r="36" spans="1:14" ht="9.6" customHeight="1">
      <c r="A36" s="607" t="s">
        <v>437</v>
      </c>
      <c r="B36" s="765">
        <v>13.080604107500001</v>
      </c>
      <c r="C36" s="765">
        <v>13.484160844999998</v>
      </c>
      <c r="D36" s="602">
        <f t="shared" si="0"/>
        <v>-2.9928205554566545E-2</v>
      </c>
      <c r="E36" s="138"/>
      <c r="F36" s="138"/>
      <c r="G36" s="138"/>
      <c r="H36" s="138"/>
      <c r="I36" s="138"/>
      <c r="J36" s="138"/>
      <c r="K36" s="744"/>
      <c r="L36" s="737" t="s">
        <v>437</v>
      </c>
      <c r="M36" s="737">
        <v>13.080604107500001</v>
      </c>
      <c r="N36" s="737">
        <v>13.484160844999998</v>
      </c>
    </row>
    <row r="37" spans="1:14" ht="9.6" customHeight="1">
      <c r="A37" s="608" t="s">
        <v>118</v>
      </c>
      <c r="B37" s="764">
        <v>12.083802577499998</v>
      </c>
      <c r="C37" s="764">
        <v>13.426649415</v>
      </c>
      <c r="D37" s="600">
        <f t="shared" si="0"/>
        <v>-0.10001354738582791</v>
      </c>
      <c r="E37" s="138"/>
      <c r="F37" s="138"/>
      <c r="G37" s="138"/>
      <c r="H37" s="138"/>
      <c r="I37" s="138"/>
      <c r="J37" s="138"/>
      <c r="K37" s="744"/>
      <c r="L37" s="736" t="s">
        <v>238</v>
      </c>
      <c r="M37" s="737">
        <v>13.584064712500002</v>
      </c>
      <c r="N37" s="737">
        <v>13.6813272875</v>
      </c>
    </row>
    <row r="38" spans="1:14" ht="9.6" customHeight="1">
      <c r="A38" s="607" t="s">
        <v>104</v>
      </c>
      <c r="B38" s="765">
        <v>11.585898784999998</v>
      </c>
      <c r="C38" s="765">
        <v>13.17661249</v>
      </c>
      <c r="D38" s="602">
        <f t="shared" si="0"/>
        <v>-0.12072250786818139</v>
      </c>
      <c r="E38" s="138"/>
      <c r="F38" s="138"/>
      <c r="G38" s="138"/>
      <c r="H38" s="138"/>
      <c r="I38" s="138"/>
      <c r="J38" s="138"/>
      <c r="K38" s="745"/>
      <c r="L38" s="737" t="s">
        <v>103</v>
      </c>
      <c r="M38" s="737">
        <v>13.888063915</v>
      </c>
      <c r="N38" s="737">
        <v>10.6356215125</v>
      </c>
    </row>
    <row r="39" spans="1:14" ht="9.6" customHeight="1">
      <c r="A39" s="608" t="s">
        <v>105</v>
      </c>
      <c r="B39" s="764">
        <v>9.7057670099999989</v>
      </c>
      <c r="C39" s="764">
        <v>17.322918357500001</v>
      </c>
      <c r="D39" s="600">
        <f t="shared" si="0"/>
        <v>-0.43971524833759534</v>
      </c>
      <c r="E39" s="138"/>
      <c r="F39" s="138"/>
      <c r="G39" s="138"/>
      <c r="H39" s="138"/>
      <c r="I39" s="138"/>
      <c r="J39" s="138"/>
      <c r="K39" s="745"/>
      <c r="L39" s="736" t="s">
        <v>398</v>
      </c>
      <c r="M39" s="737">
        <v>14.6079875</v>
      </c>
      <c r="N39" s="737">
        <v>14.8954067325</v>
      </c>
    </row>
    <row r="40" spans="1:14" ht="9.6" customHeight="1">
      <c r="A40" s="605" t="s">
        <v>119</v>
      </c>
      <c r="B40" s="765">
        <v>8.4372436875000005</v>
      </c>
      <c r="C40" s="765">
        <v>4.5157855775</v>
      </c>
      <c r="D40" s="602">
        <f t="shared" si="0"/>
        <v>0.86838890879557051</v>
      </c>
      <c r="E40" s="138"/>
      <c r="F40" s="138"/>
      <c r="G40" s="138"/>
      <c r="H40" s="138"/>
      <c r="I40" s="138"/>
      <c r="J40" s="138"/>
      <c r="K40" s="745"/>
      <c r="L40" s="737" t="s">
        <v>468</v>
      </c>
      <c r="M40" s="737">
        <v>14.768044275000001</v>
      </c>
      <c r="N40" s="737">
        <v>13.310267475</v>
      </c>
    </row>
    <row r="41" spans="1:14" ht="9.6" customHeight="1">
      <c r="A41" s="606" t="s">
        <v>465</v>
      </c>
      <c r="B41" s="764">
        <v>7.3036391325000007</v>
      </c>
      <c r="C41" s="764">
        <v>6.7830739400000004</v>
      </c>
      <c r="D41" s="600">
        <f t="shared" si="0"/>
        <v>7.6744732123618986E-2</v>
      </c>
      <c r="E41" s="138"/>
      <c r="F41" s="138"/>
      <c r="G41" s="138"/>
      <c r="H41" s="138"/>
      <c r="I41" s="138"/>
      <c r="J41" s="138"/>
      <c r="L41" s="736" t="s">
        <v>240</v>
      </c>
      <c r="M41" s="737">
        <v>14.89197506</v>
      </c>
      <c r="N41" s="737">
        <v>15.2816859275</v>
      </c>
    </row>
    <row r="42" spans="1:14" ht="9.6" customHeight="1">
      <c r="A42" s="605" t="s">
        <v>445</v>
      </c>
      <c r="B42" s="765">
        <v>6.396884375</v>
      </c>
      <c r="C42" s="765">
        <v>7.3781249999999998</v>
      </c>
      <c r="D42" s="602">
        <f t="shared" si="0"/>
        <v>-0.132993223210504</v>
      </c>
      <c r="E42" s="138"/>
      <c r="F42" s="138"/>
      <c r="G42" s="138"/>
      <c r="H42" s="138"/>
      <c r="I42" s="138"/>
      <c r="J42" s="138"/>
      <c r="L42" s="736" t="s">
        <v>446</v>
      </c>
      <c r="M42" s="737">
        <v>16.777196455000002</v>
      </c>
      <c r="N42" s="737">
        <v>9.1367877750000002</v>
      </c>
    </row>
    <row r="43" spans="1:14" ht="9.6" customHeight="1">
      <c r="A43" s="606" t="s">
        <v>414</v>
      </c>
      <c r="B43" s="764">
        <v>6.3175623700000001</v>
      </c>
      <c r="C43" s="764">
        <v>7.4442561574999999</v>
      </c>
      <c r="D43" s="600">
        <f t="shared" si="0"/>
        <v>-0.1513507546841828</v>
      </c>
      <c r="E43" s="138"/>
      <c r="F43" s="138"/>
      <c r="G43" s="138"/>
      <c r="H43" s="138"/>
      <c r="I43" s="138"/>
      <c r="J43" s="138"/>
      <c r="L43" s="738" t="s">
        <v>101</v>
      </c>
      <c r="M43" s="737">
        <v>18.561354492500001</v>
      </c>
      <c r="N43" s="737">
        <v>14.199676887500001</v>
      </c>
    </row>
    <row r="44" spans="1:14" ht="9.6" customHeight="1">
      <c r="A44" s="605" t="s">
        <v>407</v>
      </c>
      <c r="B44" s="765">
        <v>4.9106999500000006</v>
      </c>
      <c r="C44" s="765">
        <v>6.346243125</v>
      </c>
      <c r="D44" s="602">
        <f t="shared" si="0"/>
        <v>-0.22620362105966429</v>
      </c>
      <c r="E44" s="138"/>
      <c r="F44" s="138"/>
      <c r="G44" s="138"/>
      <c r="H44" s="138"/>
      <c r="I44" s="138"/>
      <c r="J44" s="138"/>
      <c r="L44" s="736" t="s">
        <v>111</v>
      </c>
      <c r="M44" s="737">
        <v>20.219000432500003</v>
      </c>
      <c r="N44" s="737">
        <v>20.20575358</v>
      </c>
    </row>
    <row r="45" spans="1:14" ht="9.6" customHeight="1">
      <c r="A45" s="606" t="s">
        <v>464</v>
      </c>
      <c r="B45" s="764">
        <v>4.8271659575000001</v>
      </c>
      <c r="C45" s="764">
        <v>4.1338114099999999</v>
      </c>
      <c r="D45" s="600">
        <f t="shared" si="0"/>
        <v>0.16772766793925897</v>
      </c>
      <c r="E45" s="138"/>
      <c r="F45" s="138"/>
      <c r="G45" s="138"/>
      <c r="H45" s="138"/>
      <c r="I45" s="138"/>
      <c r="J45" s="138"/>
      <c r="L45" s="736" t="s">
        <v>108</v>
      </c>
      <c r="M45" s="737">
        <v>23.9135478275</v>
      </c>
      <c r="N45" s="737">
        <v>33.579966734999999</v>
      </c>
    </row>
    <row r="46" spans="1:14" ht="9.6" customHeight="1">
      <c r="A46" s="605" t="s">
        <v>424</v>
      </c>
      <c r="B46" s="765">
        <v>4.7678055800000001</v>
      </c>
      <c r="C46" s="765">
        <v>0.8851945</v>
      </c>
      <c r="D46" s="602">
        <f t="shared" si="0"/>
        <v>4.3861671982824113</v>
      </c>
      <c r="E46" s="138"/>
      <c r="F46" s="138"/>
      <c r="G46" s="138"/>
      <c r="H46" s="138"/>
      <c r="I46" s="138"/>
      <c r="J46" s="138"/>
      <c r="L46" s="736" t="s">
        <v>236</v>
      </c>
      <c r="M46" s="737">
        <v>24.059927612500001</v>
      </c>
      <c r="N46" s="737">
        <v>26.237275390000001</v>
      </c>
    </row>
    <row r="47" spans="1:14" ht="9.6" customHeight="1">
      <c r="A47" s="608" t="s">
        <v>107</v>
      </c>
      <c r="B47" s="764">
        <v>4.3961172500000005</v>
      </c>
      <c r="C47" s="764">
        <v>4.1329311324999995</v>
      </c>
      <c r="D47" s="600">
        <f t="shared" si="0"/>
        <v>6.3680257198188706E-2</v>
      </c>
      <c r="E47" s="138"/>
      <c r="F47" s="138"/>
      <c r="G47" s="138"/>
      <c r="H47" s="138"/>
      <c r="I47" s="138"/>
      <c r="J47" s="138"/>
      <c r="L47" s="737" t="s">
        <v>467</v>
      </c>
      <c r="M47" s="737">
        <v>27.255888474999999</v>
      </c>
      <c r="N47" s="737">
        <v>28.16706224</v>
      </c>
    </row>
    <row r="48" spans="1:14" ht="9.6" customHeight="1">
      <c r="A48" s="605" t="s">
        <v>109</v>
      </c>
      <c r="B48" s="765">
        <v>3.8505087499999999</v>
      </c>
      <c r="C48" s="765">
        <v>3.6118440125000002</v>
      </c>
      <c r="D48" s="602">
        <f t="shared" si="0"/>
        <v>6.6078362375014077E-2</v>
      </c>
      <c r="E48" s="138"/>
      <c r="F48" s="138"/>
      <c r="G48" s="138"/>
      <c r="H48" s="138"/>
      <c r="I48" s="138"/>
      <c r="J48" s="138"/>
      <c r="L48" s="739" t="s">
        <v>100</v>
      </c>
      <c r="M48" s="737">
        <v>31.047562005</v>
      </c>
      <c r="N48" s="737">
        <v>0</v>
      </c>
    </row>
    <row r="49" spans="1:14" ht="9.6" customHeight="1">
      <c r="A49" s="606" t="s">
        <v>462</v>
      </c>
      <c r="B49" s="764">
        <v>3.8187446</v>
      </c>
      <c r="C49" s="764">
        <v>3.4916725</v>
      </c>
      <c r="D49" s="600">
        <f t="shared" si="0"/>
        <v>9.367204398465212E-2</v>
      </c>
      <c r="E49" s="138"/>
      <c r="F49" s="138"/>
      <c r="G49" s="138"/>
      <c r="H49" s="138"/>
      <c r="I49" s="138"/>
      <c r="J49" s="138"/>
      <c r="L49" s="736" t="s">
        <v>475</v>
      </c>
      <c r="M49" s="737">
        <v>38.949332497500002</v>
      </c>
      <c r="N49" s="737">
        <v>27.53754378</v>
      </c>
    </row>
    <row r="50" spans="1:14" ht="9.6" customHeight="1">
      <c r="A50" s="607" t="s">
        <v>463</v>
      </c>
      <c r="B50" s="765">
        <v>3.6931134025000003</v>
      </c>
      <c r="C50" s="765">
        <v>3.4572158975000002</v>
      </c>
      <c r="D50" s="602">
        <f t="shared" si="0"/>
        <v>6.8233373903719308E-2</v>
      </c>
      <c r="E50" s="138"/>
      <c r="F50" s="138"/>
      <c r="G50" s="138"/>
      <c r="H50" s="138"/>
      <c r="I50" s="138"/>
      <c r="J50" s="138"/>
      <c r="L50" s="736" t="s">
        <v>99</v>
      </c>
      <c r="M50" s="737">
        <v>40.466045890000004</v>
      </c>
      <c r="N50" s="737">
        <v>44.686287324999995</v>
      </c>
    </row>
    <row r="51" spans="1:14" ht="9.6" customHeight="1">
      <c r="A51" s="606" t="s">
        <v>110</v>
      </c>
      <c r="B51" s="764">
        <v>3.6861812500000002</v>
      </c>
      <c r="C51" s="764">
        <v>3.4601413525</v>
      </c>
      <c r="D51" s="600">
        <f t="shared" si="0"/>
        <v>6.5326781328364891E-2</v>
      </c>
      <c r="E51" s="138"/>
      <c r="F51" s="138"/>
      <c r="G51" s="138"/>
      <c r="H51" s="138"/>
      <c r="I51" s="138"/>
      <c r="J51" s="138"/>
      <c r="L51" s="736" t="s">
        <v>97</v>
      </c>
      <c r="M51" s="737">
        <v>52.720985349999999</v>
      </c>
      <c r="N51" s="737">
        <v>35.751496702499999</v>
      </c>
    </row>
    <row r="52" spans="1:14" ht="9.6" customHeight="1">
      <c r="A52" s="605" t="s">
        <v>455</v>
      </c>
      <c r="B52" s="765">
        <v>3.0608849125000002</v>
      </c>
      <c r="C52" s="765">
        <v>13.709198929999999</v>
      </c>
      <c r="D52" s="602">
        <f t="shared" si="0"/>
        <v>-0.77672766088455902</v>
      </c>
      <c r="E52" s="138"/>
      <c r="F52" s="138"/>
      <c r="G52" s="138"/>
      <c r="H52" s="138"/>
      <c r="I52" s="138"/>
      <c r="J52" s="138"/>
      <c r="L52" s="736" t="s">
        <v>95</v>
      </c>
      <c r="M52" s="737">
        <v>61.9998369475</v>
      </c>
      <c r="N52" s="737">
        <v>69.687704707499989</v>
      </c>
    </row>
    <row r="53" spans="1:14" ht="9.6" customHeight="1">
      <c r="A53" s="606" t="s">
        <v>113</v>
      </c>
      <c r="B53" s="764">
        <v>2.6795507250000004</v>
      </c>
      <c r="C53" s="764">
        <v>2.7406058400000002</v>
      </c>
      <c r="D53" s="600">
        <f t="shared" si="0"/>
        <v>-2.2277962817155772E-2</v>
      </c>
      <c r="E53" s="138"/>
      <c r="F53" s="138"/>
      <c r="G53" s="138"/>
      <c r="H53" s="138"/>
      <c r="I53" s="138"/>
      <c r="J53" s="138"/>
      <c r="L53" s="736" t="s">
        <v>96</v>
      </c>
      <c r="M53" s="737">
        <v>62.75949</v>
      </c>
      <c r="N53" s="737">
        <v>67.452271127499998</v>
      </c>
    </row>
    <row r="54" spans="1:14" ht="9.6" customHeight="1">
      <c r="A54" s="605" t="s">
        <v>114</v>
      </c>
      <c r="B54" s="765">
        <v>2.3294999999999999</v>
      </c>
      <c r="C54" s="765">
        <v>1.8019000000000001</v>
      </c>
      <c r="D54" s="602">
        <f t="shared" si="0"/>
        <v>0.29280204228869522</v>
      </c>
      <c r="E54" s="138"/>
      <c r="F54" s="138"/>
      <c r="G54" s="138"/>
      <c r="H54" s="138"/>
      <c r="I54" s="138"/>
      <c r="J54" s="138"/>
      <c r="L54" s="736" t="s">
        <v>423</v>
      </c>
      <c r="M54" s="737">
        <v>65.70272180500001</v>
      </c>
      <c r="N54" s="737">
        <v>65.629858952500001</v>
      </c>
    </row>
    <row r="55" spans="1:14" ht="9.6" customHeight="1">
      <c r="A55" s="608" t="s">
        <v>112</v>
      </c>
      <c r="B55" s="764">
        <v>1.9864998225000001</v>
      </c>
      <c r="C55" s="764">
        <v>2.0953566124999998</v>
      </c>
      <c r="D55" s="600">
        <f t="shared" si="0"/>
        <v>-5.1951438409388984E-2</v>
      </c>
      <c r="E55" s="138"/>
      <c r="F55" s="138"/>
      <c r="G55" s="138"/>
      <c r="H55" s="138"/>
      <c r="I55" s="138"/>
      <c r="J55" s="138"/>
      <c r="L55" s="737" t="s">
        <v>91</v>
      </c>
      <c r="M55" s="737">
        <v>72.3474614</v>
      </c>
      <c r="N55" s="737">
        <v>71.857315112500004</v>
      </c>
    </row>
    <row r="56" spans="1:14" ht="9.6" customHeight="1">
      <c r="A56" s="605" t="s">
        <v>543</v>
      </c>
      <c r="B56" s="765">
        <v>1.9232616025000002</v>
      </c>
      <c r="C56" s="765"/>
      <c r="D56" s="602" t="str">
        <f t="shared" si="0"/>
        <v/>
      </c>
      <c r="E56" s="138"/>
      <c r="F56" s="138"/>
      <c r="G56" s="138"/>
      <c r="H56" s="138"/>
      <c r="I56" s="138"/>
      <c r="J56" s="138"/>
      <c r="L56" s="736" t="s">
        <v>98</v>
      </c>
      <c r="M56" s="737">
        <v>85.550378749999993</v>
      </c>
      <c r="N56" s="737">
        <v>84.004271630000005</v>
      </c>
    </row>
    <row r="57" spans="1:14" ht="9.6" customHeight="1">
      <c r="A57" s="606" t="s">
        <v>117</v>
      </c>
      <c r="B57" s="764">
        <v>0.93733993999999998</v>
      </c>
      <c r="C57" s="764">
        <v>1.7214742324999999</v>
      </c>
      <c r="D57" s="600">
        <f t="shared" si="0"/>
        <v>-0.45550161466038674</v>
      </c>
      <c r="E57" s="138"/>
      <c r="F57" s="138"/>
      <c r="G57" s="138"/>
      <c r="H57" s="138"/>
      <c r="I57" s="138"/>
      <c r="J57" s="138"/>
      <c r="L57" s="736" t="s">
        <v>94</v>
      </c>
      <c r="M57" s="737">
        <v>96.643174674999997</v>
      </c>
      <c r="N57" s="737">
        <v>102.69447055250001</v>
      </c>
    </row>
    <row r="58" spans="1:14" ht="9.6" customHeight="1">
      <c r="A58" s="605" t="s">
        <v>115</v>
      </c>
      <c r="B58" s="765">
        <v>0.88898949999999999</v>
      </c>
      <c r="C58" s="765">
        <v>1.7517523274999998</v>
      </c>
      <c r="D58" s="602">
        <f t="shared" si="0"/>
        <v>-0.49251416079537069</v>
      </c>
      <c r="E58" s="138"/>
      <c r="F58" s="138"/>
      <c r="G58" s="138"/>
      <c r="H58" s="138"/>
      <c r="I58" s="138"/>
      <c r="J58" s="138"/>
      <c r="L58" s="737" t="s">
        <v>93</v>
      </c>
      <c r="M58" s="737">
        <v>98.50874675</v>
      </c>
      <c r="N58" s="737">
        <v>94.361349082499999</v>
      </c>
    </row>
    <row r="59" spans="1:14" ht="9.6" customHeight="1">
      <c r="A59" s="606" t="s">
        <v>544</v>
      </c>
      <c r="B59" s="766">
        <v>0.25438965749999998</v>
      </c>
      <c r="C59" s="766"/>
      <c r="D59" s="609" t="str">
        <f t="shared" si="0"/>
        <v/>
      </c>
      <c r="E59" s="138"/>
      <c r="F59" s="138"/>
      <c r="G59" s="138"/>
      <c r="H59" s="138"/>
      <c r="I59" s="138"/>
      <c r="J59" s="138"/>
      <c r="L59" s="736" t="s">
        <v>92</v>
      </c>
      <c r="M59" s="737">
        <v>119.12282750000001</v>
      </c>
      <c r="N59" s="737">
        <v>120.18486397000001</v>
      </c>
    </row>
    <row r="60" spans="1:14" ht="9.6" customHeight="1">
      <c r="A60" s="610" t="s">
        <v>408</v>
      </c>
      <c r="B60" s="765">
        <v>0.19607749999999999</v>
      </c>
      <c r="C60" s="765">
        <v>2.3376999999999998E-2</v>
      </c>
      <c r="D60" s="602">
        <f t="shared" si="0"/>
        <v>7.3876245882705227</v>
      </c>
      <c r="E60" s="138"/>
      <c r="F60" s="138"/>
      <c r="G60" s="138"/>
      <c r="H60" s="138"/>
      <c r="I60" s="138"/>
      <c r="J60" s="138"/>
      <c r="L60" s="736" t="s">
        <v>235</v>
      </c>
      <c r="M60" s="737">
        <v>155.8943597375</v>
      </c>
      <c r="N60" s="737">
        <v>148.02829735</v>
      </c>
    </row>
    <row r="61" spans="1:14" ht="9.6" customHeight="1">
      <c r="A61" s="606" t="s">
        <v>242</v>
      </c>
      <c r="B61" s="766">
        <v>2.0572499999999997E-2</v>
      </c>
      <c r="C61" s="766">
        <v>0</v>
      </c>
      <c r="D61" s="609" t="str">
        <f t="shared" si="0"/>
        <v/>
      </c>
      <c r="E61" s="138"/>
      <c r="F61" s="138"/>
      <c r="G61" s="138"/>
      <c r="H61" s="138"/>
      <c r="I61" s="138"/>
      <c r="J61" s="138"/>
      <c r="L61" s="736" t="s">
        <v>90</v>
      </c>
      <c r="M61" s="737">
        <v>210.44621342500002</v>
      </c>
      <c r="N61" s="737">
        <v>198.79092777749997</v>
      </c>
    </row>
    <row r="62" spans="1:14" ht="9.6" customHeight="1">
      <c r="A62" s="610" t="s">
        <v>241</v>
      </c>
      <c r="B62" s="765">
        <v>2.0167449999999999E-3</v>
      </c>
      <c r="C62" s="765">
        <v>2.2970072500000001E-2</v>
      </c>
      <c r="D62" s="602">
        <f t="shared" si="0"/>
        <v>-0.91220119135453315</v>
      </c>
      <c r="E62" s="138"/>
      <c r="F62" s="138"/>
      <c r="G62" s="138"/>
      <c r="H62" s="138"/>
      <c r="I62" s="138"/>
      <c r="J62" s="138"/>
      <c r="L62" s="736" t="s">
        <v>239</v>
      </c>
      <c r="M62" s="737">
        <v>211.23782075</v>
      </c>
      <c r="N62" s="737">
        <v>194.34208764500002</v>
      </c>
    </row>
    <row r="63" spans="1:14" ht="9.6" customHeight="1">
      <c r="A63" s="606" t="s">
        <v>116</v>
      </c>
      <c r="B63" s="766">
        <v>1.0664450000000001E-3</v>
      </c>
      <c r="C63" s="766">
        <v>2.7302525E-3</v>
      </c>
      <c r="D63" s="609">
        <f t="shared" si="0"/>
        <v>-0.60939693306754594</v>
      </c>
      <c r="E63" s="138"/>
      <c r="F63" s="138"/>
      <c r="G63" s="138"/>
      <c r="H63" s="138"/>
      <c r="I63" s="138"/>
      <c r="J63" s="138"/>
      <c r="L63" s="736" t="s">
        <v>237</v>
      </c>
      <c r="M63" s="737">
        <v>378.17861547749999</v>
      </c>
      <c r="N63" s="737">
        <v>354.99964174000002</v>
      </c>
    </row>
    <row r="64" spans="1:14" ht="9.6" customHeight="1">
      <c r="A64" s="610" t="s">
        <v>106</v>
      </c>
      <c r="B64" s="765">
        <v>0</v>
      </c>
      <c r="C64" s="765">
        <v>4.7920555125000002</v>
      </c>
      <c r="D64" s="602">
        <f t="shared" si="0"/>
        <v>-1</v>
      </c>
      <c r="E64" s="138"/>
      <c r="F64" s="138"/>
      <c r="G64" s="138"/>
      <c r="H64" s="138"/>
      <c r="I64" s="138"/>
      <c r="J64" s="138"/>
      <c r="L64" s="736" t="s">
        <v>87</v>
      </c>
      <c r="M64" s="737">
        <v>541.97623009500001</v>
      </c>
      <c r="N64" s="737">
        <v>611.95661115500002</v>
      </c>
    </row>
    <row r="65" spans="1:14" ht="9.6" customHeight="1">
      <c r="A65" s="606" t="s">
        <v>466</v>
      </c>
      <c r="B65" s="766">
        <v>0</v>
      </c>
      <c r="C65" s="766">
        <v>0.41467641999999999</v>
      </c>
      <c r="D65" s="609">
        <f t="shared" si="0"/>
        <v>-1</v>
      </c>
      <c r="E65" s="138"/>
      <c r="F65" s="138"/>
      <c r="G65" s="138"/>
      <c r="H65" s="138"/>
      <c r="I65" s="138"/>
      <c r="J65" s="138"/>
      <c r="L65" s="736" t="s">
        <v>88</v>
      </c>
      <c r="M65" s="737">
        <v>580.23964099999989</v>
      </c>
      <c r="N65" s="737">
        <v>586.96947480750009</v>
      </c>
    </row>
    <row r="66" spans="1:14" ht="9.6" customHeight="1">
      <c r="A66" s="610" t="s">
        <v>234</v>
      </c>
      <c r="B66" s="765">
        <v>0</v>
      </c>
      <c r="C66" s="765">
        <v>0.38358560999999997</v>
      </c>
      <c r="D66" s="602">
        <f t="shared" si="0"/>
        <v>-1</v>
      </c>
      <c r="E66" s="138"/>
      <c r="F66" s="138"/>
      <c r="G66" s="138"/>
      <c r="H66" s="138"/>
      <c r="I66" s="138"/>
      <c r="J66" s="138"/>
      <c r="L66" s="736" t="s">
        <v>89</v>
      </c>
      <c r="M66" s="737">
        <v>624.43300392000003</v>
      </c>
      <c r="N66" s="737">
        <v>613.65687095999999</v>
      </c>
    </row>
    <row r="67" spans="1:14" ht="9.6" customHeight="1">
      <c r="A67" s="606" t="s">
        <v>102</v>
      </c>
      <c r="B67" s="766">
        <v>0</v>
      </c>
      <c r="C67" s="766">
        <v>0.62750818749999993</v>
      </c>
      <c r="D67" s="609">
        <f t="shared" si="0"/>
        <v>-1</v>
      </c>
      <c r="E67" s="138"/>
      <c r="F67" s="138"/>
      <c r="G67" s="138"/>
      <c r="H67" s="138"/>
      <c r="I67" s="138"/>
      <c r="J67" s="138"/>
      <c r="L67" s="736" t="s">
        <v>406</v>
      </c>
      <c r="M67" s="737">
        <v>741.06155749999994</v>
      </c>
      <c r="N67" s="737">
        <v>683.98316573500006</v>
      </c>
    </row>
    <row r="68" spans="1:14" ht="9.6" customHeight="1">
      <c r="A68" s="610" t="s">
        <v>417</v>
      </c>
      <c r="B68" s="765"/>
      <c r="C68" s="765">
        <v>9.7665309674999996</v>
      </c>
      <c r="D68" s="602">
        <f t="shared" si="0"/>
        <v>-1</v>
      </c>
      <c r="E68" s="138"/>
      <c r="F68" s="138"/>
      <c r="G68" s="138"/>
      <c r="H68" s="138"/>
      <c r="I68" s="138"/>
      <c r="J68" s="138"/>
      <c r="L68" s="736"/>
      <c r="M68" s="737"/>
      <c r="N68" s="737"/>
    </row>
    <row r="69" spans="1:14" ht="9.6" customHeight="1">
      <c r="A69" s="611" t="s">
        <v>42</v>
      </c>
      <c r="B69" s="767">
        <f>+SUM(B5:B68)</f>
        <v>4594.9549443675005</v>
      </c>
      <c r="C69" s="767">
        <f>+SUM(C5:C68)</f>
        <v>4528.8096993325007</v>
      </c>
      <c r="D69" s="612">
        <f>IF(C69=0,"",B69/C69-1)</f>
        <v>1.46054370632418E-2</v>
      </c>
      <c r="E69" s="138"/>
      <c r="F69" s="138"/>
      <c r="G69" s="138"/>
      <c r="H69" s="138"/>
      <c r="I69" s="138"/>
      <c r="J69" s="138"/>
      <c r="L69" s="736"/>
      <c r="M69" s="737"/>
      <c r="N69" s="737"/>
    </row>
    <row r="70" spans="1:14" ht="40.5" customHeight="1">
      <c r="A70" s="837" t="str">
        <f>"Cuadro N° 6: Participación de las empresas generadoras del COES en la producción de energía eléctrica (GWh) en "&amp;'1. Resumen'!Q4</f>
        <v>Cuadro N° 6: Participación de las empresas generadoras del COES en la producción de energía eléctrica (GWh) en mayo</v>
      </c>
      <c r="B70" s="837"/>
      <c r="C70" s="837"/>
      <c r="D70" s="409"/>
      <c r="E70" s="836" t="str">
        <f>"Gráfico N° 10: Comparación de producción energética (GWh) de las empresas generadoras del COES en "&amp;'1. Resumen'!Q4</f>
        <v>Gráfico N° 10: Comparación de producción energética (GWh) de las empresas generadoras del COES en mayo</v>
      </c>
      <c r="F70" s="836"/>
      <c r="G70" s="836"/>
      <c r="H70" s="836"/>
      <c r="I70" s="836"/>
      <c r="J70" s="836"/>
    </row>
    <row r="71" spans="1:14">
      <c r="A71" s="830"/>
      <c r="B71" s="830"/>
      <c r="C71" s="830"/>
      <c r="D71" s="830"/>
      <c r="E71" s="830"/>
      <c r="F71" s="830"/>
      <c r="G71" s="830"/>
      <c r="H71" s="830"/>
      <c r="I71" s="830"/>
      <c r="J71" s="830"/>
    </row>
    <row r="72" spans="1:14">
      <c r="A72" s="831"/>
      <c r="B72" s="831"/>
      <c r="C72" s="831"/>
      <c r="D72" s="831"/>
      <c r="E72" s="831"/>
      <c r="F72" s="831"/>
      <c r="G72" s="831"/>
      <c r="H72" s="831"/>
      <c r="I72" s="831"/>
      <c r="J72" s="831"/>
    </row>
    <row r="73" spans="1:14">
      <c r="A73" s="830"/>
      <c r="B73" s="830"/>
      <c r="C73" s="830"/>
      <c r="D73" s="830"/>
      <c r="E73" s="830"/>
      <c r="F73" s="830"/>
      <c r="G73" s="830"/>
      <c r="H73" s="830"/>
      <c r="I73" s="830"/>
      <c r="J73" s="830"/>
    </row>
    <row r="74" spans="1:14">
      <c r="A74" s="831"/>
      <c r="B74" s="831"/>
      <c r="C74" s="831"/>
      <c r="D74" s="831"/>
      <c r="E74" s="831"/>
      <c r="F74" s="831"/>
      <c r="G74" s="831"/>
      <c r="H74" s="831"/>
      <c r="I74" s="831"/>
      <c r="J74" s="831"/>
    </row>
  </sheetData>
  <mergeCells count="10">
    <mergeCell ref="A71:J71"/>
    <mergeCell ref="A72:J72"/>
    <mergeCell ref="A73:J73"/>
    <mergeCell ref="A74:J74"/>
    <mergeCell ref="A1:I1"/>
    <mergeCell ref="A3:A4"/>
    <mergeCell ref="B3:D3"/>
    <mergeCell ref="G3:I3"/>
    <mergeCell ref="E70:J70"/>
    <mergeCell ref="A70:C7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 mayo 2022
INFSGI-MES-05-2022
14/06/2022
Versión: 01</oddHeader>
    <oddFooter>&amp;LCOES, 2022&amp;RDirección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29</vt:i4>
      </vt:variant>
      <vt:variant>
        <vt:lpstr>Rangos con nombre</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2023-11-25T17:44:10Z</cp:lastPrinted>
  <dcterms:created xsi:type="dcterms:W3CDTF">2018-02-13T14:18:17Z</dcterms:created>
  <dcterms:modified xsi:type="dcterms:W3CDTF">2023-11-25T17:48:11Z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